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 Parry\Documents\Uni\4th Year\Hybrid and Electric Vehicles\Assignment 2\"/>
    </mc:Choice>
  </mc:AlternateContent>
  <xr:revisionPtr revIDLastSave="0" documentId="8_{9B356C39-37AD-4833-A3BA-FA87937AFEF1}" xr6:coauthVersionLast="47" xr6:coauthVersionMax="47" xr10:uidLastSave="{00000000-0000-0000-0000-000000000000}"/>
  <bookViews>
    <workbookView xWindow="-108" yWindow="-108" windowWidth="23256" windowHeight="12456" tabRatio="718" xr2:uid="{00000000-000D-0000-FFFF-FFFF00000000}"/>
  </bookViews>
  <sheets>
    <sheet name="Data" sheetId="1" r:id="rId1"/>
    <sheet name="BSFC" sheetId="3" r:id="rId2"/>
    <sheet name="Electric Motor" sheetId="5" r:id="rId3"/>
    <sheet name="Cell Selection" sheetId="6" r:id="rId4"/>
    <sheet name="Hybrid System Costing" sheetId="7" r:id="rId5"/>
    <sheet name="Final Drive Ratio" sheetId="8" r:id="rId6"/>
    <sheet name="Alternative ICE" sheetId="9" r:id="rId7"/>
    <sheet name="Graphs" sheetId="4" r:id="rId8"/>
    <sheet name="Track Map" sheetId="2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0" i="7" l="1"/>
  <c r="C18" i="7"/>
  <c r="B18" i="7"/>
  <c r="C16" i="7"/>
  <c r="C14" i="7"/>
  <c r="B16" i="7"/>
  <c r="B15" i="7"/>
  <c r="B14" i="7"/>
  <c r="E12" i="9"/>
  <c r="F12" i="9"/>
  <c r="D12" i="9"/>
  <c r="E7" i="7"/>
  <c r="J2" i="1"/>
  <c r="D7" i="7"/>
  <c r="C7" i="7"/>
  <c r="N11" i="5"/>
  <c r="L119" i="5"/>
  <c r="L120" i="5"/>
  <c r="L121" i="5"/>
  <c r="L122" i="5"/>
  <c r="L123" i="5"/>
  <c r="L124" i="5"/>
  <c r="L125" i="5"/>
  <c r="L126" i="5"/>
  <c r="L127" i="5"/>
  <c r="L128" i="5"/>
  <c r="L129" i="5"/>
  <c r="L130" i="5"/>
  <c r="L131" i="5"/>
  <c r="L132" i="5"/>
  <c r="L133" i="5"/>
  <c r="L134" i="5"/>
  <c r="L135" i="5"/>
  <c r="L136" i="5"/>
  <c r="L137" i="5"/>
  <c r="L138" i="5"/>
  <c r="L139" i="5"/>
  <c r="L140" i="5"/>
  <c r="L141" i="5"/>
  <c r="L142" i="5"/>
  <c r="L143" i="5"/>
  <c r="L144" i="5"/>
  <c r="L145" i="5"/>
  <c r="L146" i="5"/>
  <c r="L147" i="5"/>
  <c r="L148" i="5"/>
  <c r="L149" i="5"/>
  <c r="L150" i="5"/>
  <c r="L151" i="5"/>
  <c r="L152" i="5"/>
  <c r="L153" i="5"/>
  <c r="L154" i="5"/>
  <c r="L155" i="5"/>
  <c r="L156" i="5"/>
  <c r="L157" i="5"/>
  <c r="L158" i="5"/>
  <c r="L159" i="5"/>
  <c r="L118" i="5"/>
  <c r="I18" i="6"/>
  <c r="F30" i="6"/>
  <c r="G30" i="6"/>
  <c r="E30" i="6"/>
  <c r="I29" i="6"/>
  <c r="I28" i="6"/>
  <c r="I25" i="6"/>
  <c r="I26" i="6"/>
  <c r="I27" i="6"/>
  <c r="F18" i="6"/>
  <c r="E18" i="6"/>
  <c r="D18" i="6"/>
  <c r="C27" i="5"/>
  <c r="D27" i="5"/>
  <c r="E27" i="5"/>
  <c r="B27" i="5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Q23" i="3"/>
  <c r="R23" i="3"/>
  <c r="S23" i="3"/>
  <c r="T23" i="3"/>
  <c r="U23" i="3"/>
  <c r="V23" i="3"/>
  <c r="W23" i="3"/>
  <c r="X23" i="3"/>
  <c r="Y23" i="3"/>
  <c r="Z23" i="3"/>
  <c r="AA23" i="3"/>
  <c r="AB23" i="3"/>
  <c r="AC23" i="3"/>
  <c r="AD23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Q25" i="3"/>
  <c r="R25" i="3"/>
  <c r="S25" i="3"/>
  <c r="T25" i="3"/>
  <c r="U25" i="3"/>
  <c r="V25" i="3"/>
  <c r="W25" i="3"/>
  <c r="X25" i="3"/>
  <c r="Y25" i="3"/>
  <c r="Z25" i="3"/>
  <c r="AA25" i="3"/>
  <c r="AB25" i="3"/>
  <c r="AC25" i="3"/>
  <c r="AD25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Q27" i="3"/>
  <c r="R27" i="3"/>
  <c r="S27" i="3"/>
  <c r="T27" i="3"/>
  <c r="U27" i="3"/>
  <c r="V27" i="3"/>
  <c r="W27" i="3"/>
  <c r="X27" i="3"/>
  <c r="Y27" i="3"/>
  <c r="Z27" i="3"/>
  <c r="AA27" i="3"/>
  <c r="AB27" i="3"/>
  <c r="AC27" i="3"/>
  <c r="AD27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22" i="3"/>
  <c r="L10" i="8"/>
  <c r="L11" i="8"/>
  <c r="L12" i="8"/>
  <c r="L13" i="8"/>
  <c r="L14" i="8"/>
  <c r="L15" i="8"/>
  <c r="L16" i="8"/>
  <c r="L17" i="8"/>
  <c r="L18" i="8"/>
  <c r="L19" i="8"/>
  <c r="L9" i="8"/>
  <c r="K10" i="8"/>
  <c r="K11" i="8"/>
  <c r="K12" i="8"/>
  <c r="K13" i="8"/>
  <c r="K14" i="8"/>
  <c r="K15" i="8"/>
  <c r="K16" i="8"/>
  <c r="K17" i="8"/>
  <c r="K18" i="8"/>
  <c r="K19" i="8"/>
  <c r="K9" i="8"/>
  <c r="J10" i="8"/>
  <c r="J11" i="8"/>
  <c r="J12" i="8"/>
  <c r="J13" i="8"/>
  <c r="J14" i="8"/>
  <c r="J15" i="8"/>
  <c r="J16" i="8"/>
  <c r="J17" i="8"/>
  <c r="J18" i="8"/>
  <c r="J19" i="8"/>
  <c r="J9" i="8"/>
  <c r="C19" i="8"/>
  <c r="D19" i="8"/>
  <c r="E19" i="8"/>
  <c r="F19" i="8"/>
  <c r="G19" i="8"/>
  <c r="H19" i="8"/>
  <c r="I19" i="8"/>
  <c r="N19" i="8"/>
  <c r="C18" i="8"/>
  <c r="D18" i="8"/>
  <c r="E18" i="8"/>
  <c r="F18" i="8"/>
  <c r="G18" i="8"/>
  <c r="H18" i="8"/>
  <c r="I18" i="8"/>
  <c r="N18" i="8"/>
  <c r="C17" i="8"/>
  <c r="D17" i="8"/>
  <c r="E17" i="8"/>
  <c r="F17" i="8"/>
  <c r="G17" i="8"/>
  <c r="H17" i="8"/>
  <c r="I17" i="8"/>
  <c r="N17" i="8"/>
  <c r="I10" i="8"/>
  <c r="I11" i="8"/>
  <c r="I12" i="8"/>
  <c r="I13" i="8"/>
  <c r="I14" i="8"/>
  <c r="I15" i="8"/>
  <c r="I16" i="8"/>
  <c r="I9" i="8"/>
  <c r="H9" i="8"/>
  <c r="N16" i="8"/>
  <c r="H16" i="8"/>
  <c r="G16" i="8"/>
  <c r="F16" i="8"/>
  <c r="E16" i="8"/>
  <c r="D16" i="8"/>
  <c r="C16" i="8"/>
  <c r="N15" i="8"/>
  <c r="H15" i="8"/>
  <c r="G15" i="8"/>
  <c r="F15" i="8"/>
  <c r="E15" i="8"/>
  <c r="D15" i="8"/>
  <c r="C15" i="8"/>
  <c r="N14" i="8"/>
  <c r="H14" i="8"/>
  <c r="G14" i="8"/>
  <c r="F14" i="8"/>
  <c r="E14" i="8"/>
  <c r="D14" i="8"/>
  <c r="C14" i="8"/>
  <c r="P13" i="8"/>
  <c r="N13" i="8"/>
  <c r="H13" i="8"/>
  <c r="G13" i="8"/>
  <c r="F13" i="8"/>
  <c r="E13" i="8"/>
  <c r="D13" i="8"/>
  <c r="C13" i="8"/>
  <c r="N12" i="8"/>
  <c r="H12" i="8"/>
  <c r="G12" i="8"/>
  <c r="F12" i="8"/>
  <c r="E12" i="8"/>
  <c r="D12" i="8"/>
  <c r="C12" i="8"/>
  <c r="N11" i="8"/>
  <c r="H11" i="8"/>
  <c r="G11" i="8"/>
  <c r="F11" i="8"/>
  <c r="E11" i="8"/>
  <c r="D11" i="8"/>
  <c r="C11" i="8"/>
  <c r="N10" i="8"/>
  <c r="H10" i="8"/>
  <c r="G10" i="8"/>
  <c r="F10" i="8"/>
  <c r="E10" i="8"/>
  <c r="D10" i="8"/>
  <c r="C10" i="8"/>
  <c r="N9" i="8"/>
  <c r="G9" i="8"/>
  <c r="F9" i="8"/>
  <c r="E9" i="8"/>
  <c r="D9" i="8"/>
  <c r="C9" i="8"/>
  <c r="P14" i="5"/>
  <c r="G27" i="6"/>
  <c r="F25" i="6"/>
  <c r="P11" i="5"/>
  <c r="P8" i="5"/>
  <c r="N8" i="5" l="1"/>
  <c r="N14" i="5"/>
  <c r="N17" i="5" l="1"/>
  <c r="P17" i="5" s="1"/>
  <c r="O4" i="5"/>
  <c r="F29" i="6"/>
  <c r="E25" i="6"/>
  <c r="E29" i="6" s="1"/>
  <c r="H18" i="6"/>
  <c r="B26" i="6"/>
  <c r="G32" i="6"/>
  <c r="F32" i="6"/>
  <c r="E32" i="6"/>
  <c r="F27" i="6"/>
  <c r="E27" i="6"/>
  <c r="F26" i="6"/>
  <c r="G26" i="6" s="1"/>
  <c r="E28" i="6"/>
  <c r="E26" i="6"/>
  <c r="H21" i="6"/>
  <c r="B24" i="6"/>
  <c r="B25" i="6" s="1"/>
  <c r="B21" i="6"/>
  <c r="B20" i="6"/>
  <c r="E9" i="6"/>
  <c r="G8" i="6"/>
  <c r="J7" i="6"/>
  <c r="J8" i="6" s="1"/>
  <c r="I7" i="6"/>
  <c r="I8" i="6" s="1"/>
  <c r="H7" i="6"/>
  <c r="H8" i="6" s="1"/>
  <c r="G7" i="6"/>
  <c r="F7" i="6"/>
  <c r="F8" i="6" s="1"/>
  <c r="E7" i="6"/>
  <c r="E8" i="6" s="1"/>
  <c r="D7" i="6"/>
  <c r="D8" i="6" s="1"/>
  <c r="C7" i="6"/>
  <c r="C8" i="6" s="1"/>
  <c r="B7" i="6"/>
  <c r="B8" i="6" s="1"/>
  <c r="J5" i="6"/>
  <c r="I5" i="6"/>
  <c r="H5" i="6"/>
  <c r="G5" i="6"/>
  <c r="F5" i="6"/>
  <c r="E5" i="6"/>
  <c r="D5" i="6"/>
  <c r="C5" i="6"/>
  <c r="B5" i="6"/>
  <c r="J4" i="6"/>
  <c r="J9" i="6" s="1"/>
  <c r="I4" i="6"/>
  <c r="I9" i="6" s="1"/>
  <c r="H4" i="6"/>
  <c r="H9" i="6" s="1"/>
  <c r="G4" i="6"/>
  <c r="G9" i="6" s="1"/>
  <c r="F4" i="6"/>
  <c r="F9" i="6" s="1"/>
  <c r="E4" i="6"/>
  <c r="D4" i="6"/>
  <c r="D9" i="6" s="1"/>
  <c r="C4" i="6"/>
  <c r="C9" i="6" s="1"/>
  <c r="B4" i="6"/>
  <c r="B9" i="6" s="1"/>
  <c r="AI60" i="1"/>
  <c r="I2" i="1"/>
  <c r="L2" i="1" l="1"/>
  <c r="S73" i="1" s="1"/>
  <c r="G25" i="6"/>
  <c r="G28" i="6" s="1"/>
  <c r="F28" i="6"/>
  <c r="G29" i="6"/>
  <c r="I21" i="6"/>
  <c r="F21" i="6"/>
  <c r="G21" i="6"/>
  <c r="B30" i="6"/>
  <c r="B28" i="6"/>
  <c r="I13" i="6"/>
  <c r="I11" i="6"/>
  <c r="J11" i="6"/>
  <c r="J13" i="6"/>
  <c r="H13" i="6"/>
  <c r="H11" i="6"/>
  <c r="G13" i="6"/>
  <c r="G11" i="6"/>
  <c r="F13" i="6"/>
  <c r="F11" i="6"/>
  <c r="B11" i="6"/>
  <c r="B13" i="6"/>
  <c r="C11" i="6"/>
  <c r="C13" i="6"/>
  <c r="E13" i="6"/>
  <c r="E11" i="6"/>
  <c r="D11" i="6"/>
  <c r="D13" i="6"/>
  <c r="S32" i="1" l="1"/>
  <c r="S105" i="1"/>
  <c r="S53" i="1"/>
  <c r="S20" i="1"/>
  <c r="S67" i="1"/>
  <c r="S88" i="1"/>
  <c r="S76" i="1"/>
  <c r="S164" i="1"/>
  <c r="S14" i="1"/>
  <c r="S63" i="1"/>
  <c r="S91" i="1"/>
  <c r="S77" i="1"/>
  <c r="S113" i="1"/>
  <c r="S12" i="1"/>
  <c r="S31" i="1"/>
  <c r="S39" i="1"/>
  <c r="S28" i="1"/>
  <c r="S115" i="1"/>
  <c r="S110" i="1"/>
  <c r="S131" i="1"/>
  <c r="S121" i="1"/>
  <c r="S17" i="1"/>
  <c r="S132" i="1"/>
  <c r="S69" i="1"/>
  <c r="S38" i="1"/>
  <c r="S162" i="1"/>
  <c r="S15" i="1"/>
  <c r="S138" i="1"/>
  <c r="S141" i="1"/>
  <c r="S123" i="1"/>
  <c r="S70" i="1"/>
  <c r="S74" i="1"/>
  <c r="AD3" i="1"/>
  <c r="AH3" i="1" s="1"/>
  <c r="S120" i="1"/>
  <c r="S10" i="1"/>
  <c r="S127" i="1"/>
  <c r="S125" i="1"/>
  <c r="S23" i="1"/>
  <c r="S66" i="1"/>
  <c r="S49" i="1"/>
  <c r="S8" i="1"/>
  <c r="S30" i="1"/>
  <c r="S35" i="1"/>
  <c r="S13" i="1"/>
  <c r="S150" i="1"/>
  <c r="S153" i="1"/>
  <c r="S81" i="1"/>
  <c r="S85" i="1"/>
  <c r="S72" i="1"/>
  <c r="S59" i="1"/>
  <c r="S34" i="1"/>
  <c r="S109" i="1"/>
  <c r="S43" i="1"/>
  <c r="S27" i="1"/>
  <c r="S21" i="1"/>
  <c r="S58" i="1"/>
  <c r="S22" i="1"/>
  <c r="S65" i="1"/>
  <c r="S163" i="1"/>
  <c r="S116" i="1"/>
  <c r="S111" i="1"/>
  <c r="S133" i="1"/>
  <c r="S140" i="1"/>
  <c r="S94" i="1"/>
  <c r="S79" i="1"/>
  <c r="S41" i="1"/>
  <c r="S61" i="1"/>
  <c r="S11" i="1"/>
  <c r="S92" i="1"/>
  <c r="S96" i="1"/>
  <c r="S57" i="1"/>
  <c r="S45" i="1"/>
  <c r="S29" i="1"/>
  <c r="S78" i="1"/>
  <c r="S128" i="1"/>
  <c r="S82" i="1"/>
  <c r="S101" i="1"/>
  <c r="S130" i="1"/>
  <c r="S26" i="1"/>
  <c r="S98" i="1"/>
  <c r="S36" i="1"/>
  <c r="S19" i="1"/>
  <c r="S148" i="1"/>
  <c r="S46" i="1"/>
  <c r="S139" i="1"/>
  <c r="S100" i="1"/>
  <c r="S56" i="1"/>
  <c r="AE3" i="1"/>
  <c r="AI3" i="1" s="1"/>
  <c r="S62" i="1"/>
  <c r="S90" i="1"/>
  <c r="S142" i="1"/>
  <c r="S112" i="1"/>
  <c r="S119" i="1"/>
  <c r="S33" i="1"/>
  <c r="S55" i="1"/>
  <c r="S7" i="1"/>
  <c r="AF3" i="1"/>
  <c r="AJ3" i="1" s="1"/>
  <c r="S47" i="1"/>
  <c r="S151" i="1"/>
  <c r="S103" i="1"/>
  <c r="S158" i="1"/>
  <c r="S160" i="1"/>
  <c r="S83" i="1"/>
  <c r="S118" i="1"/>
  <c r="S106" i="1"/>
  <c r="S89" i="1"/>
  <c r="S102" i="1"/>
  <c r="S124" i="1"/>
  <c r="S129" i="1"/>
  <c r="S134" i="1"/>
  <c r="S60" i="1"/>
  <c r="S9" i="1"/>
  <c r="S54" i="1"/>
  <c r="S52" i="1"/>
  <c r="S64" i="1"/>
  <c r="S37" i="1"/>
  <c r="S146" i="1"/>
  <c r="S114" i="1"/>
  <c r="S165" i="1"/>
  <c r="S108" i="1"/>
  <c r="S75" i="1"/>
  <c r="S99" i="1"/>
  <c r="S157" i="1"/>
  <c r="S107" i="1"/>
  <c r="S93" i="1"/>
  <c r="S48" i="1"/>
  <c r="S68" i="1"/>
  <c r="S42" i="1"/>
  <c r="S16" i="1"/>
  <c r="S40" i="1"/>
  <c r="S25" i="1"/>
  <c r="S147" i="1"/>
  <c r="S126" i="1"/>
  <c r="S80" i="1"/>
  <c r="S159" i="1"/>
  <c r="S161" i="1"/>
  <c r="S117" i="1"/>
  <c r="S154" i="1"/>
  <c r="S24" i="1"/>
  <c r="S44" i="1"/>
  <c r="S18" i="1"/>
  <c r="S51" i="1"/>
  <c r="S50" i="1"/>
  <c r="S137" i="1"/>
  <c r="S152" i="1"/>
  <c r="S104" i="1"/>
  <c r="S95" i="1"/>
  <c r="S97" i="1"/>
  <c r="S145" i="1"/>
  <c r="S87" i="1"/>
  <c r="S122" i="1"/>
  <c r="S143" i="1"/>
  <c r="S149" i="1"/>
  <c r="S135" i="1"/>
  <c r="S136" i="1"/>
  <c r="S71" i="1"/>
  <c r="S155" i="1"/>
  <c r="S84" i="1"/>
  <c r="S86" i="1"/>
  <c r="S156" i="1"/>
  <c r="S144" i="1"/>
  <c r="L26" i="3"/>
  <c r="L35" i="3"/>
  <c r="L36" i="3"/>
  <c r="L37" i="3"/>
  <c r="L38" i="3"/>
  <c r="K25" i="3"/>
  <c r="L25" i="3" s="1"/>
  <c r="K26" i="3"/>
  <c r="K27" i="3"/>
  <c r="L27" i="3" s="1"/>
  <c r="K28" i="3"/>
  <c r="L28" i="3" s="1"/>
  <c r="K29" i="3"/>
  <c r="L29" i="3" s="1"/>
  <c r="K30" i="3"/>
  <c r="L30" i="3" s="1"/>
  <c r="K31" i="3"/>
  <c r="L31" i="3" s="1"/>
  <c r="K32" i="3"/>
  <c r="L32" i="3" s="1"/>
  <c r="K33" i="3"/>
  <c r="L33" i="3" s="1"/>
  <c r="K34" i="3"/>
  <c r="L34" i="3" s="1"/>
  <c r="K35" i="3"/>
  <c r="K36" i="3"/>
  <c r="K38" i="3"/>
  <c r="K39" i="3"/>
  <c r="L39" i="3" s="1"/>
  <c r="K37" i="3"/>
  <c r="G136" i="1"/>
  <c r="G141" i="1"/>
  <c r="G140" i="1"/>
  <c r="G139" i="1"/>
  <c r="L139" i="1" s="1"/>
  <c r="G7" i="1"/>
  <c r="G8" i="1"/>
  <c r="L8" i="1" s="1"/>
  <c r="G9" i="1"/>
  <c r="G10" i="1"/>
  <c r="G11" i="1"/>
  <c r="G12" i="1"/>
  <c r="G13" i="1"/>
  <c r="L13" i="1" s="1"/>
  <c r="G14" i="1"/>
  <c r="L14" i="1" s="1"/>
  <c r="G15" i="1"/>
  <c r="G16" i="1"/>
  <c r="G17" i="1"/>
  <c r="G18" i="1"/>
  <c r="G19" i="1"/>
  <c r="L19" i="1" s="1"/>
  <c r="G20" i="1"/>
  <c r="L20" i="1" s="1"/>
  <c r="G21" i="1"/>
  <c r="G22" i="1"/>
  <c r="G23" i="1"/>
  <c r="G24" i="1"/>
  <c r="G25" i="1"/>
  <c r="G26" i="1"/>
  <c r="G27" i="1"/>
  <c r="G28" i="1"/>
  <c r="G29" i="1"/>
  <c r="G30" i="1"/>
  <c r="G31" i="1"/>
  <c r="L31" i="1" s="1"/>
  <c r="G32" i="1"/>
  <c r="L32" i="1" s="1"/>
  <c r="G33" i="1"/>
  <c r="G34" i="1"/>
  <c r="G35" i="1"/>
  <c r="G36" i="1"/>
  <c r="L36" i="1" s="1"/>
  <c r="G37" i="1"/>
  <c r="G38" i="1"/>
  <c r="G39" i="1"/>
  <c r="G40" i="1"/>
  <c r="G41" i="1"/>
  <c r="G42" i="1"/>
  <c r="G43" i="1"/>
  <c r="L43" i="1" s="1"/>
  <c r="G44" i="1"/>
  <c r="L44" i="1" s="1"/>
  <c r="G45" i="1"/>
  <c r="G46" i="1"/>
  <c r="G47" i="1"/>
  <c r="G48" i="1"/>
  <c r="G49" i="1"/>
  <c r="L49" i="1" s="1"/>
  <c r="G50" i="1"/>
  <c r="G51" i="1"/>
  <c r="G52" i="1"/>
  <c r="G53" i="1"/>
  <c r="G54" i="1"/>
  <c r="G55" i="1"/>
  <c r="L55" i="1" s="1"/>
  <c r="G56" i="1"/>
  <c r="L56" i="1" s="1"/>
  <c r="G57" i="1"/>
  <c r="G58" i="1"/>
  <c r="G59" i="1"/>
  <c r="G60" i="1"/>
  <c r="L60" i="1" s="1"/>
  <c r="G61" i="1"/>
  <c r="L61" i="1" s="1"/>
  <c r="G62" i="1"/>
  <c r="L62" i="1" s="1"/>
  <c r="G63" i="1"/>
  <c r="G64" i="1"/>
  <c r="G65" i="1"/>
  <c r="G66" i="1"/>
  <c r="G67" i="1"/>
  <c r="L67" i="1" s="1"/>
  <c r="G68" i="1"/>
  <c r="L68" i="1" s="1"/>
  <c r="G69" i="1"/>
  <c r="G70" i="1"/>
  <c r="G71" i="1"/>
  <c r="G72" i="1"/>
  <c r="G73" i="1"/>
  <c r="G74" i="1"/>
  <c r="G75" i="1"/>
  <c r="G76" i="1"/>
  <c r="G77" i="1"/>
  <c r="G78" i="1"/>
  <c r="G79" i="1"/>
  <c r="L79" i="1" s="1"/>
  <c r="G80" i="1"/>
  <c r="L80" i="1" s="1"/>
  <c r="G81" i="1"/>
  <c r="G82" i="1"/>
  <c r="G83" i="1"/>
  <c r="G84" i="1"/>
  <c r="G85" i="1"/>
  <c r="G86" i="1"/>
  <c r="G87" i="1"/>
  <c r="G88" i="1"/>
  <c r="G89" i="1"/>
  <c r="G90" i="1"/>
  <c r="G91" i="1"/>
  <c r="L91" i="1" s="1"/>
  <c r="G92" i="1"/>
  <c r="L92" i="1" s="1"/>
  <c r="G93" i="1"/>
  <c r="G94" i="1"/>
  <c r="L94" i="1" s="1"/>
  <c r="G95" i="1"/>
  <c r="G96" i="1"/>
  <c r="G97" i="1"/>
  <c r="L97" i="1" s="1"/>
  <c r="G98" i="1"/>
  <c r="G99" i="1"/>
  <c r="G100" i="1"/>
  <c r="G101" i="1"/>
  <c r="G102" i="1"/>
  <c r="G103" i="1"/>
  <c r="L103" i="1" s="1"/>
  <c r="G104" i="1"/>
  <c r="L104" i="1" s="1"/>
  <c r="G105" i="1"/>
  <c r="G106" i="1"/>
  <c r="G107" i="1"/>
  <c r="G108" i="1"/>
  <c r="G109" i="1"/>
  <c r="L109" i="1" s="1"/>
  <c r="G110" i="1"/>
  <c r="G111" i="1"/>
  <c r="G112" i="1"/>
  <c r="G113" i="1"/>
  <c r="G114" i="1"/>
  <c r="G115" i="1"/>
  <c r="L115" i="1" s="1"/>
  <c r="G116" i="1"/>
  <c r="L116" i="1" s="1"/>
  <c r="G117" i="1"/>
  <c r="G118" i="1"/>
  <c r="G119" i="1"/>
  <c r="G120" i="1"/>
  <c r="G121" i="1"/>
  <c r="G122" i="1"/>
  <c r="G123" i="1"/>
  <c r="G124" i="1"/>
  <c r="G125" i="1"/>
  <c r="G126" i="1"/>
  <c r="G127" i="1"/>
  <c r="L127" i="1" s="1"/>
  <c r="G128" i="1"/>
  <c r="G129" i="1"/>
  <c r="G130" i="1"/>
  <c r="G131" i="1"/>
  <c r="G132" i="1"/>
  <c r="G133" i="1"/>
  <c r="G134" i="1"/>
  <c r="G135" i="1"/>
  <c r="G137" i="1"/>
  <c r="G138" i="1"/>
  <c r="G142" i="1"/>
  <c r="G143" i="1"/>
  <c r="G144" i="1"/>
  <c r="G145" i="1"/>
  <c r="L145" i="1" s="1"/>
  <c r="G146" i="1"/>
  <c r="G147" i="1"/>
  <c r="G148" i="1"/>
  <c r="G149" i="1"/>
  <c r="G150" i="1"/>
  <c r="G151" i="1"/>
  <c r="L151" i="1" s="1"/>
  <c r="G152" i="1"/>
  <c r="G153" i="1"/>
  <c r="G154" i="1"/>
  <c r="N154" i="1" s="1"/>
  <c r="G155" i="1"/>
  <c r="G156" i="1"/>
  <c r="G157" i="1"/>
  <c r="L157" i="1" s="1"/>
  <c r="G158" i="1"/>
  <c r="L158" i="1" s="1"/>
  <c r="G159" i="1"/>
  <c r="G160" i="1"/>
  <c r="G161" i="1"/>
  <c r="G162" i="1"/>
  <c r="G163" i="1"/>
  <c r="L163" i="1" s="1"/>
  <c r="G164" i="1"/>
  <c r="G165" i="1"/>
  <c r="I7" i="1"/>
  <c r="A2" i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D63" i="1" s="1"/>
  <c r="D64" i="1" s="1"/>
  <c r="D65" i="1" s="1"/>
  <c r="D66" i="1" s="1"/>
  <c r="D67" i="1" s="1"/>
  <c r="D68" i="1" s="1"/>
  <c r="D69" i="1" s="1"/>
  <c r="D70" i="1" s="1"/>
  <c r="D71" i="1" s="1"/>
  <c r="D72" i="1" s="1"/>
  <c r="D73" i="1" s="1"/>
  <c r="D74" i="1" s="1"/>
  <c r="D75" i="1" s="1"/>
  <c r="D76" i="1" s="1"/>
  <c r="D77" i="1" s="1"/>
  <c r="D78" i="1" s="1"/>
  <c r="D79" i="1" s="1"/>
  <c r="D80" i="1" s="1"/>
  <c r="D81" i="1" s="1"/>
  <c r="D82" i="1" s="1"/>
  <c r="D83" i="1" s="1"/>
  <c r="D84" i="1" s="1"/>
  <c r="D85" i="1" s="1"/>
  <c r="D86" i="1" s="1"/>
  <c r="D87" i="1" s="1"/>
  <c r="D88" i="1" s="1"/>
  <c r="D89" i="1" s="1"/>
  <c r="D90" i="1" s="1"/>
  <c r="D91" i="1" s="1"/>
  <c r="D92" i="1" s="1"/>
  <c r="D93" i="1" s="1"/>
  <c r="D94" i="1" s="1"/>
  <c r="D95" i="1" s="1"/>
  <c r="D96" i="1" s="1"/>
  <c r="D97" i="1" s="1"/>
  <c r="D98" i="1" s="1"/>
  <c r="D99" i="1" s="1"/>
  <c r="D100" i="1" s="1"/>
  <c r="D101" i="1" s="1"/>
  <c r="D102" i="1" s="1"/>
  <c r="D103" i="1" s="1"/>
  <c r="D104" i="1" s="1"/>
  <c r="D105" i="1" s="1"/>
  <c r="D106" i="1" s="1"/>
  <c r="D107" i="1" s="1"/>
  <c r="D108" i="1" s="1"/>
  <c r="D109" i="1" s="1"/>
  <c r="D110" i="1" s="1"/>
  <c r="D111" i="1" s="1"/>
  <c r="D112" i="1" s="1"/>
  <c r="D113" i="1" s="1"/>
  <c r="D114" i="1" s="1"/>
  <c r="D115" i="1" s="1"/>
  <c r="D116" i="1" s="1"/>
  <c r="D117" i="1" s="1"/>
  <c r="D118" i="1" s="1"/>
  <c r="D119" i="1" s="1"/>
  <c r="D120" i="1" s="1"/>
  <c r="D121" i="1" s="1"/>
  <c r="D122" i="1" s="1"/>
  <c r="D123" i="1" s="1"/>
  <c r="D124" i="1" s="1"/>
  <c r="D125" i="1" s="1"/>
  <c r="D126" i="1" s="1"/>
  <c r="D127" i="1" s="1"/>
  <c r="D128" i="1" s="1"/>
  <c r="D129" i="1" s="1"/>
  <c r="D130" i="1" s="1"/>
  <c r="D131" i="1" s="1"/>
  <c r="D132" i="1" s="1"/>
  <c r="D133" i="1" s="1"/>
  <c r="D134" i="1" s="1"/>
  <c r="D135" i="1" s="1"/>
  <c r="D136" i="1" s="1"/>
  <c r="D137" i="1" s="1"/>
  <c r="D138" i="1" s="1"/>
  <c r="D139" i="1" s="1"/>
  <c r="D140" i="1" s="1"/>
  <c r="D141" i="1" s="1"/>
  <c r="D142" i="1" s="1"/>
  <c r="D143" i="1" s="1"/>
  <c r="D144" i="1" s="1"/>
  <c r="D145" i="1" s="1"/>
  <c r="D146" i="1" s="1"/>
  <c r="D147" i="1" s="1"/>
  <c r="D148" i="1" s="1"/>
  <c r="D149" i="1" s="1"/>
  <c r="D150" i="1" s="1"/>
  <c r="D151" i="1" s="1"/>
  <c r="D152" i="1" s="1"/>
  <c r="D153" i="1" s="1"/>
  <c r="D154" i="1" s="1"/>
  <c r="D155" i="1" s="1"/>
  <c r="D156" i="1" s="1"/>
  <c r="D157" i="1" s="1"/>
  <c r="D158" i="1" s="1"/>
  <c r="D159" i="1" s="1"/>
  <c r="D160" i="1" s="1"/>
  <c r="D161" i="1" s="1"/>
  <c r="D162" i="1" s="1"/>
  <c r="D163" i="1" s="1"/>
  <c r="D164" i="1" s="1"/>
  <c r="D165" i="1" s="1"/>
  <c r="L46" i="1"/>
  <c r="N39" i="1" l="1"/>
  <c r="M35" i="1"/>
  <c r="M158" i="1"/>
  <c r="M62" i="1"/>
  <c r="M14" i="1"/>
  <c r="N10" i="1"/>
  <c r="M131" i="1"/>
  <c r="N137" i="1"/>
  <c r="N162" i="1"/>
  <c r="N88" i="1"/>
  <c r="M83" i="1"/>
  <c r="M110" i="1"/>
  <c r="N156" i="1"/>
  <c r="N116" i="1"/>
  <c r="N67" i="1"/>
  <c r="M45" i="1"/>
  <c r="N165" i="1"/>
  <c r="N140" i="1"/>
  <c r="M163" i="1"/>
  <c r="M140" i="1"/>
  <c r="M115" i="1"/>
  <c r="M92" i="1"/>
  <c r="M67" i="1"/>
  <c r="M44" i="1"/>
  <c r="M19" i="1"/>
  <c r="N149" i="1"/>
  <c r="N121" i="1"/>
  <c r="N97" i="1"/>
  <c r="N72" i="1"/>
  <c r="N49" i="1"/>
  <c r="N19" i="1"/>
  <c r="M161" i="1"/>
  <c r="M135" i="1"/>
  <c r="M113" i="1"/>
  <c r="M87" i="1"/>
  <c r="M65" i="1"/>
  <c r="M39" i="1"/>
  <c r="M17" i="1"/>
  <c r="N143" i="1"/>
  <c r="N119" i="1"/>
  <c r="N92" i="1"/>
  <c r="N70" i="1"/>
  <c r="N44" i="1"/>
  <c r="N14" i="1"/>
  <c r="M159" i="1"/>
  <c r="M134" i="1"/>
  <c r="M111" i="1"/>
  <c r="M86" i="1"/>
  <c r="M63" i="1"/>
  <c r="M38" i="1"/>
  <c r="M15" i="1"/>
  <c r="N142" i="1"/>
  <c r="N117" i="1"/>
  <c r="N91" i="1"/>
  <c r="N68" i="1"/>
  <c r="N40" i="1"/>
  <c r="N13" i="1"/>
  <c r="M155" i="1"/>
  <c r="M130" i="1"/>
  <c r="M107" i="1"/>
  <c r="M82" i="1"/>
  <c r="M59" i="1"/>
  <c r="M11" i="1"/>
  <c r="N87" i="1"/>
  <c r="N64" i="1"/>
  <c r="N38" i="1"/>
  <c r="N136" i="1"/>
  <c r="N113" i="1"/>
  <c r="M151" i="1"/>
  <c r="M129" i="1"/>
  <c r="M103" i="1"/>
  <c r="M81" i="1"/>
  <c r="M55" i="1"/>
  <c r="M33" i="1"/>
  <c r="N7" i="1"/>
  <c r="N135" i="1"/>
  <c r="N108" i="1"/>
  <c r="N86" i="1"/>
  <c r="N60" i="1"/>
  <c r="N37" i="1"/>
  <c r="M149" i="1"/>
  <c r="M127" i="1"/>
  <c r="M101" i="1"/>
  <c r="M79" i="1"/>
  <c r="M53" i="1"/>
  <c r="M31" i="1"/>
  <c r="N160" i="1"/>
  <c r="N133" i="1"/>
  <c r="N106" i="1"/>
  <c r="N84" i="1"/>
  <c r="N58" i="1"/>
  <c r="N33" i="1"/>
  <c r="M148" i="1"/>
  <c r="M125" i="1"/>
  <c r="M100" i="1"/>
  <c r="M77" i="1"/>
  <c r="M52" i="1"/>
  <c r="M29" i="1"/>
  <c r="N159" i="1"/>
  <c r="N131" i="1"/>
  <c r="N105" i="1"/>
  <c r="N82" i="1"/>
  <c r="N57" i="1"/>
  <c r="N32" i="1"/>
  <c r="M34" i="1"/>
  <c r="M147" i="1"/>
  <c r="M124" i="1"/>
  <c r="M99" i="1"/>
  <c r="M76" i="1"/>
  <c r="M51" i="1"/>
  <c r="M28" i="1"/>
  <c r="N158" i="1"/>
  <c r="N130" i="1"/>
  <c r="N104" i="1"/>
  <c r="N81" i="1"/>
  <c r="N56" i="1"/>
  <c r="N28" i="1"/>
  <c r="N17" i="1"/>
  <c r="N29" i="1"/>
  <c r="N41" i="1"/>
  <c r="N53" i="1"/>
  <c r="N65" i="1"/>
  <c r="N77" i="1"/>
  <c r="N89" i="1"/>
  <c r="N101" i="1"/>
  <c r="N114" i="1"/>
  <c r="N126" i="1"/>
  <c r="N138" i="1"/>
  <c r="N153" i="1"/>
  <c r="M12" i="1"/>
  <c r="M24" i="1"/>
  <c r="M36" i="1"/>
  <c r="M48" i="1"/>
  <c r="M60" i="1"/>
  <c r="M72" i="1"/>
  <c r="M84" i="1"/>
  <c r="M96" i="1"/>
  <c r="M108" i="1"/>
  <c r="M120" i="1"/>
  <c r="M132" i="1"/>
  <c r="M144" i="1"/>
  <c r="M156" i="1"/>
  <c r="N18" i="1"/>
  <c r="N30" i="1"/>
  <c r="N42" i="1"/>
  <c r="N54" i="1"/>
  <c r="N66" i="1"/>
  <c r="N78" i="1"/>
  <c r="N90" i="1"/>
  <c r="N102" i="1"/>
  <c r="N115" i="1"/>
  <c r="N127" i="1"/>
  <c r="N139" i="1"/>
  <c r="N155" i="1"/>
  <c r="M13" i="1"/>
  <c r="M25" i="1"/>
  <c r="M37" i="1"/>
  <c r="M49" i="1"/>
  <c r="M61" i="1"/>
  <c r="M73" i="1"/>
  <c r="M85" i="1"/>
  <c r="M97" i="1"/>
  <c r="M109" i="1"/>
  <c r="M121" i="1"/>
  <c r="M133" i="1"/>
  <c r="M145" i="1"/>
  <c r="M157" i="1"/>
  <c r="N31" i="1"/>
  <c r="N43" i="1"/>
  <c r="N11" i="1"/>
  <c r="N23" i="1"/>
  <c r="N35" i="1"/>
  <c r="N47" i="1"/>
  <c r="N59" i="1"/>
  <c r="N71" i="1"/>
  <c r="N83" i="1"/>
  <c r="N95" i="1"/>
  <c r="N107" i="1"/>
  <c r="N120" i="1"/>
  <c r="N132" i="1"/>
  <c r="N146" i="1"/>
  <c r="N161" i="1"/>
  <c r="M18" i="1"/>
  <c r="M30" i="1"/>
  <c r="M42" i="1"/>
  <c r="M54" i="1"/>
  <c r="M66" i="1"/>
  <c r="M78" i="1"/>
  <c r="M90" i="1"/>
  <c r="M102" i="1"/>
  <c r="M114" i="1"/>
  <c r="M126" i="1"/>
  <c r="M138" i="1"/>
  <c r="M150" i="1"/>
  <c r="M162" i="1"/>
  <c r="N12" i="1"/>
  <c r="N24" i="1"/>
  <c r="N36" i="1"/>
  <c r="N25" i="1"/>
  <c r="N45" i="1"/>
  <c r="N61" i="1"/>
  <c r="N76" i="1"/>
  <c r="N93" i="1"/>
  <c r="N109" i="1"/>
  <c r="N125" i="1"/>
  <c r="N144" i="1"/>
  <c r="M8" i="1"/>
  <c r="M23" i="1"/>
  <c r="M40" i="1"/>
  <c r="M56" i="1"/>
  <c r="M71" i="1"/>
  <c r="M88" i="1"/>
  <c r="M104" i="1"/>
  <c r="M119" i="1"/>
  <c r="M136" i="1"/>
  <c r="M152" i="1"/>
  <c r="N8" i="1"/>
  <c r="N26" i="1"/>
  <c r="N46" i="1"/>
  <c r="N62" i="1"/>
  <c r="N79" i="1"/>
  <c r="N94" i="1"/>
  <c r="N111" i="1"/>
  <c r="N128" i="1"/>
  <c r="N145" i="1"/>
  <c r="M9" i="1"/>
  <c r="M26" i="1"/>
  <c r="M41" i="1"/>
  <c r="M57" i="1"/>
  <c r="M74" i="1"/>
  <c r="M89" i="1"/>
  <c r="M105" i="1"/>
  <c r="M122" i="1"/>
  <c r="M137" i="1"/>
  <c r="M153" i="1"/>
  <c r="N9" i="1"/>
  <c r="N27" i="1"/>
  <c r="N48" i="1"/>
  <c r="N63" i="1"/>
  <c r="N80" i="1"/>
  <c r="N96" i="1"/>
  <c r="N112" i="1"/>
  <c r="N129" i="1"/>
  <c r="N148" i="1"/>
  <c r="M10" i="1"/>
  <c r="M27" i="1"/>
  <c r="M43" i="1"/>
  <c r="M58" i="1"/>
  <c r="M75" i="1"/>
  <c r="M91" i="1"/>
  <c r="M106" i="1"/>
  <c r="M123" i="1"/>
  <c r="M139" i="1"/>
  <c r="M154" i="1"/>
  <c r="N15" i="1"/>
  <c r="N34" i="1"/>
  <c r="N52" i="1"/>
  <c r="N69" i="1"/>
  <c r="N85" i="1"/>
  <c r="N100" i="1"/>
  <c r="N118" i="1"/>
  <c r="N134" i="1"/>
  <c r="N152" i="1"/>
  <c r="M16" i="1"/>
  <c r="M32" i="1"/>
  <c r="M47" i="1"/>
  <c r="M64" i="1"/>
  <c r="M80" i="1"/>
  <c r="M95" i="1"/>
  <c r="M112" i="1"/>
  <c r="M128" i="1"/>
  <c r="M143" i="1"/>
  <c r="M160" i="1"/>
  <c r="N16" i="1"/>
  <c r="M7" i="1"/>
  <c r="M146" i="1"/>
  <c r="M118" i="1"/>
  <c r="M98" i="1"/>
  <c r="M70" i="1"/>
  <c r="M50" i="1"/>
  <c r="M22" i="1"/>
  <c r="N157" i="1"/>
  <c r="N124" i="1"/>
  <c r="N103" i="1"/>
  <c r="N75" i="1"/>
  <c r="N55" i="1"/>
  <c r="N22" i="1"/>
  <c r="M165" i="1"/>
  <c r="M142" i="1"/>
  <c r="M117" i="1"/>
  <c r="M94" i="1"/>
  <c r="M69" i="1"/>
  <c r="M46" i="1"/>
  <c r="M21" i="1"/>
  <c r="N151" i="1"/>
  <c r="N123" i="1"/>
  <c r="N99" i="1"/>
  <c r="N74" i="1"/>
  <c r="N51" i="1"/>
  <c r="N21" i="1"/>
  <c r="K7" i="1"/>
  <c r="M164" i="1"/>
  <c r="M141" i="1"/>
  <c r="M116" i="1"/>
  <c r="M93" i="1"/>
  <c r="M68" i="1"/>
  <c r="M20" i="1"/>
  <c r="N122" i="1"/>
  <c r="N98" i="1"/>
  <c r="N73" i="1"/>
  <c r="N50" i="1"/>
  <c r="N20" i="1"/>
  <c r="N110" i="1"/>
  <c r="L110" i="1"/>
  <c r="N150" i="1"/>
  <c r="N164" i="1"/>
  <c r="N141" i="1"/>
  <c r="N147" i="1"/>
  <c r="N163" i="1"/>
  <c r="L156" i="1"/>
  <c r="L142" i="1"/>
  <c r="L128" i="1"/>
  <c r="L140" i="1"/>
  <c r="L152" i="1"/>
  <c r="L108" i="1"/>
  <c r="L164" i="1"/>
  <c r="L162" i="1"/>
  <c r="L150" i="1"/>
  <c r="L138" i="1"/>
  <c r="L126" i="1"/>
  <c r="L114" i="1"/>
  <c r="L102" i="1"/>
  <c r="L90" i="1"/>
  <c r="L78" i="1"/>
  <c r="L66" i="1"/>
  <c r="L54" i="1"/>
  <c r="L42" i="1"/>
  <c r="L30" i="1"/>
  <c r="L18" i="1"/>
  <c r="H164" i="1"/>
  <c r="H161" i="1"/>
  <c r="H149" i="1"/>
  <c r="H137" i="1"/>
  <c r="H125" i="1"/>
  <c r="H113" i="1"/>
  <c r="H101" i="1"/>
  <c r="H89" i="1"/>
  <c r="H77" i="1"/>
  <c r="H65" i="1"/>
  <c r="H53" i="1"/>
  <c r="H41" i="1"/>
  <c r="H29" i="1"/>
  <c r="H17" i="1"/>
  <c r="H160" i="1"/>
  <c r="H148" i="1"/>
  <c r="H136" i="1"/>
  <c r="H124" i="1"/>
  <c r="H112" i="1"/>
  <c r="H100" i="1"/>
  <c r="H88" i="1"/>
  <c r="H76" i="1"/>
  <c r="H64" i="1"/>
  <c r="H52" i="1"/>
  <c r="H40" i="1"/>
  <c r="H28" i="1"/>
  <c r="H16" i="1"/>
  <c r="H159" i="1"/>
  <c r="H147" i="1"/>
  <c r="H135" i="1"/>
  <c r="H123" i="1"/>
  <c r="H111" i="1"/>
  <c r="H99" i="1"/>
  <c r="H87" i="1"/>
  <c r="H75" i="1"/>
  <c r="H63" i="1"/>
  <c r="H51" i="1"/>
  <c r="H39" i="1"/>
  <c r="H27" i="1"/>
  <c r="H15" i="1"/>
  <c r="H158" i="1"/>
  <c r="H146" i="1"/>
  <c r="H134" i="1"/>
  <c r="H122" i="1"/>
  <c r="H110" i="1"/>
  <c r="H98" i="1"/>
  <c r="H86" i="1"/>
  <c r="H74" i="1"/>
  <c r="H62" i="1"/>
  <c r="H50" i="1"/>
  <c r="H38" i="1"/>
  <c r="H26" i="1"/>
  <c r="H14" i="1"/>
  <c r="H157" i="1"/>
  <c r="H145" i="1"/>
  <c r="H133" i="1"/>
  <c r="H121" i="1"/>
  <c r="H109" i="1"/>
  <c r="H97" i="1"/>
  <c r="H85" i="1"/>
  <c r="H73" i="1"/>
  <c r="H61" i="1"/>
  <c r="H49" i="1"/>
  <c r="H37" i="1"/>
  <c r="H25" i="1"/>
  <c r="H13" i="1"/>
  <c r="H156" i="1"/>
  <c r="H144" i="1"/>
  <c r="H132" i="1"/>
  <c r="H120" i="1"/>
  <c r="H108" i="1"/>
  <c r="H96" i="1"/>
  <c r="H84" i="1"/>
  <c r="H72" i="1"/>
  <c r="H60" i="1"/>
  <c r="H48" i="1"/>
  <c r="H36" i="1"/>
  <c r="H24" i="1"/>
  <c r="H12" i="1"/>
  <c r="H155" i="1"/>
  <c r="H143" i="1"/>
  <c r="H131" i="1"/>
  <c r="H119" i="1"/>
  <c r="H107" i="1"/>
  <c r="H95" i="1"/>
  <c r="H83" i="1"/>
  <c r="H71" i="1"/>
  <c r="H59" i="1"/>
  <c r="H47" i="1"/>
  <c r="H35" i="1"/>
  <c r="H23" i="1"/>
  <c r="H11" i="1"/>
  <c r="H154" i="1"/>
  <c r="H142" i="1"/>
  <c r="H130" i="1"/>
  <c r="H118" i="1"/>
  <c r="H106" i="1"/>
  <c r="H94" i="1"/>
  <c r="H82" i="1"/>
  <c r="H70" i="1"/>
  <c r="H58" i="1"/>
  <c r="H46" i="1"/>
  <c r="H34" i="1"/>
  <c r="H22" i="1"/>
  <c r="H10" i="1"/>
  <c r="H153" i="1"/>
  <c r="H141" i="1"/>
  <c r="H129" i="1"/>
  <c r="H117" i="1"/>
  <c r="H105" i="1"/>
  <c r="H93" i="1"/>
  <c r="H81" i="1"/>
  <c r="H69" i="1"/>
  <c r="H57" i="1"/>
  <c r="H45" i="1"/>
  <c r="H33" i="1"/>
  <c r="H21" i="1"/>
  <c r="H9" i="1"/>
  <c r="H152" i="1"/>
  <c r="H140" i="1"/>
  <c r="H128" i="1"/>
  <c r="H116" i="1"/>
  <c r="H104" i="1"/>
  <c r="H92" i="1"/>
  <c r="H80" i="1"/>
  <c r="H68" i="1"/>
  <c r="H56" i="1"/>
  <c r="H44" i="1"/>
  <c r="H32" i="1"/>
  <c r="H20" i="1"/>
  <c r="H8" i="1"/>
  <c r="I8" i="1" s="1"/>
  <c r="H163" i="1"/>
  <c r="H151" i="1"/>
  <c r="H139" i="1"/>
  <c r="H127" i="1"/>
  <c r="H115" i="1"/>
  <c r="H103" i="1"/>
  <c r="H91" i="1"/>
  <c r="H79" i="1"/>
  <c r="H67" i="1"/>
  <c r="H55" i="1"/>
  <c r="H43" i="1"/>
  <c r="H31" i="1"/>
  <c r="H19" i="1"/>
  <c r="H162" i="1"/>
  <c r="H150" i="1"/>
  <c r="H138" i="1"/>
  <c r="H126" i="1"/>
  <c r="H114" i="1"/>
  <c r="H102" i="1"/>
  <c r="H90" i="1"/>
  <c r="H78" i="1"/>
  <c r="H66" i="1"/>
  <c r="H54" i="1"/>
  <c r="H42" i="1"/>
  <c r="H30" i="1"/>
  <c r="H18" i="1"/>
  <c r="O89" i="1"/>
  <c r="P89" i="1" s="1"/>
  <c r="Q89" i="1" s="1"/>
  <c r="R89" i="1" s="1"/>
  <c r="O77" i="1"/>
  <c r="P77" i="1" s="1"/>
  <c r="Q77" i="1" s="1"/>
  <c r="R77" i="1" s="1"/>
  <c r="O101" i="1"/>
  <c r="P101" i="1" s="1"/>
  <c r="Q101" i="1" s="1"/>
  <c r="R101" i="1" s="1"/>
  <c r="L93" i="1"/>
  <c r="O154" i="1"/>
  <c r="P154" i="1" s="1"/>
  <c r="Q154" i="1" s="1"/>
  <c r="R154" i="1" s="1"/>
  <c r="O106" i="1"/>
  <c r="P106" i="1" s="1"/>
  <c r="Q106" i="1" s="1"/>
  <c r="R106" i="1" s="1"/>
  <c r="O34" i="1"/>
  <c r="P34" i="1" s="1"/>
  <c r="Q34" i="1" s="1"/>
  <c r="R34" i="1" s="1"/>
  <c r="O65" i="1"/>
  <c r="P65" i="1" s="1"/>
  <c r="Q65" i="1" s="1"/>
  <c r="R65" i="1" s="1"/>
  <c r="O53" i="1"/>
  <c r="P53" i="1" s="1"/>
  <c r="Q53" i="1" s="1"/>
  <c r="R53" i="1" s="1"/>
  <c r="O140" i="1"/>
  <c r="P140" i="1" s="1"/>
  <c r="Q140" i="1" s="1"/>
  <c r="R140" i="1" s="1"/>
  <c r="O80" i="1"/>
  <c r="P80" i="1" s="1"/>
  <c r="Q80" i="1" s="1"/>
  <c r="R80" i="1" s="1"/>
  <c r="O41" i="1"/>
  <c r="P41" i="1" s="1"/>
  <c r="Q41" i="1" s="1"/>
  <c r="R41" i="1" s="1"/>
  <c r="O29" i="1"/>
  <c r="P29" i="1" s="1"/>
  <c r="Q29" i="1" s="1"/>
  <c r="R29" i="1" s="1"/>
  <c r="O161" i="1"/>
  <c r="P161" i="1" s="1"/>
  <c r="Q161" i="1" s="1"/>
  <c r="R161" i="1" s="1"/>
  <c r="O17" i="1"/>
  <c r="P17" i="1" s="1"/>
  <c r="Q17" i="1" s="1"/>
  <c r="R17" i="1" s="1"/>
  <c r="O149" i="1"/>
  <c r="P149" i="1" s="1"/>
  <c r="Q149" i="1" s="1"/>
  <c r="R149" i="1" s="1"/>
  <c r="O137" i="1"/>
  <c r="P137" i="1" s="1"/>
  <c r="Q137" i="1" s="1"/>
  <c r="R137" i="1" s="1"/>
  <c r="O125" i="1"/>
  <c r="P125" i="1" s="1"/>
  <c r="Q125" i="1" s="1"/>
  <c r="R125" i="1" s="1"/>
  <c r="O113" i="1"/>
  <c r="P113" i="1" s="1"/>
  <c r="Q113" i="1" s="1"/>
  <c r="R113" i="1" s="1"/>
  <c r="O7" i="1"/>
  <c r="P7" i="1" s="1"/>
  <c r="Q7" i="1" s="1"/>
  <c r="R7" i="1" s="1"/>
  <c r="O163" i="1"/>
  <c r="P163" i="1" s="1"/>
  <c r="Q163" i="1" s="1"/>
  <c r="R163" i="1" s="1"/>
  <c r="O139" i="1"/>
  <c r="P139" i="1" s="1"/>
  <c r="Q139" i="1" s="1"/>
  <c r="R139" i="1" s="1"/>
  <c r="O127" i="1"/>
  <c r="P127" i="1" s="1"/>
  <c r="Q127" i="1" s="1"/>
  <c r="R127" i="1" s="1"/>
  <c r="O115" i="1"/>
  <c r="P115" i="1" s="1"/>
  <c r="Q115" i="1" s="1"/>
  <c r="R115" i="1" s="1"/>
  <c r="O103" i="1"/>
  <c r="P103" i="1" s="1"/>
  <c r="Q103" i="1" s="1"/>
  <c r="R103" i="1" s="1"/>
  <c r="O91" i="1"/>
  <c r="P91" i="1" s="1"/>
  <c r="Q91" i="1" s="1"/>
  <c r="R91" i="1" s="1"/>
  <c r="O79" i="1"/>
  <c r="P79" i="1" s="1"/>
  <c r="Q79" i="1" s="1"/>
  <c r="R79" i="1" s="1"/>
  <c r="O67" i="1"/>
  <c r="P67" i="1" s="1"/>
  <c r="Q67" i="1" s="1"/>
  <c r="R67" i="1" s="1"/>
  <c r="O55" i="1"/>
  <c r="P55" i="1" s="1"/>
  <c r="Q55" i="1" s="1"/>
  <c r="R55" i="1" s="1"/>
  <c r="O43" i="1"/>
  <c r="P43" i="1" s="1"/>
  <c r="Q43" i="1" s="1"/>
  <c r="R43" i="1" s="1"/>
  <c r="O31" i="1"/>
  <c r="P31" i="1" s="1"/>
  <c r="Q31" i="1" s="1"/>
  <c r="R31" i="1" s="1"/>
  <c r="O19" i="1"/>
  <c r="P19" i="1" s="1"/>
  <c r="Q19" i="1" s="1"/>
  <c r="R19" i="1" s="1"/>
  <c r="O162" i="1"/>
  <c r="P162" i="1" s="1"/>
  <c r="Q162" i="1" s="1"/>
  <c r="R162" i="1" s="1"/>
  <c r="O150" i="1"/>
  <c r="P150" i="1" s="1"/>
  <c r="Q150" i="1" s="1"/>
  <c r="R150" i="1" s="1"/>
  <c r="O138" i="1"/>
  <c r="P138" i="1" s="1"/>
  <c r="Q138" i="1" s="1"/>
  <c r="R138" i="1" s="1"/>
  <c r="O126" i="1"/>
  <c r="P126" i="1" s="1"/>
  <c r="Q126" i="1" s="1"/>
  <c r="R126" i="1" s="1"/>
  <c r="O114" i="1"/>
  <c r="P114" i="1" s="1"/>
  <c r="Q114" i="1" s="1"/>
  <c r="R114" i="1" s="1"/>
  <c r="O102" i="1"/>
  <c r="P102" i="1" s="1"/>
  <c r="Q102" i="1" s="1"/>
  <c r="R102" i="1" s="1"/>
  <c r="O90" i="1"/>
  <c r="P90" i="1" s="1"/>
  <c r="Q90" i="1" s="1"/>
  <c r="R90" i="1" s="1"/>
  <c r="O78" i="1"/>
  <c r="P78" i="1" s="1"/>
  <c r="Q78" i="1" s="1"/>
  <c r="R78" i="1" s="1"/>
  <c r="O66" i="1"/>
  <c r="P66" i="1" s="1"/>
  <c r="Q66" i="1" s="1"/>
  <c r="R66" i="1" s="1"/>
  <c r="O54" i="1"/>
  <c r="P54" i="1" s="1"/>
  <c r="Q54" i="1" s="1"/>
  <c r="R54" i="1" s="1"/>
  <c r="O42" i="1"/>
  <c r="P42" i="1" s="1"/>
  <c r="Q42" i="1" s="1"/>
  <c r="R42" i="1" s="1"/>
  <c r="O30" i="1"/>
  <c r="P30" i="1" s="1"/>
  <c r="Q30" i="1" s="1"/>
  <c r="R30" i="1" s="1"/>
  <c r="O18" i="1"/>
  <c r="P18" i="1" s="1"/>
  <c r="Q18" i="1" s="1"/>
  <c r="R18" i="1" s="1"/>
  <c r="O160" i="1"/>
  <c r="P160" i="1" s="1"/>
  <c r="Q160" i="1" s="1"/>
  <c r="R160" i="1" s="1"/>
  <c r="O148" i="1"/>
  <c r="P148" i="1" s="1"/>
  <c r="Q148" i="1" s="1"/>
  <c r="R148" i="1" s="1"/>
  <c r="O136" i="1"/>
  <c r="P136" i="1" s="1"/>
  <c r="Q136" i="1" s="1"/>
  <c r="R136" i="1" s="1"/>
  <c r="O124" i="1"/>
  <c r="P124" i="1" s="1"/>
  <c r="Q124" i="1" s="1"/>
  <c r="R124" i="1" s="1"/>
  <c r="O112" i="1"/>
  <c r="P112" i="1" s="1"/>
  <c r="Q112" i="1" s="1"/>
  <c r="R112" i="1" s="1"/>
  <c r="O100" i="1"/>
  <c r="P100" i="1" s="1"/>
  <c r="Q100" i="1" s="1"/>
  <c r="R100" i="1" s="1"/>
  <c r="O88" i="1"/>
  <c r="P88" i="1" s="1"/>
  <c r="Q88" i="1" s="1"/>
  <c r="R88" i="1" s="1"/>
  <c r="O76" i="1"/>
  <c r="P76" i="1" s="1"/>
  <c r="Q76" i="1" s="1"/>
  <c r="R76" i="1" s="1"/>
  <c r="O64" i="1"/>
  <c r="P64" i="1" s="1"/>
  <c r="Q64" i="1" s="1"/>
  <c r="R64" i="1" s="1"/>
  <c r="O52" i="1"/>
  <c r="P52" i="1" s="1"/>
  <c r="Q52" i="1" s="1"/>
  <c r="R52" i="1" s="1"/>
  <c r="O40" i="1"/>
  <c r="P40" i="1" s="1"/>
  <c r="Q40" i="1" s="1"/>
  <c r="R40" i="1" s="1"/>
  <c r="O28" i="1"/>
  <c r="P28" i="1" s="1"/>
  <c r="Q28" i="1" s="1"/>
  <c r="R28" i="1" s="1"/>
  <c r="O16" i="1"/>
  <c r="P16" i="1" s="1"/>
  <c r="Q16" i="1" s="1"/>
  <c r="R16" i="1" s="1"/>
  <c r="O159" i="1"/>
  <c r="P159" i="1" s="1"/>
  <c r="Q159" i="1" s="1"/>
  <c r="R159" i="1" s="1"/>
  <c r="O147" i="1"/>
  <c r="P147" i="1" s="1"/>
  <c r="Q147" i="1" s="1"/>
  <c r="R147" i="1" s="1"/>
  <c r="O135" i="1"/>
  <c r="P135" i="1" s="1"/>
  <c r="Q135" i="1" s="1"/>
  <c r="R135" i="1" s="1"/>
  <c r="O123" i="1"/>
  <c r="P123" i="1" s="1"/>
  <c r="Q123" i="1" s="1"/>
  <c r="R123" i="1" s="1"/>
  <c r="O111" i="1"/>
  <c r="P111" i="1" s="1"/>
  <c r="Q111" i="1" s="1"/>
  <c r="R111" i="1" s="1"/>
  <c r="O99" i="1"/>
  <c r="P99" i="1" s="1"/>
  <c r="Q99" i="1" s="1"/>
  <c r="R99" i="1" s="1"/>
  <c r="O87" i="1"/>
  <c r="P87" i="1" s="1"/>
  <c r="Q87" i="1" s="1"/>
  <c r="R87" i="1" s="1"/>
  <c r="O75" i="1"/>
  <c r="P75" i="1" s="1"/>
  <c r="Q75" i="1" s="1"/>
  <c r="R75" i="1" s="1"/>
  <c r="O63" i="1"/>
  <c r="P63" i="1" s="1"/>
  <c r="Q63" i="1" s="1"/>
  <c r="R63" i="1" s="1"/>
  <c r="O51" i="1"/>
  <c r="P51" i="1" s="1"/>
  <c r="Q51" i="1" s="1"/>
  <c r="R51" i="1" s="1"/>
  <c r="O39" i="1"/>
  <c r="P39" i="1" s="1"/>
  <c r="Q39" i="1" s="1"/>
  <c r="R39" i="1" s="1"/>
  <c r="O27" i="1"/>
  <c r="P27" i="1" s="1"/>
  <c r="Q27" i="1" s="1"/>
  <c r="R27" i="1" s="1"/>
  <c r="O15" i="1"/>
  <c r="P15" i="1" s="1"/>
  <c r="Q15" i="1" s="1"/>
  <c r="R15" i="1" s="1"/>
  <c r="O158" i="1"/>
  <c r="P158" i="1" s="1"/>
  <c r="Q158" i="1" s="1"/>
  <c r="R158" i="1" s="1"/>
  <c r="O146" i="1"/>
  <c r="P146" i="1" s="1"/>
  <c r="Q146" i="1" s="1"/>
  <c r="R146" i="1" s="1"/>
  <c r="O134" i="1"/>
  <c r="P134" i="1" s="1"/>
  <c r="Q134" i="1" s="1"/>
  <c r="R134" i="1" s="1"/>
  <c r="O122" i="1"/>
  <c r="P122" i="1" s="1"/>
  <c r="Q122" i="1" s="1"/>
  <c r="R122" i="1" s="1"/>
  <c r="O98" i="1"/>
  <c r="P98" i="1" s="1"/>
  <c r="Q98" i="1" s="1"/>
  <c r="R98" i="1" s="1"/>
  <c r="O86" i="1"/>
  <c r="P86" i="1" s="1"/>
  <c r="Q86" i="1" s="1"/>
  <c r="R86" i="1" s="1"/>
  <c r="O74" i="1"/>
  <c r="P74" i="1" s="1"/>
  <c r="Q74" i="1" s="1"/>
  <c r="R74" i="1" s="1"/>
  <c r="O62" i="1"/>
  <c r="P62" i="1" s="1"/>
  <c r="Q62" i="1" s="1"/>
  <c r="R62" i="1" s="1"/>
  <c r="O50" i="1"/>
  <c r="P50" i="1" s="1"/>
  <c r="Q50" i="1" s="1"/>
  <c r="R50" i="1" s="1"/>
  <c r="O38" i="1"/>
  <c r="P38" i="1" s="1"/>
  <c r="Q38" i="1" s="1"/>
  <c r="R38" i="1" s="1"/>
  <c r="O26" i="1"/>
  <c r="P26" i="1" s="1"/>
  <c r="Q26" i="1" s="1"/>
  <c r="R26" i="1" s="1"/>
  <c r="O14" i="1"/>
  <c r="P14" i="1" s="1"/>
  <c r="Q14" i="1" s="1"/>
  <c r="R14" i="1" s="1"/>
  <c r="O157" i="1"/>
  <c r="P157" i="1" s="1"/>
  <c r="Q157" i="1" s="1"/>
  <c r="R157" i="1" s="1"/>
  <c r="O145" i="1"/>
  <c r="P145" i="1" s="1"/>
  <c r="Q145" i="1" s="1"/>
  <c r="R145" i="1" s="1"/>
  <c r="O133" i="1"/>
  <c r="P133" i="1" s="1"/>
  <c r="Q133" i="1" s="1"/>
  <c r="R133" i="1" s="1"/>
  <c r="O121" i="1"/>
  <c r="P121" i="1" s="1"/>
  <c r="Q121" i="1" s="1"/>
  <c r="R121" i="1" s="1"/>
  <c r="O109" i="1"/>
  <c r="P109" i="1" s="1"/>
  <c r="Q109" i="1" s="1"/>
  <c r="R109" i="1" s="1"/>
  <c r="O97" i="1"/>
  <c r="P97" i="1" s="1"/>
  <c r="Q97" i="1" s="1"/>
  <c r="R97" i="1" s="1"/>
  <c r="O85" i="1"/>
  <c r="P85" i="1" s="1"/>
  <c r="Q85" i="1" s="1"/>
  <c r="R85" i="1" s="1"/>
  <c r="O73" i="1"/>
  <c r="P73" i="1" s="1"/>
  <c r="Q73" i="1" s="1"/>
  <c r="R73" i="1" s="1"/>
  <c r="O61" i="1"/>
  <c r="P61" i="1" s="1"/>
  <c r="Q61" i="1" s="1"/>
  <c r="R61" i="1" s="1"/>
  <c r="O49" i="1"/>
  <c r="P49" i="1" s="1"/>
  <c r="Q49" i="1" s="1"/>
  <c r="R49" i="1" s="1"/>
  <c r="O37" i="1"/>
  <c r="P37" i="1" s="1"/>
  <c r="Q37" i="1" s="1"/>
  <c r="R37" i="1" s="1"/>
  <c r="O25" i="1"/>
  <c r="P25" i="1" s="1"/>
  <c r="Q25" i="1" s="1"/>
  <c r="R25" i="1" s="1"/>
  <c r="O13" i="1"/>
  <c r="P13" i="1" s="1"/>
  <c r="Q13" i="1" s="1"/>
  <c r="R13" i="1" s="1"/>
  <c r="O110" i="1"/>
  <c r="P110" i="1" s="1"/>
  <c r="Q110" i="1" s="1"/>
  <c r="R110" i="1" s="1"/>
  <c r="O156" i="1"/>
  <c r="P156" i="1" s="1"/>
  <c r="Q156" i="1" s="1"/>
  <c r="R156" i="1" s="1"/>
  <c r="O144" i="1"/>
  <c r="P144" i="1" s="1"/>
  <c r="Q144" i="1" s="1"/>
  <c r="R144" i="1" s="1"/>
  <c r="O132" i="1"/>
  <c r="P132" i="1" s="1"/>
  <c r="Q132" i="1" s="1"/>
  <c r="R132" i="1" s="1"/>
  <c r="O120" i="1"/>
  <c r="P120" i="1" s="1"/>
  <c r="Q120" i="1" s="1"/>
  <c r="R120" i="1" s="1"/>
  <c r="O108" i="1"/>
  <c r="P108" i="1" s="1"/>
  <c r="Q108" i="1" s="1"/>
  <c r="R108" i="1" s="1"/>
  <c r="O96" i="1"/>
  <c r="P96" i="1" s="1"/>
  <c r="Q96" i="1" s="1"/>
  <c r="R96" i="1" s="1"/>
  <c r="O84" i="1"/>
  <c r="P84" i="1" s="1"/>
  <c r="Q84" i="1" s="1"/>
  <c r="R84" i="1" s="1"/>
  <c r="O72" i="1"/>
  <c r="P72" i="1" s="1"/>
  <c r="Q72" i="1" s="1"/>
  <c r="R72" i="1" s="1"/>
  <c r="O60" i="1"/>
  <c r="P60" i="1" s="1"/>
  <c r="Q60" i="1" s="1"/>
  <c r="R60" i="1" s="1"/>
  <c r="O48" i="1"/>
  <c r="P48" i="1" s="1"/>
  <c r="Q48" i="1" s="1"/>
  <c r="R48" i="1" s="1"/>
  <c r="O36" i="1"/>
  <c r="P36" i="1" s="1"/>
  <c r="Q36" i="1" s="1"/>
  <c r="R36" i="1" s="1"/>
  <c r="O24" i="1"/>
  <c r="P24" i="1" s="1"/>
  <c r="Q24" i="1" s="1"/>
  <c r="R24" i="1" s="1"/>
  <c r="O12" i="1"/>
  <c r="P12" i="1" s="1"/>
  <c r="Q12" i="1" s="1"/>
  <c r="R12" i="1" s="1"/>
  <c r="O155" i="1"/>
  <c r="P155" i="1" s="1"/>
  <c r="Q155" i="1" s="1"/>
  <c r="R155" i="1" s="1"/>
  <c r="O143" i="1"/>
  <c r="P143" i="1" s="1"/>
  <c r="Q143" i="1" s="1"/>
  <c r="R143" i="1" s="1"/>
  <c r="O131" i="1"/>
  <c r="P131" i="1" s="1"/>
  <c r="Q131" i="1" s="1"/>
  <c r="R131" i="1" s="1"/>
  <c r="O119" i="1"/>
  <c r="P119" i="1" s="1"/>
  <c r="Q119" i="1" s="1"/>
  <c r="R119" i="1" s="1"/>
  <c r="O107" i="1"/>
  <c r="P107" i="1" s="1"/>
  <c r="Q107" i="1" s="1"/>
  <c r="R107" i="1" s="1"/>
  <c r="O95" i="1"/>
  <c r="P95" i="1" s="1"/>
  <c r="Q95" i="1" s="1"/>
  <c r="R95" i="1" s="1"/>
  <c r="O83" i="1"/>
  <c r="P83" i="1" s="1"/>
  <c r="Q83" i="1" s="1"/>
  <c r="R83" i="1" s="1"/>
  <c r="O71" i="1"/>
  <c r="P71" i="1" s="1"/>
  <c r="Q71" i="1" s="1"/>
  <c r="R71" i="1" s="1"/>
  <c r="O59" i="1"/>
  <c r="P59" i="1" s="1"/>
  <c r="Q59" i="1" s="1"/>
  <c r="R59" i="1" s="1"/>
  <c r="O47" i="1"/>
  <c r="P47" i="1" s="1"/>
  <c r="Q47" i="1" s="1"/>
  <c r="R47" i="1" s="1"/>
  <c r="O35" i="1"/>
  <c r="P35" i="1" s="1"/>
  <c r="Q35" i="1" s="1"/>
  <c r="R35" i="1" s="1"/>
  <c r="O23" i="1"/>
  <c r="P23" i="1" s="1"/>
  <c r="Q23" i="1" s="1"/>
  <c r="R23" i="1" s="1"/>
  <c r="O11" i="1"/>
  <c r="P11" i="1" s="1"/>
  <c r="Q11" i="1" s="1"/>
  <c r="R11" i="1" s="1"/>
  <c r="O142" i="1"/>
  <c r="P142" i="1" s="1"/>
  <c r="Q142" i="1" s="1"/>
  <c r="R142" i="1" s="1"/>
  <c r="O130" i="1"/>
  <c r="P130" i="1" s="1"/>
  <c r="Q130" i="1" s="1"/>
  <c r="R130" i="1" s="1"/>
  <c r="O118" i="1"/>
  <c r="P118" i="1" s="1"/>
  <c r="Q118" i="1" s="1"/>
  <c r="R118" i="1" s="1"/>
  <c r="O94" i="1"/>
  <c r="P94" i="1" s="1"/>
  <c r="Q94" i="1" s="1"/>
  <c r="R94" i="1" s="1"/>
  <c r="O82" i="1"/>
  <c r="P82" i="1" s="1"/>
  <c r="Q82" i="1" s="1"/>
  <c r="R82" i="1" s="1"/>
  <c r="O70" i="1"/>
  <c r="P70" i="1" s="1"/>
  <c r="Q70" i="1" s="1"/>
  <c r="R70" i="1" s="1"/>
  <c r="O58" i="1"/>
  <c r="P58" i="1" s="1"/>
  <c r="Q58" i="1" s="1"/>
  <c r="R58" i="1" s="1"/>
  <c r="O46" i="1"/>
  <c r="P46" i="1" s="1"/>
  <c r="Q46" i="1" s="1"/>
  <c r="R46" i="1" s="1"/>
  <c r="O22" i="1"/>
  <c r="P22" i="1" s="1"/>
  <c r="Q22" i="1" s="1"/>
  <c r="R22" i="1" s="1"/>
  <c r="O10" i="1"/>
  <c r="P10" i="1" s="1"/>
  <c r="Q10" i="1" s="1"/>
  <c r="R10" i="1" s="1"/>
  <c r="O165" i="1"/>
  <c r="P165" i="1" s="1"/>
  <c r="Q165" i="1" s="1"/>
  <c r="R165" i="1" s="1"/>
  <c r="O153" i="1"/>
  <c r="P153" i="1" s="1"/>
  <c r="Q153" i="1" s="1"/>
  <c r="R153" i="1" s="1"/>
  <c r="O141" i="1"/>
  <c r="P141" i="1" s="1"/>
  <c r="Q141" i="1" s="1"/>
  <c r="R141" i="1" s="1"/>
  <c r="O129" i="1"/>
  <c r="P129" i="1" s="1"/>
  <c r="Q129" i="1" s="1"/>
  <c r="R129" i="1" s="1"/>
  <c r="O117" i="1"/>
  <c r="P117" i="1" s="1"/>
  <c r="Q117" i="1" s="1"/>
  <c r="R117" i="1" s="1"/>
  <c r="O105" i="1"/>
  <c r="P105" i="1" s="1"/>
  <c r="Q105" i="1" s="1"/>
  <c r="R105" i="1" s="1"/>
  <c r="O93" i="1"/>
  <c r="P93" i="1" s="1"/>
  <c r="Q93" i="1" s="1"/>
  <c r="R93" i="1" s="1"/>
  <c r="O81" i="1"/>
  <c r="P81" i="1" s="1"/>
  <c r="Q81" i="1" s="1"/>
  <c r="R81" i="1" s="1"/>
  <c r="O69" i="1"/>
  <c r="P69" i="1" s="1"/>
  <c r="Q69" i="1" s="1"/>
  <c r="R69" i="1" s="1"/>
  <c r="O57" i="1"/>
  <c r="P57" i="1" s="1"/>
  <c r="Q57" i="1" s="1"/>
  <c r="R57" i="1" s="1"/>
  <c r="O45" i="1"/>
  <c r="P45" i="1" s="1"/>
  <c r="Q45" i="1" s="1"/>
  <c r="R45" i="1" s="1"/>
  <c r="O33" i="1"/>
  <c r="P33" i="1" s="1"/>
  <c r="Q33" i="1" s="1"/>
  <c r="R33" i="1" s="1"/>
  <c r="O21" i="1"/>
  <c r="P21" i="1" s="1"/>
  <c r="Q21" i="1" s="1"/>
  <c r="R21" i="1" s="1"/>
  <c r="O9" i="1"/>
  <c r="P9" i="1" s="1"/>
  <c r="Q9" i="1" s="1"/>
  <c r="R9" i="1" s="1"/>
  <c r="O164" i="1"/>
  <c r="P164" i="1" s="1"/>
  <c r="Q164" i="1" s="1"/>
  <c r="R164" i="1" s="1"/>
  <c r="O152" i="1"/>
  <c r="P152" i="1" s="1"/>
  <c r="Q152" i="1" s="1"/>
  <c r="R152" i="1" s="1"/>
  <c r="O128" i="1"/>
  <c r="P128" i="1" s="1"/>
  <c r="Q128" i="1" s="1"/>
  <c r="R128" i="1" s="1"/>
  <c r="O116" i="1"/>
  <c r="P116" i="1" s="1"/>
  <c r="Q116" i="1" s="1"/>
  <c r="R116" i="1" s="1"/>
  <c r="O104" i="1"/>
  <c r="P104" i="1" s="1"/>
  <c r="Q104" i="1" s="1"/>
  <c r="R104" i="1" s="1"/>
  <c r="O92" i="1"/>
  <c r="P92" i="1" s="1"/>
  <c r="Q92" i="1" s="1"/>
  <c r="R92" i="1" s="1"/>
  <c r="O68" i="1"/>
  <c r="P68" i="1" s="1"/>
  <c r="Q68" i="1" s="1"/>
  <c r="R68" i="1" s="1"/>
  <c r="O56" i="1"/>
  <c r="P56" i="1" s="1"/>
  <c r="Q56" i="1" s="1"/>
  <c r="R56" i="1" s="1"/>
  <c r="O44" i="1"/>
  <c r="P44" i="1" s="1"/>
  <c r="Q44" i="1" s="1"/>
  <c r="R44" i="1" s="1"/>
  <c r="O32" i="1"/>
  <c r="P32" i="1" s="1"/>
  <c r="Q32" i="1" s="1"/>
  <c r="R32" i="1" s="1"/>
  <c r="O20" i="1"/>
  <c r="P20" i="1" s="1"/>
  <c r="Q20" i="1" s="1"/>
  <c r="R20" i="1" s="1"/>
  <c r="O8" i="1"/>
  <c r="P8" i="1" s="1"/>
  <c r="Q8" i="1" s="1"/>
  <c r="R8" i="1" s="1"/>
  <c r="O151" i="1"/>
  <c r="P151" i="1" s="1"/>
  <c r="Q151" i="1" s="1"/>
  <c r="R151" i="1" s="1"/>
  <c r="L40" i="1"/>
  <c r="L165" i="1"/>
  <c r="L160" i="1"/>
  <c r="L95" i="1"/>
  <c r="L53" i="1"/>
  <c r="L27" i="1"/>
  <c r="L41" i="1"/>
  <c r="L135" i="1"/>
  <c r="L123" i="1"/>
  <c r="L77" i="1"/>
  <c r="L63" i="1"/>
  <c r="L51" i="1"/>
  <c r="L100" i="1"/>
  <c r="L99" i="1"/>
  <c r="L45" i="1"/>
  <c r="L159" i="1"/>
  <c r="L87" i="1"/>
  <c r="L39" i="1"/>
  <c r="L141" i="1"/>
  <c r="L137" i="1"/>
  <c r="L76" i="1"/>
  <c r="L21" i="1"/>
  <c r="L136" i="1"/>
  <c r="L75" i="1"/>
  <c r="L16" i="1"/>
  <c r="L64" i="1"/>
  <c r="L124" i="1"/>
  <c r="L117" i="1"/>
  <c r="L52" i="1"/>
  <c r="L89" i="1"/>
  <c r="L125" i="1"/>
  <c r="L88" i="1"/>
  <c r="L47" i="1"/>
  <c r="L15" i="1"/>
  <c r="L121" i="1"/>
  <c r="L148" i="1"/>
  <c r="L112" i="1"/>
  <c r="L73" i="1"/>
  <c r="L29" i="1"/>
  <c r="L147" i="1"/>
  <c r="L111" i="1"/>
  <c r="L69" i="1"/>
  <c r="L28" i="1"/>
  <c r="L143" i="1"/>
  <c r="L25" i="1"/>
  <c r="L17" i="1"/>
  <c r="L12" i="1"/>
  <c r="L155" i="1"/>
  <c r="L122" i="1"/>
  <c r="L107" i="1"/>
  <c r="L74" i="1"/>
  <c r="L59" i="1"/>
  <c r="L26" i="1"/>
  <c r="L11" i="1"/>
  <c r="L154" i="1"/>
  <c r="L106" i="1"/>
  <c r="L58" i="1"/>
  <c r="L10" i="1"/>
  <c r="L153" i="1"/>
  <c r="L120" i="1"/>
  <c r="L105" i="1"/>
  <c r="L72" i="1"/>
  <c r="L57" i="1"/>
  <c r="L24" i="1"/>
  <c r="L9" i="1"/>
  <c r="L149" i="1"/>
  <c r="L134" i="1"/>
  <c r="L119" i="1"/>
  <c r="L101" i="1"/>
  <c r="L86" i="1"/>
  <c r="L71" i="1"/>
  <c r="L38" i="1"/>
  <c r="L23" i="1"/>
  <c r="L133" i="1"/>
  <c r="L118" i="1"/>
  <c r="L85" i="1"/>
  <c r="L70" i="1"/>
  <c r="L37" i="1"/>
  <c r="L22" i="1"/>
  <c r="L132" i="1"/>
  <c r="L161" i="1"/>
  <c r="L146" i="1"/>
  <c r="L131" i="1"/>
  <c r="L113" i="1"/>
  <c r="L98" i="1"/>
  <c r="L83" i="1"/>
  <c r="L65" i="1"/>
  <c r="L50" i="1"/>
  <c r="L35" i="1"/>
  <c r="L84" i="1"/>
  <c r="L130" i="1"/>
  <c r="L82" i="1"/>
  <c r="L34" i="1"/>
  <c r="L144" i="1"/>
  <c r="L129" i="1"/>
  <c r="L96" i="1"/>
  <c r="L81" i="1"/>
  <c r="L48" i="1"/>
  <c r="L33" i="1"/>
  <c r="I9" i="1" l="1"/>
  <c r="I10" i="1" l="1"/>
  <c r="J9" i="1"/>
  <c r="K9" i="1" s="1"/>
  <c r="T9" i="1" s="1"/>
  <c r="U9" i="1" s="1"/>
  <c r="V9" i="1" s="1"/>
  <c r="Z9" i="1" l="1"/>
  <c r="X9" i="1"/>
  <c r="I11" i="1"/>
  <c r="J10" i="1"/>
  <c r="K10" i="1" s="1"/>
  <c r="T10" i="1" s="1"/>
  <c r="U10" i="1" s="1"/>
  <c r="V10" i="1" s="1"/>
  <c r="W9" i="1" l="1"/>
  <c r="W10" i="1"/>
  <c r="Z10" i="1"/>
  <c r="X10" i="1"/>
  <c r="AD9" i="1"/>
  <c r="I12" i="1"/>
  <c r="J11" i="1"/>
  <c r="K11" i="1" s="1"/>
  <c r="T11" i="1" s="1"/>
  <c r="U11" i="1" s="1"/>
  <c r="V11" i="1" s="1"/>
  <c r="W11" i="1" l="1"/>
  <c r="Z11" i="1"/>
  <c r="X11" i="1"/>
  <c r="AD10" i="1"/>
  <c r="AE9" i="1"/>
  <c r="I13" i="1"/>
  <c r="J12" i="1"/>
  <c r="K12" i="1" s="1"/>
  <c r="T12" i="1" s="1"/>
  <c r="U12" i="1" s="1"/>
  <c r="V12" i="1" s="1"/>
  <c r="W12" i="1" l="1"/>
  <c r="Z12" i="1"/>
  <c r="X12" i="1"/>
  <c r="AE10" i="1"/>
  <c r="AD11" i="1"/>
  <c r="I14" i="1"/>
  <c r="J13" i="1"/>
  <c r="K13" i="1" s="1"/>
  <c r="T13" i="1" s="1"/>
  <c r="U13" i="1" s="1"/>
  <c r="V13" i="1" s="1"/>
  <c r="W13" i="1" l="1"/>
  <c r="X13" i="1"/>
  <c r="Z13" i="1"/>
  <c r="I15" i="1"/>
  <c r="J14" i="1"/>
  <c r="K14" i="1" s="1"/>
  <c r="T14" i="1" s="1"/>
  <c r="U14" i="1" s="1"/>
  <c r="V14" i="1" s="1"/>
  <c r="W14" i="1" l="1"/>
  <c r="AD13" i="1"/>
  <c r="AD12" i="1"/>
  <c r="AE12" i="1" s="1"/>
  <c r="X14" i="1"/>
  <c r="Z14" i="1"/>
  <c r="AE11" i="1"/>
  <c r="I16" i="1"/>
  <c r="J15" i="1"/>
  <c r="K15" i="1" s="1"/>
  <c r="T15" i="1" s="1"/>
  <c r="U15" i="1" s="1"/>
  <c r="V15" i="1" s="1"/>
  <c r="W15" i="1" l="1"/>
  <c r="X15" i="1"/>
  <c r="Z15" i="1"/>
  <c r="AE13" i="1"/>
  <c r="I17" i="1"/>
  <c r="J16" i="1"/>
  <c r="K16" i="1" s="1"/>
  <c r="T16" i="1" s="1"/>
  <c r="U16" i="1" s="1"/>
  <c r="V16" i="1" s="1"/>
  <c r="W16" i="1" l="1"/>
  <c r="AD15" i="1"/>
  <c r="AD14" i="1"/>
  <c r="AE14" i="1" s="1"/>
  <c r="Z16" i="1"/>
  <c r="X16" i="1"/>
  <c r="I18" i="1"/>
  <c r="J17" i="1"/>
  <c r="K17" i="1" s="1"/>
  <c r="T17" i="1" s="1"/>
  <c r="U17" i="1" s="1"/>
  <c r="V17" i="1" s="1"/>
  <c r="W17" i="1" l="1"/>
  <c r="Z17" i="1"/>
  <c r="X17" i="1"/>
  <c r="AE15" i="1"/>
  <c r="AD16" i="1"/>
  <c r="I19" i="1"/>
  <c r="J18" i="1"/>
  <c r="K18" i="1" s="1"/>
  <c r="T18" i="1" s="1"/>
  <c r="U18" i="1" s="1"/>
  <c r="V18" i="1" s="1"/>
  <c r="W18" i="1" l="1"/>
  <c r="AD17" i="1"/>
  <c r="AE17" i="1" s="1"/>
  <c r="Z18" i="1"/>
  <c r="X18" i="1"/>
  <c r="AE16" i="1"/>
  <c r="I20" i="1"/>
  <c r="J19" i="1"/>
  <c r="K19" i="1" s="1"/>
  <c r="T19" i="1" s="1"/>
  <c r="U19" i="1" s="1"/>
  <c r="V19" i="1" s="1"/>
  <c r="Z19" i="1" l="1"/>
  <c r="X19" i="1"/>
  <c r="AD18" i="1"/>
  <c r="I21" i="1"/>
  <c r="J20" i="1"/>
  <c r="K20" i="1" s="1"/>
  <c r="T20" i="1" s="1"/>
  <c r="U20" i="1" s="1"/>
  <c r="V20" i="1" s="1"/>
  <c r="W19" i="1" l="1"/>
  <c r="Z20" i="1"/>
  <c r="X20" i="1"/>
  <c r="AD19" i="1"/>
  <c r="AE18" i="1"/>
  <c r="I22" i="1"/>
  <c r="J21" i="1"/>
  <c r="K21" i="1" s="1"/>
  <c r="T21" i="1" s="1"/>
  <c r="U21" i="1" s="1"/>
  <c r="V21" i="1" s="1"/>
  <c r="W20" i="1" l="1"/>
  <c r="Z21" i="1"/>
  <c r="X21" i="1"/>
  <c r="AE19" i="1"/>
  <c r="AD20" i="1"/>
  <c r="I23" i="1"/>
  <c r="J22" i="1"/>
  <c r="K22" i="1" s="1"/>
  <c r="T22" i="1" s="1"/>
  <c r="U22" i="1" s="1"/>
  <c r="V22" i="1" s="1"/>
  <c r="W22" i="1" l="1"/>
  <c r="W21" i="1"/>
  <c r="Z22" i="1"/>
  <c r="X22" i="1"/>
  <c r="AE20" i="1"/>
  <c r="AD21" i="1"/>
  <c r="I24" i="1"/>
  <c r="J23" i="1"/>
  <c r="K23" i="1" s="1"/>
  <c r="T23" i="1" s="1"/>
  <c r="U23" i="1" s="1"/>
  <c r="V23" i="1" s="1"/>
  <c r="W23" i="1" l="1"/>
  <c r="Z23" i="1"/>
  <c r="X23" i="1"/>
  <c r="AD22" i="1"/>
  <c r="AE21" i="1"/>
  <c r="I25" i="1"/>
  <c r="J24" i="1"/>
  <c r="K24" i="1" s="1"/>
  <c r="T24" i="1" s="1"/>
  <c r="U24" i="1" s="1"/>
  <c r="V24" i="1" s="1"/>
  <c r="W24" i="1" l="1"/>
  <c r="Z24" i="1"/>
  <c r="X24" i="1"/>
  <c r="AE22" i="1"/>
  <c r="AD23" i="1"/>
  <c r="I26" i="1"/>
  <c r="J25" i="1"/>
  <c r="K25" i="1" s="1"/>
  <c r="T25" i="1" s="1"/>
  <c r="U25" i="1" s="1"/>
  <c r="V25" i="1" s="1"/>
  <c r="W25" i="1" l="1"/>
  <c r="Z25" i="1"/>
  <c r="X25" i="1"/>
  <c r="AD24" i="1"/>
  <c r="AE23" i="1"/>
  <c r="I27" i="1"/>
  <c r="J26" i="1"/>
  <c r="K26" i="1" s="1"/>
  <c r="T26" i="1" s="1"/>
  <c r="U26" i="1" s="1"/>
  <c r="V26" i="1" s="1"/>
  <c r="W26" i="1" l="1"/>
  <c r="Z26" i="1"/>
  <c r="X26" i="1"/>
  <c r="AE24" i="1"/>
  <c r="AD25" i="1"/>
  <c r="I28" i="1"/>
  <c r="J27" i="1"/>
  <c r="K27" i="1" s="1"/>
  <c r="T27" i="1" s="1"/>
  <c r="U27" i="1" s="1"/>
  <c r="V27" i="1" s="1"/>
  <c r="X27" i="1" l="1"/>
  <c r="Z27" i="1"/>
  <c r="AE25" i="1"/>
  <c r="AD26" i="1"/>
  <c r="I29" i="1"/>
  <c r="J28" i="1"/>
  <c r="K28" i="1" s="1"/>
  <c r="T28" i="1" s="1"/>
  <c r="U28" i="1" s="1"/>
  <c r="V28" i="1" s="1"/>
  <c r="W28" i="1" l="1"/>
  <c r="W27" i="1"/>
  <c r="X28" i="1"/>
  <c r="Z28" i="1"/>
  <c r="AE26" i="1"/>
  <c r="AD27" i="1"/>
  <c r="I30" i="1"/>
  <c r="J29" i="1"/>
  <c r="K29" i="1" s="1"/>
  <c r="T29" i="1" s="1"/>
  <c r="U29" i="1" s="1"/>
  <c r="V29" i="1" s="1"/>
  <c r="W29" i="1" l="1"/>
  <c r="X29" i="1"/>
  <c r="Z29" i="1"/>
  <c r="AE27" i="1"/>
  <c r="AD28" i="1"/>
  <c r="I31" i="1"/>
  <c r="J30" i="1"/>
  <c r="K30" i="1" s="1"/>
  <c r="T30" i="1" s="1"/>
  <c r="U30" i="1" s="1"/>
  <c r="V30" i="1" s="1"/>
  <c r="W30" i="1" l="1"/>
  <c r="AD29" i="1"/>
  <c r="Z30" i="1"/>
  <c r="X30" i="1"/>
  <c r="AE28" i="1"/>
  <c r="I32" i="1"/>
  <c r="J31" i="1"/>
  <c r="K31" i="1" s="1"/>
  <c r="T31" i="1" s="1"/>
  <c r="U31" i="1" s="1"/>
  <c r="V31" i="1" s="1"/>
  <c r="W31" i="1" l="1"/>
  <c r="Z31" i="1"/>
  <c r="X31" i="1"/>
  <c r="AE29" i="1"/>
  <c r="AD30" i="1"/>
  <c r="I33" i="1"/>
  <c r="J32" i="1"/>
  <c r="K32" i="1" s="1"/>
  <c r="T32" i="1" s="1"/>
  <c r="U32" i="1" s="1"/>
  <c r="V32" i="1" s="1"/>
  <c r="AD31" i="1" l="1"/>
  <c r="W32" i="1"/>
  <c r="Z32" i="1"/>
  <c r="X32" i="1"/>
  <c r="AE30" i="1"/>
  <c r="I34" i="1"/>
  <c r="J33" i="1"/>
  <c r="K33" i="1" s="1"/>
  <c r="T33" i="1" s="1"/>
  <c r="U33" i="1" s="1"/>
  <c r="V33" i="1" s="1"/>
  <c r="W33" i="1" l="1"/>
  <c r="Z33" i="1"/>
  <c r="X33" i="1"/>
  <c r="AD32" i="1"/>
  <c r="AE31" i="1"/>
  <c r="I35" i="1"/>
  <c r="J34" i="1"/>
  <c r="K34" i="1" s="1"/>
  <c r="T34" i="1" s="1"/>
  <c r="U34" i="1" s="1"/>
  <c r="V34" i="1" s="1"/>
  <c r="AD33" i="1" l="1"/>
  <c r="W34" i="1"/>
  <c r="Z34" i="1"/>
  <c r="X34" i="1"/>
  <c r="AE32" i="1"/>
  <c r="I36" i="1"/>
  <c r="J35" i="1"/>
  <c r="K35" i="1" s="1"/>
  <c r="T35" i="1" s="1"/>
  <c r="U35" i="1" s="1"/>
  <c r="V35" i="1" s="1"/>
  <c r="W35" i="1" l="1"/>
  <c r="Z35" i="1"/>
  <c r="X35" i="1"/>
  <c r="AE33" i="1"/>
  <c r="AD34" i="1"/>
  <c r="I37" i="1"/>
  <c r="J36" i="1"/>
  <c r="K36" i="1" s="1"/>
  <c r="T36" i="1" s="1"/>
  <c r="U36" i="1" s="1"/>
  <c r="V36" i="1" s="1"/>
  <c r="Z36" i="1" l="1"/>
  <c r="X36" i="1"/>
  <c r="AE34" i="1"/>
  <c r="AD35" i="1"/>
  <c r="I38" i="1"/>
  <c r="J37" i="1"/>
  <c r="K37" i="1" s="1"/>
  <c r="T37" i="1" s="1"/>
  <c r="U37" i="1" s="1"/>
  <c r="V37" i="1" s="1"/>
  <c r="W36" i="1" l="1"/>
  <c r="X37" i="1"/>
  <c r="Z37" i="1"/>
  <c r="AD36" i="1"/>
  <c r="AE35" i="1"/>
  <c r="I39" i="1"/>
  <c r="J38" i="1"/>
  <c r="K38" i="1" s="1"/>
  <c r="T38" i="1" s="1"/>
  <c r="U38" i="1" s="1"/>
  <c r="V38" i="1" s="1"/>
  <c r="W37" i="1" l="1"/>
  <c r="X38" i="1"/>
  <c r="Z38" i="1"/>
  <c r="AE36" i="1"/>
  <c r="AD37" i="1"/>
  <c r="I40" i="1"/>
  <c r="J39" i="1"/>
  <c r="K39" i="1" s="1"/>
  <c r="T39" i="1" s="1"/>
  <c r="U39" i="1" s="1"/>
  <c r="V39" i="1" s="1"/>
  <c r="W38" i="1" l="1"/>
  <c r="X39" i="1"/>
  <c r="Z39" i="1"/>
  <c r="AE37" i="1"/>
  <c r="AD38" i="1"/>
  <c r="I41" i="1"/>
  <c r="J40" i="1"/>
  <c r="K40" i="1" s="1"/>
  <c r="T40" i="1" s="1"/>
  <c r="U40" i="1" s="1"/>
  <c r="V40" i="1" s="1"/>
  <c r="W40" i="1" l="1"/>
  <c r="W39" i="1"/>
  <c r="X40" i="1"/>
  <c r="Z40" i="1"/>
  <c r="AE38" i="1"/>
  <c r="AD39" i="1"/>
  <c r="I42" i="1"/>
  <c r="J41" i="1"/>
  <c r="K41" i="1" s="1"/>
  <c r="T41" i="1" s="1"/>
  <c r="U41" i="1" s="1"/>
  <c r="V41" i="1" s="1"/>
  <c r="Z41" i="1" l="1"/>
  <c r="X41" i="1"/>
  <c r="AD40" i="1"/>
  <c r="AE39" i="1"/>
  <c r="I43" i="1"/>
  <c r="J42" i="1"/>
  <c r="K42" i="1" s="1"/>
  <c r="T42" i="1" s="1"/>
  <c r="U42" i="1" s="1"/>
  <c r="V42" i="1" s="1"/>
  <c r="W42" i="1" l="1"/>
  <c r="W41" i="1"/>
  <c r="Z42" i="1"/>
  <c r="X42" i="1"/>
  <c r="AE40" i="1"/>
  <c r="AD41" i="1"/>
  <c r="I44" i="1"/>
  <c r="J43" i="1"/>
  <c r="K43" i="1" s="1"/>
  <c r="T43" i="1" s="1"/>
  <c r="U43" i="1" s="1"/>
  <c r="V43" i="1" s="1"/>
  <c r="Z43" i="1" l="1"/>
  <c r="X43" i="1"/>
  <c r="AE41" i="1"/>
  <c r="AD42" i="1"/>
  <c r="I45" i="1"/>
  <c r="J44" i="1"/>
  <c r="K44" i="1" s="1"/>
  <c r="T44" i="1" s="1"/>
  <c r="U44" i="1" s="1"/>
  <c r="V44" i="1" s="1"/>
  <c r="W43" i="1" l="1"/>
  <c r="Z44" i="1"/>
  <c r="X44" i="1"/>
  <c r="AE42" i="1"/>
  <c r="AD43" i="1"/>
  <c r="I46" i="1"/>
  <c r="J45" i="1"/>
  <c r="K45" i="1" s="1"/>
  <c r="T45" i="1" s="1"/>
  <c r="U45" i="1" s="1"/>
  <c r="V45" i="1" s="1"/>
  <c r="W44" i="1" l="1"/>
  <c r="Z45" i="1"/>
  <c r="X45" i="1"/>
  <c r="AE43" i="1"/>
  <c r="AD44" i="1"/>
  <c r="I47" i="1"/>
  <c r="J46" i="1"/>
  <c r="K46" i="1" s="1"/>
  <c r="T46" i="1" s="1"/>
  <c r="U46" i="1" s="1"/>
  <c r="V46" i="1" s="1"/>
  <c r="W46" i="1" l="1"/>
  <c r="W45" i="1"/>
  <c r="Z46" i="1"/>
  <c r="X46" i="1"/>
  <c r="AE44" i="1"/>
  <c r="AD45" i="1"/>
  <c r="I48" i="1"/>
  <c r="J47" i="1"/>
  <c r="K47" i="1" s="1"/>
  <c r="T47" i="1" s="1"/>
  <c r="U47" i="1" s="1"/>
  <c r="V47" i="1" s="1"/>
  <c r="W47" i="1" l="1"/>
  <c r="Z47" i="1"/>
  <c r="X47" i="1"/>
  <c r="AE45" i="1"/>
  <c r="AD46" i="1"/>
  <c r="I49" i="1"/>
  <c r="J48" i="1"/>
  <c r="K48" i="1" s="1"/>
  <c r="T48" i="1" s="1"/>
  <c r="U48" i="1" s="1"/>
  <c r="V48" i="1" s="1"/>
  <c r="W48" i="1" l="1"/>
  <c r="Z48" i="1"/>
  <c r="X48" i="1"/>
  <c r="AD47" i="1"/>
  <c r="AE46" i="1"/>
  <c r="I50" i="1"/>
  <c r="J49" i="1"/>
  <c r="K49" i="1" s="1"/>
  <c r="T49" i="1" s="1"/>
  <c r="U49" i="1" s="1"/>
  <c r="V49" i="1" s="1"/>
  <c r="W49" i="1" l="1"/>
  <c r="Z49" i="1"/>
  <c r="X49" i="1"/>
  <c r="AE47" i="1"/>
  <c r="AD48" i="1"/>
  <c r="I51" i="1"/>
  <c r="J50" i="1"/>
  <c r="K50" i="1" s="1"/>
  <c r="T50" i="1" s="1"/>
  <c r="U50" i="1" s="1"/>
  <c r="V50" i="1" s="1"/>
  <c r="W50" i="1" l="1"/>
  <c r="Z50" i="1"/>
  <c r="X50" i="1"/>
  <c r="AD49" i="1"/>
  <c r="AE48" i="1"/>
  <c r="I52" i="1"/>
  <c r="J51" i="1"/>
  <c r="K51" i="1" s="1"/>
  <c r="T51" i="1" s="1"/>
  <c r="U51" i="1" s="1"/>
  <c r="V51" i="1" s="1"/>
  <c r="W51" i="1" l="1"/>
  <c r="X51" i="1"/>
  <c r="Z51" i="1"/>
  <c r="AE49" i="1"/>
  <c r="AD50" i="1"/>
  <c r="I53" i="1"/>
  <c r="J52" i="1"/>
  <c r="K52" i="1" s="1"/>
  <c r="T52" i="1" s="1"/>
  <c r="U52" i="1" s="1"/>
  <c r="V52" i="1" s="1"/>
  <c r="W52" i="1" l="1"/>
  <c r="X52" i="1"/>
  <c r="Z52" i="1"/>
  <c r="AD51" i="1"/>
  <c r="AE50" i="1"/>
  <c r="I54" i="1"/>
  <c r="J53" i="1"/>
  <c r="K53" i="1" s="1"/>
  <c r="T53" i="1" s="1"/>
  <c r="U53" i="1" s="1"/>
  <c r="V53" i="1" s="1"/>
  <c r="Z53" i="1" l="1"/>
  <c r="X53" i="1"/>
  <c r="AE51" i="1"/>
  <c r="AD52" i="1"/>
  <c r="I55" i="1"/>
  <c r="J54" i="1"/>
  <c r="W53" i="1" l="1"/>
  <c r="AE52" i="1"/>
  <c r="AD53" i="1"/>
  <c r="K54" i="1"/>
  <c r="T54" i="1" s="1"/>
  <c r="U54" i="1" s="1"/>
  <c r="V54" i="1" s="1"/>
  <c r="I56" i="1"/>
  <c r="J55" i="1"/>
  <c r="W54" i="1" l="1"/>
  <c r="Z54" i="1"/>
  <c r="X54" i="1"/>
  <c r="AE53" i="1"/>
  <c r="K55" i="1"/>
  <c r="T55" i="1" s="1"/>
  <c r="U55" i="1" s="1"/>
  <c r="V55" i="1" s="1"/>
  <c r="I57" i="1"/>
  <c r="J56" i="1"/>
  <c r="Z55" i="1" l="1"/>
  <c r="X55" i="1"/>
  <c r="AD54" i="1"/>
  <c r="K56" i="1"/>
  <c r="T56" i="1" s="1"/>
  <c r="U56" i="1" s="1"/>
  <c r="V56" i="1" s="1"/>
  <c r="I58" i="1"/>
  <c r="J57" i="1"/>
  <c r="W55" i="1" l="1"/>
  <c r="Z56" i="1"/>
  <c r="X56" i="1"/>
  <c r="AE54" i="1"/>
  <c r="AD55" i="1"/>
  <c r="K57" i="1"/>
  <c r="T57" i="1" s="1"/>
  <c r="U57" i="1" s="1"/>
  <c r="V57" i="1" s="1"/>
  <c r="I59" i="1"/>
  <c r="J58" i="1"/>
  <c r="W56" i="1" l="1"/>
  <c r="Z57" i="1"/>
  <c r="X57" i="1"/>
  <c r="AD56" i="1"/>
  <c r="AE55" i="1"/>
  <c r="K58" i="1"/>
  <c r="T58" i="1" s="1"/>
  <c r="U58" i="1" s="1"/>
  <c r="V58" i="1" s="1"/>
  <c r="I60" i="1"/>
  <c r="J59" i="1"/>
  <c r="W58" i="1" l="1"/>
  <c r="W57" i="1"/>
  <c r="Z58" i="1"/>
  <c r="X58" i="1"/>
  <c r="AE56" i="1"/>
  <c r="AD57" i="1"/>
  <c r="K59" i="1"/>
  <c r="T59" i="1" s="1"/>
  <c r="U59" i="1" s="1"/>
  <c r="V59" i="1" s="1"/>
  <c r="I61" i="1"/>
  <c r="J60" i="1"/>
  <c r="W59" i="1" l="1"/>
  <c r="Z59" i="1"/>
  <c r="X59" i="1"/>
  <c r="AE57" i="1"/>
  <c r="AD58" i="1"/>
  <c r="K60" i="1"/>
  <c r="T60" i="1" s="1"/>
  <c r="U60" i="1" s="1"/>
  <c r="V60" i="1" s="1"/>
  <c r="I62" i="1"/>
  <c r="J61" i="1"/>
  <c r="W60" i="1" l="1"/>
  <c r="Z60" i="1"/>
  <c r="X60" i="1"/>
  <c r="AE58" i="1"/>
  <c r="AD59" i="1"/>
  <c r="K61" i="1"/>
  <c r="T61" i="1" s="1"/>
  <c r="U61" i="1" s="1"/>
  <c r="V61" i="1" s="1"/>
  <c r="I63" i="1"/>
  <c r="J62" i="1"/>
  <c r="W61" i="1" l="1"/>
  <c r="X61" i="1"/>
  <c r="Z61" i="1"/>
  <c r="AD60" i="1"/>
  <c r="AE59" i="1"/>
  <c r="K62" i="1"/>
  <c r="T62" i="1" s="1"/>
  <c r="U62" i="1" s="1"/>
  <c r="V62" i="1" s="1"/>
  <c r="I64" i="1"/>
  <c r="J63" i="1"/>
  <c r="W62" i="1" l="1"/>
  <c r="X62" i="1"/>
  <c r="Z62" i="1"/>
  <c r="AE60" i="1"/>
  <c r="AD61" i="1"/>
  <c r="K63" i="1"/>
  <c r="T63" i="1" s="1"/>
  <c r="U63" i="1" s="1"/>
  <c r="V63" i="1" s="1"/>
  <c r="I65" i="1"/>
  <c r="J64" i="1"/>
  <c r="W63" i="1" l="1"/>
  <c r="X63" i="1"/>
  <c r="Z63" i="1"/>
  <c r="AE61" i="1"/>
  <c r="AD62" i="1"/>
  <c r="K64" i="1"/>
  <c r="T64" i="1" s="1"/>
  <c r="U64" i="1" s="1"/>
  <c r="V64" i="1" s="1"/>
  <c r="I66" i="1"/>
  <c r="J65" i="1"/>
  <c r="W64" i="1" l="1"/>
  <c r="Z64" i="1"/>
  <c r="X64" i="1"/>
  <c r="AE62" i="1"/>
  <c r="AD63" i="1"/>
  <c r="K65" i="1"/>
  <c r="T65" i="1" s="1"/>
  <c r="U65" i="1" s="1"/>
  <c r="V65" i="1" s="1"/>
  <c r="I67" i="1"/>
  <c r="J66" i="1"/>
  <c r="W65" i="1" l="1"/>
  <c r="Z65" i="1"/>
  <c r="X65" i="1"/>
  <c r="AD64" i="1"/>
  <c r="AE63" i="1"/>
  <c r="K66" i="1"/>
  <c r="T66" i="1" s="1"/>
  <c r="U66" i="1" s="1"/>
  <c r="V66" i="1" s="1"/>
  <c r="I68" i="1"/>
  <c r="J67" i="1"/>
  <c r="W66" i="1" l="1"/>
  <c r="Z66" i="1"/>
  <c r="X66" i="1"/>
  <c r="AE64" i="1"/>
  <c r="AD65" i="1"/>
  <c r="K67" i="1"/>
  <c r="T67" i="1" s="1"/>
  <c r="U67" i="1" s="1"/>
  <c r="V67" i="1" s="1"/>
  <c r="I69" i="1"/>
  <c r="J68" i="1"/>
  <c r="W67" i="1" l="1"/>
  <c r="Z67" i="1"/>
  <c r="X67" i="1"/>
  <c r="AE65" i="1"/>
  <c r="AD66" i="1"/>
  <c r="K68" i="1"/>
  <c r="T68" i="1" s="1"/>
  <c r="U68" i="1" s="1"/>
  <c r="V68" i="1" s="1"/>
  <c r="I70" i="1"/>
  <c r="J69" i="1"/>
  <c r="Z68" i="1" l="1"/>
  <c r="X68" i="1"/>
  <c r="AD67" i="1"/>
  <c r="AE66" i="1"/>
  <c r="K69" i="1"/>
  <c r="T69" i="1" s="1"/>
  <c r="U69" i="1" s="1"/>
  <c r="V69" i="1" s="1"/>
  <c r="I71" i="1"/>
  <c r="J70" i="1"/>
  <c r="W69" i="1" l="1"/>
  <c r="W68" i="1"/>
  <c r="Z69" i="1"/>
  <c r="X69" i="1"/>
  <c r="AE67" i="1"/>
  <c r="AD68" i="1"/>
  <c r="K70" i="1"/>
  <c r="T70" i="1" s="1"/>
  <c r="U70" i="1" s="1"/>
  <c r="V70" i="1" s="1"/>
  <c r="I72" i="1"/>
  <c r="J71" i="1"/>
  <c r="W70" i="1" l="1"/>
  <c r="Z70" i="1"/>
  <c r="X70" i="1"/>
  <c r="AD69" i="1"/>
  <c r="AE68" i="1"/>
  <c r="K71" i="1"/>
  <c r="T71" i="1" s="1"/>
  <c r="U71" i="1" s="1"/>
  <c r="V71" i="1" s="1"/>
  <c r="I73" i="1"/>
  <c r="J72" i="1"/>
  <c r="W71" i="1" l="1"/>
  <c r="Z71" i="1"/>
  <c r="X71" i="1"/>
  <c r="AE69" i="1"/>
  <c r="AD70" i="1"/>
  <c r="K72" i="1"/>
  <c r="T72" i="1" s="1"/>
  <c r="U72" i="1" s="1"/>
  <c r="V72" i="1" s="1"/>
  <c r="I74" i="1"/>
  <c r="J73" i="1"/>
  <c r="Z72" i="1" l="1"/>
  <c r="X72" i="1"/>
  <c r="AE70" i="1"/>
  <c r="AD71" i="1"/>
  <c r="K73" i="1"/>
  <c r="T73" i="1" s="1"/>
  <c r="U73" i="1" s="1"/>
  <c r="V73" i="1" s="1"/>
  <c r="I75" i="1"/>
  <c r="J74" i="1"/>
  <c r="W72" i="1" l="1"/>
  <c r="X73" i="1"/>
  <c r="Z73" i="1"/>
  <c r="AE71" i="1"/>
  <c r="AD72" i="1"/>
  <c r="K74" i="1"/>
  <c r="T74" i="1" s="1"/>
  <c r="U74" i="1" s="1"/>
  <c r="V74" i="1" s="1"/>
  <c r="I76" i="1"/>
  <c r="J75" i="1"/>
  <c r="W73" i="1" l="1"/>
  <c r="Z74" i="1"/>
  <c r="X74" i="1"/>
  <c r="AD73" i="1"/>
  <c r="AE72" i="1"/>
  <c r="K75" i="1"/>
  <c r="T75" i="1" s="1"/>
  <c r="U75" i="1" s="1"/>
  <c r="V75" i="1" s="1"/>
  <c r="I77" i="1"/>
  <c r="J76" i="1"/>
  <c r="W74" i="1" l="1"/>
  <c r="X75" i="1"/>
  <c r="Z75" i="1"/>
  <c r="AE73" i="1"/>
  <c r="AD74" i="1"/>
  <c r="K76" i="1"/>
  <c r="T76" i="1" s="1"/>
  <c r="U76" i="1" s="1"/>
  <c r="V76" i="1" s="1"/>
  <c r="I78" i="1"/>
  <c r="J77" i="1"/>
  <c r="W76" i="1" l="1"/>
  <c r="W75" i="1"/>
  <c r="X76" i="1"/>
  <c r="Z76" i="1"/>
  <c r="AD75" i="1"/>
  <c r="AE74" i="1"/>
  <c r="K77" i="1"/>
  <c r="T77" i="1" s="1"/>
  <c r="U77" i="1" s="1"/>
  <c r="V77" i="1" s="1"/>
  <c r="I79" i="1"/>
  <c r="J78" i="1"/>
  <c r="Z77" i="1" l="1"/>
  <c r="X77" i="1"/>
  <c r="AE75" i="1"/>
  <c r="AD76" i="1"/>
  <c r="K78" i="1"/>
  <c r="T78" i="1" s="1"/>
  <c r="U78" i="1" s="1"/>
  <c r="V78" i="1" s="1"/>
  <c r="I80" i="1"/>
  <c r="J79" i="1"/>
  <c r="W78" i="1" l="1"/>
  <c r="W77" i="1"/>
  <c r="Z78" i="1"/>
  <c r="X78" i="1"/>
  <c r="AE76" i="1"/>
  <c r="AD77" i="1"/>
  <c r="K79" i="1"/>
  <c r="T79" i="1" s="1"/>
  <c r="U79" i="1" s="1"/>
  <c r="V79" i="1" s="1"/>
  <c r="I81" i="1"/>
  <c r="J80" i="1"/>
  <c r="Z79" i="1" l="1"/>
  <c r="X79" i="1"/>
  <c r="AE77" i="1"/>
  <c r="AD78" i="1"/>
  <c r="K80" i="1"/>
  <c r="T80" i="1" s="1"/>
  <c r="U80" i="1" s="1"/>
  <c r="V80" i="1" s="1"/>
  <c r="I82" i="1"/>
  <c r="J81" i="1"/>
  <c r="W79" i="1" l="1"/>
  <c r="Z80" i="1"/>
  <c r="X80" i="1"/>
  <c r="AE78" i="1"/>
  <c r="K81" i="1"/>
  <c r="T81" i="1" s="1"/>
  <c r="U81" i="1" s="1"/>
  <c r="V81" i="1" s="1"/>
  <c r="I83" i="1"/>
  <c r="J82" i="1"/>
  <c r="AD79" i="1" l="1"/>
  <c r="AE79" i="1" s="1"/>
  <c r="W80" i="1"/>
  <c r="Z81" i="1"/>
  <c r="X81" i="1"/>
  <c r="K82" i="1"/>
  <c r="T82" i="1" s="1"/>
  <c r="U82" i="1" s="1"/>
  <c r="V82" i="1" s="1"/>
  <c r="I84" i="1"/>
  <c r="J83" i="1"/>
  <c r="W81" i="1" l="1"/>
  <c r="W82" i="1"/>
  <c r="AD80" i="1"/>
  <c r="AE80" i="1" s="1"/>
  <c r="Z82" i="1"/>
  <c r="X82" i="1"/>
  <c r="AD81" i="1"/>
  <c r="K83" i="1"/>
  <c r="T83" i="1" s="1"/>
  <c r="U83" i="1" s="1"/>
  <c r="V83" i="1" s="1"/>
  <c r="I85" i="1"/>
  <c r="J84" i="1"/>
  <c r="W83" i="1" l="1"/>
  <c r="Z83" i="1"/>
  <c r="X83" i="1"/>
  <c r="AE81" i="1"/>
  <c r="AD82" i="1"/>
  <c r="K84" i="1"/>
  <c r="T84" i="1" s="1"/>
  <c r="U84" i="1" s="1"/>
  <c r="V84" i="1" s="1"/>
  <c r="I86" i="1"/>
  <c r="J85" i="1"/>
  <c r="W84" i="1" l="1"/>
  <c r="Z84" i="1"/>
  <c r="X84" i="1"/>
  <c r="AE82" i="1"/>
  <c r="AD83" i="1"/>
  <c r="K85" i="1"/>
  <c r="T85" i="1" s="1"/>
  <c r="U85" i="1" s="1"/>
  <c r="V85" i="1" s="1"/>
  <c r="I87" i="1"/>
  <c r="J86" i="1"/>
  <c r="W85" i="1" l="1"/>
  <c r="Z85" i="1"/>
  <c r="X85" i="1"/>
  <c r="AD84" i="1"/>
  <c r="AE83" i="1"/>
  <c r="K86" i="1"/>
  <c r="T86" i="1" s="1"/>
  <c r="U86" i="1" s="1"/>
  <c r="V86" i="1" s="1"/>
  <c r="I88" i="1"/>
  <c r="J87" i="1"/>
  <c r="W86" i="1" l="1"/>
  <c r="X86" i="1"/>
  <c r="Z86" i="1"/>
  <c r="AE84" i="1"/>
  <c r="AD85" i="1"/>
  <c r="K87" i="1"/>
  <c r="T87" i="1" s="1"/>
  <c r="U87" i="1" s="1"/>
  <c r="V87" i="1" s="1"/>
  <c r="I89" i="1"/>
  <c r="J88" i="1"/>
  <c r="W87" i="1" l="1"/>
  <c r="X87" i="1"/>
  <c r="Z87" i="1"/>
  <c r="AE85" i="1"/>
  <c r="AD86" i="1"/>
  <c r="K88" i="1"/>
  <c r="T88" i="1" s="1"/>
  <c r="U88" i="1" s="1"/>
  <c r="V88" i="1" s="1"/>
  <c r="I90" i="1"/>
  <c r="J89" i="1"/>
  <c r="W88" i="1" l="1"/>
  <c r="Z88" i="1"/>
  <c r="X88" i="1"/>
  <c r="AE86" i="1"/>
  <c r="AD87" i="1"/>
  <c r="K89" i="1"/>
  <c r="T89" i="1" s="1"/>
  <c r="U89" i="1" s="1"/>
  <c r="V89" i="1" s="1"/>
  <c r="I91" i="1"/>
  <c r="J90" i="1"/>
  <c r="Z89" i="1" l="1"/>
  <c r="X89" i="1"/>
  <c r="AE87" i="1"/>
  <c r="K90" i="1"/>
  <c r="T90" i="1" s="1"/>
  <c r="U90" i="1" s="1"/>
  <c r="V90" i="1" s="1"/>
  <c r="I92" i="1"/>
  <c r="J91" i="1"/>
  <c r="W90" i="1" l="1"/>
  <c r="AD88" i="1"/>
  <c r="AE88" i="1" s="1"/>
  <c r="W89" i="1"/>
  <c r="Z90" i="1"/>
  <c r="X90" i="1"/>
  <c r="AD89" i="1"/>
  <c r="K91" i="1"/>
  <c r="T91" i="1" s="1"/>
  <c r="U91" i="1" s="1"/>
  <c r="V91" i="1" s="1"/>
  <c r="I93" i="1"/>
  <c r="J92" i="1"/>
  <c r="AE89" i="1" l="1"/>
  <c r="W91" i="1"/>
  <c r="Z91" i="1"/>
  <c r="X91" i="1"/>
  <c r="AD90" i="1"/>
  <c r="K92" i="1"/>
  <c r="T92" i="1" s="1"/>
  <c r="U92" i="1" s="1"/>
  <c r="V92" i="1" s="1"/>
  <c r="I94" i="1"/>
  <c r="J93" i="1"/>
  <c r="Z92" i="1" l="1"/>
  <c r="X92" i="1"/>
  <c r="AD91" i="1"/>
  <c r="AE90" i="1"/>
  <c r="K93" i="1"/>
  <c r="T93" i="1" s="1"/>
  <c r="U93" i="1" s="1"/>
  <c r="V93" i="1" s="1"/>
  <c r="I95" i="1"/>
  <c r="J94" i="1"/>
  <c r="W92" i="1" l="1"/>
  <c r="Z93" i="1"/>
  <c r="X93" i="1"/>
  <c r="AD92" i="1"/>
  <c r="AE91" i="1"/>
  <c r="K94" i="1"/>
  <c r="T94" i="1" s="1"/>
  <c r="U94" i="1" s="1"/>
  <c r="V94" i="1" s="1"/>
  <c r="I96" i="1"/>
  <c r="J95" i="1"/>
  <c r="W94" i="1" l="1"/>
  <c r="W93" i="1"/>
  <c r="Z94" i="1"/>
  <c r="X94" i="1"/>
  <c r="AE92" i="1"/>
  <c r="AD93" i="1"/>
  <c r="K95" i="1"/>
  <c r="T95" i="1" s="1"/>
  <c r="U95" i="1" s="1"/>
  <c r="V95" i="1" s="1"/>
  <c r="I97" i="1"/>
  <c r="J96" i="1"/>
  <c r="W95" i="1" l="1"/>
  <c r="Z95" i="1"/>
  <c r="X95" i="1"/>
  <c r="AE93" i="1"/>
  <c r="AD94" i="1"/>
  <c r="K96" i="1"/>
  <c r="T96" i="1" s="1"/>
  <c r="U96" i="1" s="1"/>
  <c r="V96" i="1" s="1"/>
  <c r="I98" i="1"/>
  <c r="J97" i="1"/>
  <c r="W96" i="1" l="1"/>
  <c r="Z96" i="1"/>
  <c r="X96" i="1"/>
  <c r="AD95" i="1"/>
  <c r="AE94" i="1"/>
  <c r="K97" i="1"/>
  <c r="T97" i="1" s="1"/>
  <c r="U97" i="1" s="1"/>
  <c r="V97" i="1" s="1"/>
  <c r="I99" i="1"/>
  <c r="J98" i="1"/>
  <c r="W97" i="1" l="1"/>
  <c r="X97" i="1"/>
  <c r="Z97" i="1"/>
  <c r="AE95" i="1"/>
  <c r="AD96" i="1"/>
  <c r="K98" i="1"/>
  <c r="T98" i="1" s="1"/>
  <c r="U98" i="1" s="1"/>
  <c r="V98" i="1" s="1"/>
  <c r="I100" i="1"/>
  <c r="J99" i="1"/>
  <c r="X98" i="1" l="1"/>
  <c r="Z98" i="1"/>
  <c r="AD97" i="1"/>
  <c r="AE96" i="1"/>
  <c r="K99" i="1"/>
  <c r="T99" i="1" s="1"/>
  <c r="U99" i="1" s="1"/>
  <c r="V99" i="1" s="1"/>
  <c r="I101" i="1"/>
  <c r="J100" i="1"/>
  <c r="W99" i="1" l="1"/>
  <c r="W98" i="1"/>
  <c r="X99" i="1"/>
  <c r="Z99" i="1"/>
  <c r="AE97" i="1"/>
  <c r="AD98" i="1"/>
  <c r="K100" i="1"/>
  <c r="T100" i="1" s="1"/>
  <c r="U100" i="1" s="1"/>
  <c r="V100" i="1" s="1"/>
  <c r="I102" i="1"/>
  <c r="J101" i="1"/>
  <c r="W100" i="1" l="1"/>
  <c r="X100" i="1"/>
  <c r="Z100" i="1"/>
  <c r="AE98" i="1"/>
  <c r="AD99" i="1"/>
  <c r="K101" i="1"/>
  <c r="T101" i="1" s="1"/>
  <c r="U101" i="1" s="1"/>
  <c r="V101" i="1" s="1"/>
  <c r="I103" i="1"/>
  <c r="J102" i="1"/>
  <c r="W101" i="1" l="1"/>
  <c r="Z101" i="1"/>
  <c r="X101" i="1"/>
  <c r="AE99" i="1"/>
  <c r="K102" i="1"/>
  <c r="T102" i="1" s="1"/>
  <c r="U102" i="1" s="1"/>
  <c r="V102" i="1" s="1"/>
  <c r="I104" i="1"/>
  <c r="J103" i="1"/>
  <c r="AD100" i="1" l="1"/>
  <c r="AE100" i="1" s="1"/>
  <c r="W102" i="1"/>
  <c r="Z102" i="1"/>
  <c r="X102" i="1"/>
  <c r="AD101" i="1"/>
  <c r="K103" i="1"/>
  <c r="T103" i="1" s="1"/>
  <c r="U103" i="1" s="1"/>
  <c r="V103" i="1" s="1"/>
  <c r="I105" i="1"/>
  <c r="J104" i="1"/>
  <c r="W103" i="1" l="1"/>
  <c r="Z103" i="1"/>
  <c r="X103" i="1"/>
  <c r="AE101" i="1"/>
  <c r="AD102" i="1"/>
  <c r="K104" i="1"/>
  <c r="T104" i="1" s="1"/>
  <c r="U104" i="1" s="1"/>
  <c r="V104" i="1" s="1"/>
  <c r="I106" i="1"/>
  <c r="J105" i="1"/>
  <c r="Z104" i="1" l="1"/>
  <c r="X104" i="1"/>
  <c r="AE102" i="1"/>
  <c r="K105" i="1"/>
  <c r="T105" i="1" s="1"/>
  <c r="U105" i="1" s="1"/>
  <c r="V105" i="1" s="1"/>
  <c r="I107" i="1"/>
  <c r="J106" i="1"/>
  <c r="AD103" i="1" l="1"/>
  <c r="AE103" i="1" s="1"/>
  <c r="W105" i="1"/>
  <c r="W104" i="1"/>
  <c r="Z105" i="1"/>
  <c r="X105" i="1"/>
  <c r="AD104" i="1"/>
  <c r="K106" i="1"/>
  <c r="T106" i="1" s="1"/>
  <c r="U106" i="1" s="1"/>
  <c r="V106" i="1" s="1"/>
  <c r="I108" i="1"/>
  <c r="J107" i="1"/>
  <c r="W106" i="1" l="1"/>
  <c r="Z106" i="1"/>
  <c r="X106" i="1"/>
  <c r="AE104" i="1"/>
  <c r="K107" i="1"/>
  <c r="T107" i="1" s="1"/>
  <c r="U107" i="1" s="1"/>
  <c r="V107" i="1" s="1"/>
  <c r="I109" i="1"/>
  <c r="J108" i="1"/>
  <c r="AD105" i="1" l="1"/>
  <c r="AE105" i="1" s="1"/>
  <c r="W107" i="1"/>
  <c r="Z107" i="1"/>
  <c r="X107" i="1"/>
  <c r="AD106" i="1"/>
  <c r="K108" i="1"/>
  <c r="T108" i="1" s="1"/>
  <c r="U108" i="1" s="1"/>
  <c r="V108" i="1" s="1"/>
  <c r="I110" i="1"/>
  <c r="J109" i="1"/>
  <c r="Z108" i="1" l="1"/>
  <c r="X108" i="1"/>
  <c r="AD107" i="1"/>
  <c r="AE106" i="1"/>
  <c r="K109" i="1"/>
  <c r="T109" i="1" s="1"/>
  <c r="U109" i="1" s="1"/>
  <c r="V109" i="1" s="1"/>
  <c r="I111" i="1"/>
  <c r="J110" i="1"/>
  <c r="W109" i="1" l="1"/>
  <c r="W108" i="1"/>
  <c r="Z109" i="1"/>
  <c r="X109" i="1"/>
  <c r="AE107" i="1"/>
  <c r="AD108" i="1"/>
  <c r="K110" i="1"/>
  <c r="T110" i="1" s="1"/>
  <c r="U110" i="1" s="1"/>
  <c r="V110" i="1" s="1"/>
  <c r="I112" i="1"/>
  <c r="J111" i="1"/>
  <c r="Z110" i="1" l="1"/>
  <c r="X110" i="1"/>
  <c r="AE108" i="1"/>
  <c r="K111" i="1"/>
  <c r="T111" i="1" s="1"/>
  <c r="U111" i="1" s="1"/>
  <c r="V111" i="1" s="1"/>
  <c r="I113" i="1"/>
  <c r="J112" i="1"/>
  <c r="AD109" i="1" l="1"/>
  <c r="AE109" i="1" s="1"/>
  <c r="W110" i="1"/>
  <c r="X111" i="1"/>
  <c r="Z111" i="1"/>
  <c r="AD110" i="1"/>
  <c r="K112" i="1"/>
  <c r="T112" i="1" s="1"/>
  <c r="U112" i="1" s="1"/>
  <c r="V112" i="1" s="1"/>
  <c r="I114" i="1"/>
  <c r="J113" i="1"/>
  <c r="W112" i="1" l="1"/>
  <c r="W111" i="1"/>
  <c r="X112" i="1"/>
  <c r="Z112" i="1"/>
  <c r="AE110" i="1"/>
  <c r="AD111" i="1"/>
  <c r="K113" i="1"/>
  <c r="T113" i="1" s="1"/>
  <c r="U113" i="1" s="1"/>
  <c r="V113" i="1" s="1"/>
  <c r="I115" i="1"/>
  <c r="J114" i="1"/>
  <c r="X113" i="1" l="1"/>
  <c r="Z113" i="1"/>
  <c r="AE111" i="1"/>
  <c r="AD112" i="1"/>
  <c r="K114" i="1"/>
  <c r="T114" i="1" s="1"/>
  <c r="U114" i="1" s="1"/>
  <c r="V114" i="1" s="1"/>
  <c r="I116" i="1"/>
  <c r="J115" i="1"/>
  <c r="W114" i="1" l="1"/>
  <c r="W113" i="1"/>
  <c r="Z114" i="1"/>
  <c r="X114" i="1"/>
  <c r="AE112" i="1"/>
  <c r="AD113" i="1"/>
  <c r="K115" i="1"/>
  <c r="T115" i="1" s="1"/>
  <c r="U115" i="1" s="1"/>
  <c r="V115" i="1" s="1"/>
  <c r="I117" i="1"/>
  <c r="J116" i="1"/>
  <c r="Z115" i="1" l="1"/>
  <c r="X115" i="1"/>
  <c r="AE113" i="1"/>
  <c r="AD114" i="1"/>
  <c r="K116" i="1"/>
  <c r="T116" i="1" s="1"/>
  <c r="U116" i="1" s="1"/>
  <c r="V116" i="1" s="1"/>
  <c r="I118" i="1"/>
  <c r="J117" i="1"/>
  <c r="W115" i="1" l="1"/>
  <c r="Z116" i="1"/>
  <c r="X116" i="1"/>
  <c r="AE114" i="1"/>
  <c r="K117" i="1"/>
  <c r="T117" i="1" s="1"/>
  <c r="U117" i="1" s="1"/>
  <c r="V117" i="1" s="1"/>
  <c r="I119" i="1"/>
  <c r="J118" i="1"/>
  <c r="AD115" i="1" l="1"/>
  <c r="AE115" i="1" s="1"/>
  <c r="W116" i="1"/>
  <c r="Z117" i="1"/>
  <c r="X117" i="1"/>
  <c r="AD116" i="1"/>
  <c r="K118" i="1"/>
  <c r="T118" i="1" s="1"/>
  <c r="U118" i="1" s="1"/>
  <c r="V118" i="1" s="1"/>
  <c r="I120" i="1"/>
  <c r="J119" i="1"/>
  <c r="W118" i="1" l="1"/>
  <c r="W117" i="1"/>
  <c r="Z118" i="1"/>
  <c r="X118" i="1"/>
  <c r="AE116" i="1"/>
  <c r="AD117" i="1"/>
  <c r="K119" i="1"/>
  <c r="T119" i="1" s="1"/>
  <c r="U119" i="1" s="1"/>
  <c r="V119" i="1" s="1"/>
  <c r="I121" i="1"/>
  <c r="J120" i="1"/>
  <c r="W119" i="1" l="1"/>
  <c r="Z119" i="1"/>
  <c r="X119" i="1"/>
  <c r="AE117" i="1"/>
  <c r="AD118" i="1"/>
  <c r="K120" i="1"/>
  <c r="T120" i="1" s="1"/>
  <c r="U120" i="1" s="1"/>
  <c r="V120" i="1" s="1"/>
  <c r="I122" i="1"/>
  <c r="J121" i="1"/>
  <c r="W120" i="1" l="1"/>
  <c r="Z120" i="1"/>
  <c r="X120" i="1"/>
  <c r="AD119" i="1"/>
  <c r="AE118" i="1"/>
  <c r="K121" i="1"/>
  <c r="T121" i="1" s="1"/>
  <c r="U121" i="1" s="1"/>
  <c r="V121" i="1" s="1"/>
  <c r="I123" i="1"/>
  <c r="J122" i="1"/>
  <c r="W121" i="1" l="1"/>
  <c r="X121" i="1"/>
  <c r="Z121" i="1"/>
  <c r="AE119" i="1"/>
  <c r="K122" i="1"/>
  <c r="T122" i="1" s="1"/>
  <c r="U122" i="1" s="1"/>
  <c r="V122" i="1" s="1"/>
  <c r="I124" i="1"/>
  <c r="J123" i="1"/>
  <c r="W122" i="1" l="1"/>
  <c r="AD120" i="1"/>
  <c r="AE120" i="1" s="1"/>
  <c r="Z122" i="1"/>
  <c r="X122" i="1"/>
  <c r="K123" i="1"/>
  <c r="T123" i="1" s="1"/>
  <c r="U123" i="1" s="1"/>
  <c r="I125" i="1"/>
  <c r="J124" i="1"/>
  <c r="AD121" i="1" l="1"/>
  <c r="AE121" i="1" s="1"/>
  <c r="X123" i="1"/>
  <c r="Z123" i="1"/>
  <c r="AD122" i="1"/>
  <c r="K124" i="1"/>
  <c r="T124" i="1" s="1"/>
  <c r="U124" i="1" s="1"/>
  <c r="I126" i="1"/>
  <c r="J125" i="1"/>
  <c r="Z124" i="1" l="1"/>
  <c r="X124" i="1"/>
  <c r="AD123" i="1"/>
  <c r="AE122" i="1"/>
  <c r="K125" i="1"/>
  <c r="T125" i="1" s="1"/>
  <c r="U125" i="1" s="1"/>
  <c r="I127" i="1"/>
  <c r="J126" i="1"/>
  <c r="Z125" i="1" l="1"/>
  <c r="X125" i="1"/>
  <c r="AE123" i="1"/>
  <c r="AD124" i="1"/>
  <c r="K126" i="1"/>
  <c r="T126" i="1" s="1"/>
  <c r="U126" i="1" s="1"/>
  <c r="I128" i="1"/>
  <c r="J127" i="1"/>
  <c r="Z126" i="1" l="1"/>
  <c r="X126" i="1"/>
  <c r="AE124" i="1"/>
  <c r="AD125" i="1"/>
  <c r="K127" i="1"/>
  <c r="T127" i="1" s="1"/>
  <c r="U127" i="1" s="1"/>
  <c r="I129" i="1"/>
  <c r="J128" i="1"/>
  <c r="Z127" i="1" l="1"/>
  <c r="X127" i="1"/>
  <c r="AD126" i="1"/>
  <c r="AE125" i="1"/>
  <c r="K128" i="1"/>
  <c r="T128" i="1" s="1"/>
  <c r="U128" i="1" s="1"/>
  <c r="I130" i="1"/>
  <c r="J129" i="1"/>
  <c r="Z128" i="1" l="1"/>
  <c r="X128" i="1"/>
  <c r="AE126" i="1"/>
  <c r="AD127" i="1"/>
  <c r="K129" i="1"/>
  <c r="T129" i="1" s="1"/>
  <c r="U129" i="1" s="1"/>
  <c r="I131" i="1"/>
  <c r="J130" i="1"/>
  <c r="Z129" i="1" l="1"/>
  <c r="X129" i="1"/>
  <c r="AE127" i="1"/>
  <c r="AD128" i="1"/>
  <c r="K130" i="1"/>
  <c r="T130" i="1" s="1"/>
  <c r="U130" i="1" s="1"/>
  <c r="I132" i="1"/>
  <c r="J131" i="1"/>
  <c r="Z130" i="1" l="1"/>
  <c r="X130" i="1"/>
  <c r="AE128" i="1"/>
  <c r="AD129" i="1"/>
  <c r="K131" i="1"/>
  <c r="T131" i="1" s="1"/>
  <c r="U131" i="1" s="1"/>
  <c r="I133" i="1"/>
  <c r="J132" i="1"/>
  <c r="Z131" i="1" l="1"/>
  <c r="X131" i="1"/>
  <c r="AD130" i="1"/>
  <c r="AE129" i="1"/>
  <c r="K132" i="1"/>
  <c r="T132" i="1" s="1"/>
  <c r="U132" i="1" s="1"/>
  <c r="I134" i="1"/>
  <c r="J133" i="1"/>
  <c r="Z132" i="1" l="1"/>
  <c r="X132" i="1"/>
  <c r="AD131" i="1"/>
  <c r="AE130" i="1"/>
  <c r="K133" i="1"/>
  <c r="T133" i="1" s="1"/>
  <c r="U133" i="1" s="1"/>
  <c r="I135" i="1"/>
  <c r="J134" i="1"/>
  <c r="Z133" i="1" l="1"/>
  <c r="X133" i="1"/>
  <c r="AE131" i="1"/>
  <c r="AD132" i="1"/>
  <c r="K134" i="1"/>
  <c r="T134" i="1" s="1"/>
  <c r="U134" i="1" s="1"/>
  <c r="I136" i="1"/>
  <c r="J135" i="1"/>
  <c r="X134" i="1" l="1"/>
  <c r="Z134" i="1"/>
  <c r="AE132" i="1"/>
  <c r="AD133" i="1"/>
  <c r="K135" i="1"/>
  <c r="T135" i="1" s="1"/>
  <c r="U135" i="1" s="1"/>
  <c r="I137" i="1"/>
  <c r="J136" i="1"/>
  <c r="X135" i="1" l="1"/>
  <c r="Z135" i="1"/>
  <c r="AE133" i="1"/>
  <c r="AD134" i="1"/>
  <c r="K136" i="1"/>
  <c r="T136" i="1" s="1"/>
  <c r="U136" i="1" s="1"/>
  <c r="I138" i="1"/>
  <c r="J137" i="1"/>
  <c r="X136" i="1" l="1"/>
  <c r="Z136" i="1"/>
  <c r="AD135" i="1"/>
  <c r="AE134" i="1"/>
  <c r="K137" i="1"/>
  <c r="T137" i="1" s="1"/>
  <c r="U137" i="1" s="1"/>
  <c r="I139" i="1"/>
  <c r="J138" i="1"/>
  <c r="X137" i="1" l="1"/>
  <c r="Z137" i="1"/>
  <c r="AD136" i="1"/>
  <c r="AE135" i="1"/>
  <c r="K138" i="1"/>
  <c r="T138" i="1" s="1"/>
  <c r="U138" i="1" s="1"/>
  <c r="I140" i="1"/>
  <c r="J139" i="1"/>
  <c r="Z138" i="1" l="1"/>
  <c r="X138" i="1"/>
  <c r="AE136" i="1"/>
  <c r="AD137" i="1"/>
  <c r="K139" i="1"/>
  <c r="T139" i="1" s="1"/>
  <c r="U139" i="1" s="1"/>
  <c r="I141" i="1"/>
  <c r="J140" i="1"/>
  <c r="Z139" i="1" l="1"/>
  <c r="X139" i="1"/>
  <c r="AD138" i="1"/>
  <c r="AE137" i="1"/>
  <c r="K140" i="1"/>
  <c r="T140" i="1" s="1"/>
  <c r="U140" i="1" s="1"/>
  <c r="I142" i="1"/>
  <c r="J141" i="1"/>
  <c r="Z140" i="1" l="1"/>
  <c r="X140" i="1"/>
  <c r="AD139" i="1"/>
  <c r="AE138" i="1"/>
  <c r="K141" i="1"/>
  <c r="T141" i="1" s="1"/>
  <c r="U141" i="1" s="1"/>
  <c r="I143" i="1"/>
  <c r="J142" i="1"/>
  <c r="Z141" i="1" l="1"/>
  <c r="X141" i="1"/>
  <c r="AE139" i="1"/>
  <c r="AD140" i="1"/>
  <c r="K142" i="1"/>
  <c r="T142" i="1" s="1"/>
  <c r="U142" i="1" s="1"/>
  <c r="I144" i="1"/>
  <c r="J143" i="1"/>
  <c r="Z142" i="1" l="1"/>
  <c r="X142" i="1"/>
  <c r="AE140" i="1"/>
  <c r="AD141" i="1"/>
  <c r="K143" i="1"/>
  <c r="T143" i="1" s="1"/>
  <c r="U143" i="1" s="1"/>
  <c r="I145" i="1"/>
  <c r="J144" i="1"/>
  <c r="Z143" i="1" l="1"/>
  <c r="X143" i="1"/>
  <c r="AE141" i="1"/>
  <c r="AD142" i="1"/>
  <c r="K144" i="1"/>
  <c r="T144" i="1" s="1"/>
  <c r="U144" i="1" s="1"/>
  <c r="I146" i="1"/>
  <c r="J145" i="1"/>
  <c r="Z144" i="1" l="1"/>
  <c r="X144" i="1"/>
  <c r="AD143" i="1"/>
  <c r="AE142" i="1"/>
  <c r="K145" i="1"/>
  <c r="T145" i="1" s="1"/>
  <c r="U145" i="1" s="1"/>
  <c r="I147" i="1"/>
  <c r="J146" i="1"/>
  <c r="X145" i="1" l="1"/>
  <c r="Z145" i="1"/>
  <c r="AE143" i="1"/>
  <c r="AD144" i="1"/>
  <c r="K146" i="1"/>
  <c r="T146" i="1" s="1"/>
  <c r="U146" i="1" s="1"/>
  <c r="I148" i="1"/>
  <c r="J147" i="1"/>
  <c r="X146" i="1" l="1"/>
  <c r="Z146" i="1"/>
  <c r="AD145" i="1"/>
  <c r="AE144" i="1"/>
  <c r="K147" i="1"/>
  <c r="T147" i="1" s="1"/>
  <c r="U147" i="1" s="1"/>
  <c r="I149" i="1"/>
  <c r="J148" i="1"/>
  <c r="X147" i="1" l="1"/>
  <c r="Z147" i="1"/>
  <c r="AE145" i="1"/>
  <c r="AD146" i="1"/>
  <c r="K148" i="1"/>
  <c r="T148" i="1" s="1"/>
  <c r="U148" i="1" s="1"/>
  <c r="I150" i="1"/>
  <c r="J149" i="1"/>
  <c r="Z148" i="1" l="1"/>
  <c r="X148" i="1"/>
  <c r="AE146" i="1"/>
  <c r="AD147" i="1"/>
  <c r="K149" i="1"/>
  <c r="T149" i="1" s="1"/>
  <c r="U149" i="1" s="1"/>
  <c r="I151" i="1"/>
  <c r="J150" i="1"/>
  <c r="Z149" i="1" l="1"/>
  <c r="X149" i="1"/>
  <c r="AD148" i="1"/>
  <c r="AE147" i="1"/>
  <c r="K150" i="1"/>
  <c r="T150" i="1" s="1"/>
  <c r="U150" i="1" s="1"/>
  <c r="I152" i="1"/>
  <c r="J151" i="1"/>
  <c r="Z150" i="1" l="1"/>
  <c r="X150" i="1"/>
  <c r="AE148" i="1"/>
  <c r="AD149" i="1"/>
  <c r="AD150" i="1"/>
  <c r="K151" i="1"/>
  <c r="T151" i="1" s="1"/>
  <c r="U151" i="1" s="1"/>
  <c r="I153" i="1"/>
  <c r="J152" i="1"/>
  <c r="Z151" i="1" l="1"/>
  <c r="X151" i="1"/>
  <c r="AE150" i="1"/>
  <c r="AE149" i="1"/>
  <c r="K152" i="1"/>
  <c r="T152" i="1" s="1"/>
  <c r="U152" i="1" s="1"/>
  <c r="I154" i="1"/>
  <c r="J153" i="1"/>
  <c r="Z152" i="1" l="1"/>
  <c r="X152" i="1"/>
  <c r="AD151" i="1"/>
  <c r="AD152" i="1"/>
  <c r="K153" i="1"/>
  <c r="T153" i="1" s="1"/>
  <c r="U153" i="1" s="1"/>
  <c r="I155" i="1"/>
  <c r="J154" i="1"/>
  <c r="Z153" i="1" l="1"/>
  <c r="X153" i="1"/>
  <c r="AE151" i="1"/>
  <c r="AE152" i="1"/>
  <c r="K154" i="1"/>
  <c r="T154" i="1" s="1"/>
  <c r="U154" i="1" s="1"/>
  <c r="J155" i="1"/>
  <c r="I156" i="1"/>
  <c r="Z154" i="1" l="1"/>
  <c r="X154" i="1"/>
  <c r="AD153" i="1"/>
  <c r="K155" i="1"/>
  <c r="T155" i="1" s="1"/>
  <c r="U155" i="1" s="1"/>
  <c r="I157" i="1"/>
  <c r="J156" i="1"/>
  <c r="Z155" i="1" l="1"/>
  <c r="X155" i="1"/>
  <c r="AD154" i="1"/>
  <c r="AE153" i="1"/>
  <c r="K156" i="1"/>
  <c r="T156" i="1" s="1"/>
  <c r="U156" i="1" s="1"/>
  <c r="J157" i="1"/>
  <c r="I158" i="1"/>
  <c r="Z156" i="1" l="1"/>
  <c r="X156" i="1"/>
  <c r="AD155" i="1"/>
  <c r="AE154" i="1"/>
  <c r="K157" i="1"/>
  <c r="T157" i="1" s="1"/>
  <c r="U157" i="1" s="1"/>
  <c r="J158" i="1"/>
  <c r="I159" i="1"/>
  <c r="Z157" i="1" l="1"/>
  <c r="X157" i="1"/>
  <c r="AE155" i="1"/>
  <c r="AD156" i="1"/>
  <c r="K158" i="1"/>
  <c r="T158" i="1" s="1"/>
  <c r="U158" i="1" s="1"/>
  <c r="I160" i="1"/>
  <c r="J159" i="1"/>
  <c r="X158" i="1" l="1"/>
  <c r="Z158" i="1"/>
  <c r="AE156" i="1"/>
  <c r="AD157" i="1"/>
  <c r="K159" i="1"/>
  <c r="T159" i="1" s="1"/>
  <c r="U159" i="1" s="1"/>
  <c r="J160" i="1"/>
  <c r="I161" i="1"/>
  <c r="X159" i="1" l="1"/>
  <c r="Z159" i="1"/>
  <c r="AE157" i="1"/>
  <c r="K160" i="1"/>
  <c r="T160" i="1" s="1"/>
  <c r="U160" i="1" s="1"/>
  <c r="I162" i="1"/>
  <c r="J161" i="1"/>
  <c r="AD158" i="1" l="1"/>
  <c r="AE158" i="1" s="1"/>
  <c r="X160" i="1"/>
  <c r="Z160" i="1"/>
  <c r="AD159" i="1"/>
  <c r="K161" i="1"/>
  <c r="T161" i="1" s="1"/>
  <c r="U161" i="1" s="1"/>
  <c r="I163" i="1"/>
  <c r="J162" i="1"/>
  <c r="Z161" i="1" l="1"/>
  <c r="X161" i="1"/>
  <c r="AD160" i="1"/>
  <c r="AE159" i="1"/>
  <c r="K162" i="1"/>
  <c r="T162" i="1" s="1"/>
  <c r="U162" i="1" s="1"/>
  <c r="I164" i="1"/>
  <c r="J163" i="1"/>
  <c r="Z162" i="1" l="1"/>
  <c r="X162" i="1"/>
  <c r="AE160" i="1"/>
  <c r="AD161" i="1"/>
  <c r="K163" i="1"/>
  <c r="T163" i="1" s="1"/>
  <c r="U163" i="1" s="1"/>
  <c r="I165" i="1"/>
  <c r="J164" i="1"/>
  <c r="L7" i="1"/>
  <c r="T7" i="1" s="1"/>
  <c r="U7" i="1" s="1"/>
  <c r="V7" i="1" s="1"/>
  <c r="J8" i="1"/>
  <c r="K8" i="1" s="1"/>
  <c r="T8" i="1" s="1"/>
  <c r="U8" i="1" s="1"/>
  <c r="V8" i="1" s="1"/>
  <c r="Z7" i="1" l="1"/>
  <c r="X7" i="1"/>
  <c r="Y7" i="1" s="1"/>
  <c r="Z8" i="1"/>
  <c r="X8" i="1"/>
  <c r="Z163" i="1"/>
  <c r="X163" i="1"/>
  <c r="J165" i="1"/>
  <c r="K165" i="1" s="1"/>
  <c r="AE161" i="1"/>
  <c r="AD162" i="1"/>
  <c r="K164" i="1"/>
  <c r="T164" i="1" s="1"/>
  <c r="U164" i="1" s="1"/>
  <c r="Y8" i="1" l="1"/>
  <c r="Y9" i="1" s="1"/>
  <c r="Y10" i="1" s="1"/>
  <c r="Y11" i="1" s="1"/>
  <c r="Y12" i="1" s="1"/>
  <c r="Y13" i="1" s="1"/>
  <c r="Y14" i="1" s="1"/>
  <c r="Y15" i="1" s="1"/>
  <c r="Y16" i="1" s="1"/>
  <c r="Y17" i="1" s="1"/>
  <c r="Y18" i="1" s="1"/>
  <c r="Y19" i="1" s="1"/>
  <c r="Y20" i="1" s="1"/>
  <c r="Y21" i="1" s="1"/>
  <c r="Y22" i="1" s="1"/>
  <c r="Y23" i="1" s="1"/>
  <c r="Y24" i="1" s="1"/>
  <c r="Y25" i="1" s="1"/>
  <c r="Y26" i="1" s="1"/>
  <c r="Y27" i="1" s="1"/>
  <c r="Y28" i="1" s="1"/>
  <c r="Y29" i="1" s="1"/>
  <c r="Y30" i="1" s="1"/>
  <c r="Y31" i="1" s="1"/>
  <c r="Y32" i="1" s="1"/>
  <c r="Y33" i="1" s="1"/>
  <c r="Y34" i="1" s="1"/>
  <c r="Y35" i="1" s="1"/>
  <c r="Y36" i="1" s="1"/>
  <c r="Y37" i="1" s="1"/>
  <c r="Y38" i="1" s="1"/>
  <c r="Y39" i="1" s="1"/>
  <c r="Y40" i="1" s="1"/>
  <c r="Y41" i="1" s="1"/>
  <c r="Y42" i="1" s="1"/>
  <c r="Y43" i="1" s="1"/>
  <c r="Y44" i="1" s="1"/>
  <c r="Y45" i="1" s="1"/>
  <c r="Y46" i="1" s="1"/>
  <c r="Y47" i="1" s="1"/>
  <c r="Y48" i="1" s="1"/>
  <c r="Y49" i="1" s="1"/>
  <c r="Y50" i="1" s="1"/>
  <c r="Y51" i="1" s="1"/>
  <c r="Y52" i="1" s="1"/>
  <c r="Y53" i="1" s="1"/>
  <c r="Y54" i="1" s="1"/>
  <c r="Y55" i="1" s="1"/>
  <c r="Y56" i="1" s="1"/>
  <c r="Y57" i="1" s="1"/>
  <c r="Y58" i="1" s="1"/>
  <c r="Y59" i="1" s="1"/>
  <c r="Y60" i="1" s="1"/>
  <c r="Y61" i="1" s="1"/>
  <c r="Y62" i="1" s="1"/>
  <c r="Y63" i="1" s="1"/>
  <c r="Y64" i="1" s="1"/>
  <c r="Y65" i="1" s="1"/>
  <c r="Y66" i="1" s="1"/>
  <c r="Y67" i="1" s="1"/>
  <c r="Y68" i="1" s="1"/>
  <c r="Y69" i="1" s="1"/>
  <c r="Y70" i="1" s="1"/>
  <c r="Y71" i="1" s="1"/>
  <c r="Y72" i="1" s="1"/>
  <c r="Y73" i="1" s="1"/>
  <c r="Y74" i="1" s="1"/>
  <c r="Y75" i="1" s="1"/>
  <c r="Y76" i="1" s="1"/>
  <c r="Y77" i="1" s="1"/>
  <c r="Y78" i="1" s="1"/>
  <c r="Y79" i="1" s="1"/>
  <c r="Y80" i="1" s="1"/>
  <c r="Y81" i="1" s="1"/>
  <c r="Y82" i="1" s="1"/>
  <c r="Y83" i="1" s="1"/>
  <c r="Y84" i="1" s="1"/>
  <c r="Y85" i="1" s="1"/>
  <c r="Y86" i="1" s="1"/>
  <c r="Y87" i="1" s="1"/>
  <c r="Y88" i="1" s="1"/>
  <c r="Y89" i="1" s="1"/>
  <c r="Y90" i="1" s="1"/>
  <c r="Y91" i="1" s="1"/>
  <c r="Y92" i="1" s="1"/>
  <c r="Y93" i="1" s="1"/>
  <c r="Y94" i="1" s="1"/>
  <c r="Y95" i="1" s="1"/>
  <c r="Y96" i="1" s="1"/>
  <c r="Y97" i="1" s="1"/>
  <c r="Y98" i="1" s="1"/>
  <c r="Y99" i="1" s="1"/>
  <c r="Y100" i="1" s="1"/>
  <c r="Y101" i="1" s="1"/>
  <c r="Y102" i="1" s="1"/>
  <c r="Y103" i="1" s="1"/>
  <c r="Y104" i="1" s="1"/>
  <c r="Y105" i="1" s="1"/>
  <c r="Y106" i="1" s="1"/>
  <c r="Y107" i="1" s="1"/>
  <c r="Y108" i="1" s="1"/>
  <c r="Y109" i="1" s="1"/>
  <c r="Y110" i="1" s="1"/>
  <c r="Y111" i="1" s="1"/>
  <c r="Y112" i="1" s="1"/>
  <c r="Y113" i="1" s="1"/>
  <c r="Y114" i="1" s="1"/>
  <c r="Y115" i="1" s="1"/>
  <c r="Y116" i="1" s="1"/>
  <c r="Y117" i="1" s="1"/>
  <c r="Y118" i="1" s="1"/>
  <c r="Y119" i="1" s="1"/>
  <c r="Y120" i="1" s="1"/>
  <c r="Y121" i="1" s="1"/>
  <c r="Y122" i="1" s="1"/>
  <c r="Y123" i="1" s="1"/>
  <c r="Y124" i="1" s="1"/>
  <c r="Y125" i="1" s="1"/>
  <c r="Y126" i="1" s="1"/>
  <c r="Y127" i="1" s="1"/>
  <c r="Y128" i="1" s="1"/>
  <c r="Y129" i="1" s="1"/>
  <c r="Y130" i="1" s="1"/>
  <c r="Y131" i="1" s="1"/>
  <c r="Y132" i="1" s="1"/>
  <c r="Y133" i="1" s="1"/>
  <c r="Y134" i="1" s="1"/>
  <c r="Y135" i="1" s="1"/>
  <c r="Y136" i="1" s="1"/>
  <c r="Y137" i="1" s="1"/>
  <c r="Y138" i="1" s="1"/>
  <c r="Y139" i="1" s="1"/>
  <c r="Y140" i="1" s="1"/>
  <c r="Y141" i="1" s="1"/>
  <c r="Y142" i="1" s="1"/>
  <c r="Y143" i="1" s="1"/>
  <c r="Y144" i="1" s="1"/>
  <c r="Y145" i="1" s="1"/>
  <c r="Y146" i="1" s="1"/>
  <c r="Y147" i="1" s="1"/>
  <c r="Y148" i="1" s="1"/>
  <c r="Y149" i="1" s="1"/>
  <c r="Y150" i="1" s="1"/>
  <c r="Y151" i="1" s="1"/>
  <c r="Y152" i="1" s="1"/>
  <c r="Y153" i="1" s="1"/>
  <c r="Y154" i="1" s="1"/>
  <c r="Y155" i="1" s="1"/>
  <c r="Y156" i="1" s="1"/>
  <c r="Y157" i="1" s="1"/>
  <c r="Y158" i="1" s="1"/>
  <c r="Y159" i="1" s="1"/>
  <c r="Y160" i="1" s="1"/>
  <c r="Y161" i="1" s="1"/>
  <c r="Y162" i="1" s="1"/>
  <c r="Y163" i="1" s="1"/>
  <c r="Y164" i="1" s="1"/>
  <c r="W7" i="1"/>
  <c r="W8" i="1"/>
  <c r="Z164" i="1"/>
  <c r="X164" i="1"/>
  <c r="AD7" i="1"/>
  <c r="AA7" i="1"/>
  <c r="AA8" i="1" s="1"/>
  <c r="AA9" i="1" s="1"/>
  <c r="AA10" i="1" s="1"/>
  <c r="AA11" i="1" s="1"/>
  <c r="AA12" i="1" s="1"/>
  <c r="AA13" i="1" s="1"/>
  <c r="AA14" i="1" s="1"/>
  <c r="AA15" i="1" s="1"/>
  <c r="AA16" i="1" s="1"/>
  <c r="AA17" i="1" s="1"/>
  <c r="AA18" i="1" s="1"/>
  <c r="AA19" i="1" s="1"/>
  <c r="AA20" i="1" s="1"/>
  <c r="AA21" i="1" s="1"/>
  <c r="AA22" i="1" s="1"/>
  <c r="AA23" i="1" s="1"/>
  <c r="AA24" i="1" s="1"/>
  <c r="AA25" i="1" s="1"/>
  <c r="AA26" i="1" s="1"/>
  <c r="AA27" i="1" s="1"/>
  <c r="AA28" i="1" s="1"/>
  <c r="AA29" i="1" s="1"/>
  <c r="AA30" i="1" s="1"/>
  <c r="AA31" i="1" s="1"/>
  <c r="AA32" i="1" s="1"/>
  <c r="AA33" i="1" s="1"/>
  <c r="AA34" i="1" s="1"/>
  <c r="AA35" i="1" s="1"/>
  <c r="AA36" i="1" s="1"/>
  <c r="AA37" i="1" s="1"/>
  <c r="AA38" i="1" s="1"/>
  <c r="AA39" i="1" s="1"/>
  <c r="AA40" i="1" s="1"/>
  <c r="AA41" i="1" s="1"/>
  <c r="AA42" i="1" s="1"/>
  <c r="AA43" i="1" s="1"/>
  <c r="AA44" i="1" s="1"/>
  <c r="AA45" i="1" s="1"/>
  <c r="AA46" i="1" s="1"/>
  <c r="AA47" i="1" s="1"/>
  <c r="AA48" i="1" s="1"/>
  <c r="AA49" i="1" s="1"/>
  <c r="AA50" i="1" s="1"/>
  <c r="AA51" i="1" s="1"/>
  <c r="AA52" i="1" s="1"/>
  <c r="AA53" i="1" s="1"/>
  <c r="AA54" i="1" s="1"/>
  <c r="AA55" i="1" s="1"/>
  <c r="AA56" i="1" s="1"/>
  <c r="AA57" i="1" s="1"/>
  <c r="AA58" i="1" s="1"/>
  <c r="AA59" i="1" s="1"/>
  <c r="AA60" i="1" s="1"/>
  <c r="AA61" i="1" s="1"/>
  <c r="AA62" i="1" s="1"/>
  <c r="AA63" i="1" s="1"/>
  <c r="AA64" i="1" s="1"/>
  <c r="AA65" i="1" s="1"/>
  <c r="AA66" i="1" s="1"/>
  <c r="AA67" i="1" s="1"/>
  <c r="AA68" i="1" s="1"/>
  <c r="AA69" i="1" s="1"/>
  <c r="AA70" i="1" s="1"/>
  <c r="AA71" i="1" s="1"/>
  <c r="AA72" i="1" s="1"/>
  <c r="AA73" i="1" s="1"/>
  <c r="AA74" i="1" s="1"/>
  <c r="AA75" i="1" s="1"/>
  <c r="AA76" i="1" s="1"/>
  <c r="AA77" i="1" s="1"/>
  <c r="AA78" i="1" s="1"/>
  <c r="AA79" i="1" s="1"/>
  <c r="AA80" i="1" s="1"/>
  <c r="AA81" i="1" s="1"/>
  <c r="AA82" i="1" s="1"/>
  <c r="AA83" i="1" s="1"/>
  <c r="AA84" i="1" s="1"/>
  <c r="AA85" i="1" s="1"/>
  <c r="AA86" i="1" s="1"/>
  <c r="AA87" i="1" s="1"/>
  <c r="AA88" i="1" s="1"/>
  <c r="AA89" i="1" s="1"/>
  <c r="AA90" i="1" s="1"/>
  <c r="AA91" i="1" s="1"/>
  <c r="AA92" i="1" s="1"/>
  <c r="AA93" i="1" s="1"/>
  <c r="AA94" i="1" s="1"/>
  <c r="AA95" i="1" s="1"/>
  <c r="AA96" i="1" s="1"/>
  <c r="AA97" i="1" s="1"/>
  <c r="AA98" i="1" s="1"/>
  <c r="AA99" i="1" s="1"/>
  <c r="AA100" i="1" s="1"/>
  <c r="AA101" i="1" s="1"/>
  <c r="AA102" i="1" s="1"/>
  <c r="AA103" i="1" s="1"/>
  <c r="AA104" i="1" s="1"/>
  <c r="AA105" i="1" s="1"/>
  <c r="AA106" i="1" s="1"/>
  <c r="AA107" i="1" s="1"/>
  <c r="AA108" i="1" s="1"/>
  <c r="AA109" i="1" s="1"/>
  <c r="AA110" i="1" s="1"/>
  <c r="AA111" i="1" s="1"/>
  <c r="AA112" i="1" s="1"/>
  <c r="AA113" i="1" s="1"/>
  <c r="AA114" i="1" s="1"/>
  <c r="AA115" i="1" s="1"/>
  <c r="AA116" i="1" s="1"/>
  <c r="AA117" i="1" s="1"/>
  <c r="AA118" i="1" s="1"/>
  <c r="AA119" i="1" s="1"/>
  <c r="AA120" i="1" s="1"/>
  <c r="AA121" i="1" s="1"/>
  <c r="AA122" i="1" s="1"/>
  <c r="AA123" i="1" s="1"/>
  <c r="AA124" i="1" s="1"/>
  <c r="AA125" i="1" s="1"/>
  <c r="AA126" i="1" s="1"/>
  <c r="AA127" i="1" s="1"/>
  <c r="AA128" i="1" s="1"/>
  <c r="AA129" i="1" s="1"/>
  <c r="AA130" i="1" s="1"/>
  <c r="AA131" i="1" s="1"/>
  <c r="AA132" i="1" s="1"/>
  <c r="AA133" i="1" s="1"/>
  <c r="AA134" i="1" s="1"/>
  <c r="AA135" i="1" s="1"/>
  <c r="AA136" i="1" s="1"/>
  <c r="AA137" i="1" s="1"/>
  <c r="AA138" i="1" s="1"/>
  <c r="AA139" i="1" s="1"/>
  <c r="AA140" i="1" s="1"/>
  <c r="AA141" i="1" s="1"/>
  <c r="AA142" i="1" s="1"/>
  <c r="AA143" i="1" s="1"/>
  <c r="AA144" i="1" s="1"/>
  <c r="AA145" i="1" s="1"/>
  <c r="AA146" i="1" s="1"/>
  <c r="AA147" i="1" s="1"/>
  <c r="AA148" i="1" s="1"/>
  <c r="AA149" i="1" s="1"/>
  <c r="AA150" i="1" s="1"/>
  <c r="AA151" i="1" s="1"/>
  <c r="AA152" i="1" s="1"/>
  <c r="AA153" i="1" s="1"/>
  <c r="AA154" i="1" s="1"/>
  <c r="AA155" i="1" s="1"/>
  <c r="AA156" i="1" s="1"/>
  <c r="AA157" i="1" s="1"/>
  <c r="AA158" i="1" s="1"/>
  <c r="AA159" i="1" s="1"/>
  <c r="AA160" i="1" s="1"/>
  <c r="AA161" i="1" s="1"/>
  <c r="AA162" i="1" s="1"/>
  <c r="AA163" i="1" s="1"/>
  <c r="AD8" i="1"/>
  <c r="AE162" i="1"/>
  <c r="AD163" i="1"/>
  <c r="T165" i="1"/>
  <c r="U165" i="1" s="1"/>
  <c r="V165" i="1" s="1"/>
  <c r="W165" i="1" l="1"/>
  <c r="AA2" i="1" s="1"/>
  <c r="Z165" i="1"/>
  <c r="X2" i="1" s="1"/>
  <c r="X165" i="1"/>
  <c r="AA164" i="1"/>
  <c r="AE7" i="1"/>
  <c r="AF7" i="1" s="1"/>
  <c r="AG7" i="1" s="1"/>
  <c r="AE163" i="1"/>
  <c r="AD164" i="1"/>
  <c r="AE8" i="1"/>
  <c r="Y165" i="1"/>
  <c r="Z2" i="1" l="1"/>
  <c r="AF8" i="1"/>
  <c r="AG8" i="1" s="1"/>
  <c r="AE164" i="1"/>
  <c r="AD165" i="1" l="1"/>
  <c r="AE165" i="1" s="1"/>
  <c r="AF9" i="1"/>
  <c r="AG9" i="1" s="1"/>
  <c r="Y2" i="1"/>
  <c r="AA165" i="1"/>
  <c r="AF10" i="1" l="1"/>
  <c r="AG10" i="1" s="1"/>
  <c r="AF11" i="1" l="1"/>
  <c r="AG11" i="1" s="1"/>
  <c r="AF12" i="1" l="1"/>
  <c r="AG12" i="1" s="1"/>
  <c r="AF13" i="1" l="1"/>
  <c r="AG13" i="1" s="1"/>
  <c r="AF14" i="1" l="1"/>
  <c r="AG14" i="1" s="1"/>
  <c r="AF15" i="1" l="1"/>
  <c r="AG15" i="1" s="1"/>
  <c r="AF16" i="1" l="1"/>
  <c r="AG16" i="1" s="1"/>
  <c r="AF17" i="1" l="1"/>
  <c r="AG17" i="1" s="1"/>
  <c r="AF18" i="1" l="1"/>
  <c r="AG18" i="1" s="1"/>
  <c r="AF19" i="1" l="1"/>
  <c r="AG19" i="1" s="1"/>
  <c r="AF20" i="1" l="1"/>
  <c r="AG20" i="1" s="1"/>
  <c r="AF21" i="1" l="1"/>
  <c r="AG21" i="1" s="1"/>
  <c r="AF22" i="1" l="1"/>
  <c r="AG22" i="1" s="1"/>
  <c r="AF23" i="1" l="1"/>
  <c r="AG23" i="1" s="1"/>
  <c r="AF24" i="1" l="1"/>
  <c r="AG24" i="1" s="1"/>
  <c r="AF25" i="1" l="1"/>
  <c r="AG25" i="1" s="1"/>
  <c r="AF26" i="1" l="1"/>
  <c r="AG26" i="1" s="1"/>
  <c r="AF27" i="1" l="1"/>
  <c r="AG27" i="1" s="1"/>
  <c r="AF28" i="1" l="1"/>
  <c r="AG28" i="1" s="1"/>
  <c r="AF29" i="1" l="1"/>
  <c r="AG29" i="1" s="1"/>
  <c r="AF30" i="1" l="1"/>
  <c r="AG30" i="1" s="1"/>
  <c r="AF31" i="1" l="1"/>
  <c r="AG31" i="1" s="1"/>
  <c r="AF32" i="1" l="1"/>
  <c r="AG32" i="1" s="1"/>
  <c r="AF33" i="1" l="1"/>
  <c r="AG33" i="1" s="1"/>
  <c r="AF34" i="1" l="1"/>
  <c r="AG34" i="1" s="1"/>
  <c r="AF35" i="1" l="1"/>
  <c r="AG35" i="1" s="1"/>
  <c r="AF36" i="1" l="1"/>
  <c r="AG36" i="1" s="1"/>
  <c r="AF37" i="1" l="1"/>
  <c r="AG37" i="1" s="1"/>
  <c r="AF38" i="1" l="1"/>
  <c r="AG38" i="1" s="1"/>
  <c r="AF39" i="1" l="1"/>
  <c r="AG39" i="1" s="1"/>
  <c r="AF40" i="1" l="1"/>
  <c r="AG40" i="1" s="1"/>
  <c r="AF41" i="1" l="1"/>
  <c r="AG41" i="1" s="1"/>
  <c r="AF42" i="1" l="1"/>
  <c r="AG42" i="1" s="1"/>
  <c r="AF43" i="1" l="1"/>
  <c r="AG43" i="1" s="1"/>
  <c r="AF44" i="1" l="1"/>
  <c r="AG44" i="1" s="1"/>
  <c r="AF45" i="1" l="1"/>
  <c r="AG45" i="1" s="1"/>
  <c r="AF46" i="1" l="1"/>
  <c r="AG46" i="1" s="1"/>
  <c r="AF47" i="1" l="1"/>
  <c r="AG47" i="1" s="1"/>
  <c r="AF48" i="1" l="1"/>
  <c r="AG48" i="1" s="1"/>
  <c r="AF49" i="1" l="1"/>
  <c r="AG49" i="1" s="1"/>
  <c r="AF50" i="1" l="1"/>
  <c r="AG50" i="1" s="1"/>
  <c r="AF51" i="1" l="1"/>
  <c r="AG51" i="1" s="1"/>
  <c r="AF52" i="1" l="1"/>
  <c r="AG52" i="1" s="1"/>
  <c r="AF53" i="1" l="1"/>
  <c r="AG53" i="1" s="1"/>
  <c r="AF54" i="1" l="1"/>
  <c r="AG54" i="1" s="1"/>
  <c r="AF55" i="1" l="1"/>
  <c r="AG55" i="1" s="1"/>
  <c r="AF56" i="1" l="1"/>
  <c r="AG56" i="1" s="1"/>
  <c r="AF57" i="1" l="1"/>
  <c r="AG57" i="1" s="1"/>
  <c r="AF58" i="1" l="1"/>
  <c r="AG58" i="1" s="1"/>
  <c r="AF59" i="1" l="1"/>
  <c r="AG59" i="1" s="1"/>
  <c r="AF60" i="1" l="1"/>
  <c r="AG60" i="1" s="1"/>
  <c r="AF61" i="1" l="1"/>
  <c r="AG61" i="1" s="1"/>
  <c r="AF62" i="1" l="1"/>
  <c r="AG62" i="1" s="1"/>
  <c r="AF63" i="1" l="1"/>
  <c r="AG63" i="1" s="1"/>
  <c r="AF64" i="1" l="1"/>
  <c r="AG64" i="1" s="1"/>
  <c r="AF65" i="1" l="1"/>
  <c r="AG65" i="1" s="1"/>
  <c r="AF66" i="1" l="1"/>
  <c r="AG66" i="1" s="1"/>
  <c r="AF67" i="1" l="1"/>
  <c r="AG67" i="1" s="1"/>
  <c r="AF68" i="1" l="1"/>
  <c r="AG68" i="1" s="1"/>
  <c r="AF69" i="1" l="1"/>
  <c r="AG69" i="1" s="1"/>
  <c r="AF70" i="1" l="1"/>
  <c r="AG70" i="1" s="1"/>
  <c r="AF71" i="1" l="1"/>
  <c r="AG71" i="1" s="1"/>
  <c r="AF72" i="1" l="1"/>
  <c r="AG72" i="1" s="1"/>
  <c r="AF73" i="1" l="1"/>
  <c r="AG73" i="1" s="1"/>
  <c r="AF74" i="1" l="1"/>
  <c r="AG74" i="1" s="1"/>
  <c r="AF75" i="1" l="1"/>
  <c r="AG75" i="1" s="1"/>
  <c r="AF76" i="1" l="1"/>
  <c r="AG76" i="1" s="1"/>
  <c r="AF77" i="1" l="1"/>
  <c r="AG77" i="1" s="1"/>
  <c r="AF78" i="1" l="1"/>
  <c r="AG78" i="1" s="1"/>
  <c r="AF79" i="1" l="1"/>
  <c r="AG79" i="1" s="1"/>
  <c r="AF80" i="1" l="1"/>
  <c r="AG80" i="1" s="1"/>
  <c r="AF81" i="1" l="1"/>
  <c r="AG81" i="1" s="1"/>
  <c r="AF82" i="1" l="1"/>
  <c r="AG82" i="1" s="1"/>
  <c r="AF83" i="1" l="1"/>
  <c r="AG83" i="1" s="1"/>
  <c r="AF84" i="1" l="1"/>
  <c r="AG84" i="1" s="1"/>
  <c r="AF85" i="1" l="1"/>
  <c r="AG85" i="1" s="1"/>
  <c r="AF86" i="1" l="1"/>
  <c r="AG86" i="1" s="1"/>
  <c r="AF87" i="1" l="1"/>
  <c r="AG87" i="1" s="1"/>
  <c r="AF88" i="1" l="1"/>
  <c r="AG88" i="1" s="1"/>
  <c r="AF89" i="1" l="1"/>
  <c r="AG89" i="1" s="1"/>
  <c r="AF90" i="1" l="1"/>
  <c r="AG90" i="1" s="1"/>
  <c r="AF91" i="1" l="1"/>
  <c r="AG91" i="1" s="1"/>
  <c r="AF92" i="1" l="1"/>
  <c r="AG92" i="1" s="1"/>
  <c r="AF93" i="1" l="1"/>
  <c r="AG93" i="1" s="1"/>
  <c r="AF94" i="1" l="1"/>
  <c r="AG94" i="1" s="1"/>
  <c r="AF95" i="1" l="1"/>
  <c r="AG95" i="1" s="1"/>
  <c r="AF96" i="1" l="1"/>
  <c r="AG96" i="1" s="1"/>
  <c r="AF97" i="1" l="1"/>
  <c r="AG97" i="1" s="1"/>
  <c r="AF98" i="1" l="1"/>
  <c r="AG98" i="1" s="1"/>
  <c r="AF99" i="1"/>
  <c r="AG99" i="1" s="1"/>
  <c r="AF100" i="1" l="1"/>
  <c r="AG100" i="1" s="1"/>
  <c r="AF101" i="1" l="1"/>
  <c r="AG101" i="1" s="1"/>
  <c r="AF102" i="1" l="1"/>
  <c r="AG102" i="1" s="1"/>
  <c r="AF103" i="1" l="1"/>
  <c r="AG103" i="1" s="1"/>
  <c r="AF104" i="1" l="1"/>
  <c r="AG104" i="1" s="1"/>
  <c r="AF105" i="1" l="1"/>
  <c r="AG105" i="1" s="1"/>
  <c r="AF106" i="1" l="1"/>
  <c r="AG106" i="1" s="1"/>
  <c r="AF107" i="1" l="1"/>
  <c r="AG107" i="1" s="1"/>
  <c r="AF108" i="1" l="1"/>
  <c r="AG108" i="1" s="1"/>
  <c r="AF109" i="1" l="1"/>
  <c r="AG109" i="1" s="1"/>
  <c r="AF110" i="1" l="1"/>
  <c r="AG110" i="1" s="1"/>
  <c r="AF111" i="1" l="1"/>
  <c r="AG111" i="1" s="1"/>
  <c r="AF112" i="1" l="1"/>
  <c r="AG112" i="1" s="1"/>
  <c r="AF113" i="1" l="1"/>
  <c r="AG113" i="1" s="1"/>
  <c r="AF114" i="1" l="1"/>
  <c r="AG114" i="1" s="1"/>
  <c r="AF115" i="1" l="1"/>
  <c r="AG115" i="1" s="1"/>
  <c r="AF116" i="1" l="1"/>
  <c r="AG116" i="1" s="1"/>
  <c r="AF117" i="1" l="1"/>
  <c r="AG117" i="1" s="1"/>
  <c r="AF118" i="1" l="1"/>
  <c r="AG118" i="1" s="1"/>
  <c r="AF119" i="1" l="1"/>
  <c r="AG119" i="1" s="1"/>
  <c r="AF120" i="1" l="1"/>
  <c r="AG120" i="1" s="1"/>
  <c r="AF121" i="1" l="1"/>
  <c r="AG121" i="1" s="1"/>
  <c r="AF122" i="1" l="1"/>
  <c r="AG122" i="1" s="1"/>
  <c r="AF123" i="1" l="1"/>
  <c r="AG123" i="1" s="1"/>
  <c r="AF124" i="1" l="1"/>
  <c r="AG124" i="1" s="1"/>
  <c r="AF125" i="1" l="1"/>
  <c r="AG125" i="1" s="1"/>
  <c r="AF126" i="1" l="1"/>
  <c r="AG126" i="1" s="1"/>
  <c r="AF127" i="1" l="1"/>
  <c r="AG127" i="1" s="1"/>
  <c r="AF128" i="1" l="1"/>
  <c r="AG128" i="1" s="1"/>
  <c r="AF129" i="1" l="1"/>
  <c r="AG129" i="1" s="1"/>
  <c r="AF130" i="1" l="1"/>
  <c r="AG130" i="1" s="1"/>
  <c r="AF131" i="1" l="1"/>
  <c r="AG131" i="1" s="1"/>
  <c r="AF132" i="1" l="1"/>
  <c r="AG132" i="1" s="1"/>
  <c r="AF133" i="1" l="1"/>
  <c r="AG133" i="1" s="1"/>
  <c r="AF134" i="1" l="1"/>
  <c r="AG134" i="1" s="1"/>
  <c r="AF135" i="1" l="1"/>
  <c r="AG135" i="1" s="1"/>
  <c r="AF136" i="1" l="1"/>
  <c r="AG136" i="1" s="1"/>
  <c r="AF137" i="1" l="1"/>
  <c r="AG137" i="1" s="1"/>
  <c r="AF138" i="1" l="1"/>
  <c r="AG138" i="1" s="1"/>
  <c r="AF139" i="1" l="1"/>
  <c r="AG139" i="1" s="1"/>
  <c r="AF140" i="1" l="1"/>
  <c r="AG140" i="1" s="1"/>
  <c r="AF141" i="1" l="1"/>
  <c r="AG141" i="1" s="1"/>
  <c r="AF142" i="1" l="1"/>
  <c r="AG142" i="1" s="1"/>
  <c r="AF143" i="1" l="1"/>
  <c r="AG143" i="1" s="1"/>
  <c r="AF144" i="1" l="1"/>
  <c r="AG144" i="1" s="1"/>
  <c r="AF145" i="1" l="1"/>
  <c r="AG145" i="1" s="1"/>
  <c r="AF146" i="1" l="1"/>
  <c r="AG146" i="1" s="1"/>
  <c r="AF147" i="1" l="1"/>
  <c r="AG147" i="1" s="1"/>
  <c r="AF148" i="1" l="1"/>
  <c r="AG148" i="1" s="1"/>
  <c r="AF149" i="1" l="1"/>
  <c r="AG149" i="1" s="1"/>
  <c r="AF150" i="1" l="1"/>
  <c r="AG150" i="1" s="1"/>
  <c r="AF151" i="1" l="1"/>
  <c r="AG151" i="1" s="1"/>
  <c r="AF152" i="1" l="1"/>
  <c r="AG152" i="1" s="1"/>
  <c r="AF153" i="1" l="1"/>
  <c r="AG153" i="1" s="1"/>
  <c r="AF154" i="1" l="1"/>
  <c r="AG154" i="1" s="1"/>
  <c r="AF155" i="1" l="1"/>
  <c r="AG155" i="1" s="1"/>
  <c r="AF156" i="1" l="1"/>
  <c r="AG156" i="1" s="1"/>
  <c r="AF157" i="1" l="1"/>
  <c r="AG157" i="1" s="1"/>
  <c r="AF158" i="1" l="1"/>
  <c r="AG158" i="1" s="1"/>
  <c r="AF159" i="1" l="1"/>
  <c r="AG159" i="1" s="1"/>
  <c r="AF160" i="1" l="1"/>
  <c r="AG160" i="1" s="1"/>
  <c r="AF161" i="1" l="1"/>
  <c r="AG161" i="1" s="1"/>
  <c r="AF162" i="1" l="1"/>
  <c r="AG162" i="1" s="1"/>
  <c r="AF163" i="1" l="1"/>
  <c r="AG163" i="1" s="1"/>
  <c r="AF164" i="1" l="1"/>
  <c r="AG164" i="1" s="1"/>
  <c r="AF165" i="1" l="1"/>
  <c r="AI61" i="1" s="1"/>
  <c r="AG165" i="1" l="1"/>
  <c r="AI64" i="1"/>
</calcChain>
</file>

<file path=xl/sharedStrings.xml><?xml version="1.0" encoding="utf-8"?>
<sst xmlns="http://schemas.openxmlformats.org/spreadsheetml/2006/main" count="265" uniqueCount="223">
  <si>
    <t>Latitude</t>
  </si>
  <si>
    <t>Longitude</t>
  </si>
  <si>
    <t>Distance (m)</t>
  </si>
  <si>
    <t>Distance Between Data Points (m):</t>
  </si>
  <si>
    <t>Velocity (KM/H)</t>
  </si>
  <si>
    <t>CD:</t>
  </si>
  <si>
    <t>Frontal Area (m2):</t>
  </si>
  <si>
    <t>Velocity (ms)</t>
  </si>
  <si>
    <t>Air Density</t>
  </si>
  <si>
    <t>Aerodynamic Resistance (N)</t>
  </si>
  <si>
    <t>Elevation Above Sea</t>
  </si>
  <si>
    <t>Baseline Elevation</t>
  </si>
  <si>
    <t>Gravity</t>
  </si>
  <si>
    <t>Mass of vehicle</t>
  </si>
  <si>
    <t>Potential Energy (KJ)</t>
  </si>
  <si>
    <t>Kinetic Energy (KJ)</t>
  </si>
  <si>
    <t>Gradient</t>
  </si>
  <si>
    <t>Angle (Radians)</t>
  </si>
  <si>
    <t>Angle (Degrees)</t>
  </si>
  <si>
    <t>Rolling Resistance</t>
  </si>
  <si>
    <t>RR  Loose Gravel</t>
  </si>
  <si>
    <t>RR Loose Sand</t>
  </si>
  <si>
    <t>RR Hard Soil/Mud</t>
  </si>
  <si>
    <t>Time (s)</t>
  </si>
  <si>
    <t>Total Time (s)</t>
  </si>
  <si>
    <t>Acceleration (m/s/s)</t>
  </si>
  <si>
    <t>Acceleration Resistance (N)</t>
  </si>
  <si>
    <t>Mu Loose Gravel</t>
  </si>
  <si>
    <t>Mu Hard Soil/Mud</t>
  </si>
  <si>
    <t>Mu Loose Sand</t>
  </si>
  <si>
    <t>Power (KW)</t>
  </si>
  <si>
    <t>Soil</t>
  </si>
  <si>
    <t>Gravel</t>
  </si>
  <si>
    <t>Sand</t>
  </si>
  <si>
    <t>Weight Bias Rear</t>
  </si>
  <si>
    <t>Tractive Force (N)</t>
  </si>
  <si>
    <t>RPM</t>
  </si>
  <si>
    <t>Torque (NM)</t>
  </si>
  <si>
    <t>Power (hp)</t>
  </si>
  <si>
    <t>Torque (Nm)</t>
  </si>
  <si>
    <t>KW</t>
  </si>
  <si>
    <t>BSFC</t>
  </si>
  <si>
    <t>Total Mass of Vehicle</t>
  </si>
  <si>
    <t>Max Power (Kw)</t>
  </si>
  <si>
    <t>Average Power (Kw)</t>
  </si>
  <si>
    <t>Gradient Restistance (N)</t>
  </si>
  <si>
    <t>RPM:</t>
  </si>
  <si>
    <t>Fuel Usage (L/Hour</t>
  </si>
  <si>
    <t>Fuel Usage Per Sec</t>
  </si>
  <si>
    <t>Tractive Power</t>
  </si>
  <si>
    <t>Braking Power:</t>
  </si>
  <si>
    <t>Brakingf Power Cum.:</t>
  </si>
  <si>
    <t>Tractive Power Cum.</t>
  </si>
  <si>
    <t>Mass of Occupants</t>
  </si>
  <si>
    <t>Mass of Fuel Tank</t>
  </si>
  <si>
    <t>Total Resistance (KW)</t>
  </si>
  <si>
    <t>Maximum Acceleration (m/s)</t>
  </si>
  <si>
    <t>Rolling Resistance Coefficients</t>
  </si>
  <si>
    <t>Surface Mu's</t>
  </si>
  <si>
    <t>Units</t>
  </si>
  <si>
    <t>Metres</t>
  </si>
  <si>
    <t>Miles</t>
  </si>
  <si>
    <t>Value</t>
  </si>
  <si>
    <t>Total Fuel used (Litres)</t>
  </si>
  <si>
    <t>Litres in a Gallon</t>
  </si>
  <si>
    <t>MPG</t>
  </si>
  <si>
    <t>Battery Name</t>
  </si>
  <si>
    <t>Hohm Tech V4 18650</t>
  </si>
  <si>
    <t>Molicel P26A 18650</t>
  </si>
  <si>
    <t>Murata US18650VTC6</t>
  </si>
  <si>
    <t>Murata US21700VTC6A</t>
  </si>
  <si>
    <t>Samsung 40T3 21700</t>
  </si>
  <si>
    <t xml:space="preserve">Molicell P42A 21700 </t>
  </si>
  <si>
    <t>Hohm Tech Grown 26650</t>
  </si>
  <si>
    <t>Vapcell Gold 26650</t>
  </si>
  <si>
    <t xml:space="preserve">Lithiumwerks 26650   </t>
  </si>
  <si>
    <t>Voltage (V)</t>
  </si>
  <si>
    <t>Max Discharge Current (A)</t>
  </si>
  <si>
    <t>Power (W)</t>
  </si>
  <si>
    <t>Kilowatt Hours (KWh)</t>
  </si>
  <si>
    <t>Capacity (Ah)</t>
  </si>
  <si>
    <t>Time to discharge one Cell (hr)</t>
  </si>
  <si>
    <t>Time in Minutes</t>
  </si>
  <si>
    <t>Weight per cell (g)</t>
  </si>
  <si>
    <t>Total Battery Pack Weight (Kg)</t>
  </si>
  <si>
    <t>Cost per cell (GBP)</t>
  </si>
  <si>
    <t>Total Cost (GBP)</t>
  </si>
  <si>
    <t>Max temperature (degrees)</t>
  </si>
  <si>
    <t>Chosen this cell</t>
  </si>
  <si>
    <t>Samsung 40T 21700</t>
  </si>
  <si>
    <t>Current (A)</t>
  </si>
  <si>
    <t>Kilowatt Hours</t>
  </si>
  <si>
    <t>Discharge Rate ( C )</t>
  </si>
  <si>
    <t>Total Weight (Kg)</t>
  </si>
  <si>
    <t>Number of Cells required for 20KW</t>
  </si>
  <si>
    <t>Current (I)</t>
  </si>
  <si>
    <t>KWh</t>
  </si>
  <si>
    <t>Series</t>
  </si>
  <si>
    <t>Parallel</t>
  </si>
  <si>
    <t>Total Number of Cells</t>
  </si>
  <si>
    <t>Cost (£)</t>
  </si>
  <si>
    <t>KW use</t>
  </si>
  <si>
    <t>Time to discharge (hr)</t>
  </si>
  <si>
    <t>Weight (Kg)</t>
  </si>
  <si>
    <t>Number of Cells</t>
  </si>
  <si>
    <t>Group</t>
  </si>
  <si>
    <t>Module</t>
  </si>
  <si>
    <t>Pack</t>
  </si>
  <si>
    <t>Mass of Hybrid System</t>
  </si>
  <si>
    <t>Number of Cells required for 100KW</t>
  </si>
  <si>
    <t>8 Series 0 Parallel</t>
  </si>
  <si>
    <t>Time Spent On Throttle</t>
  </si>
  <si>
    <t>Battery Regen (KW)</t>
  </si>
  <si>
    <t>Cum fuel Usage (Per Lap)</t>
  </si>
  <si>
    <t>Fuel usage g per lap</t>
  </si>
  <si>
    <t>Engine Power</t>
  </si>
  <si>
    <t>EV Motor Power</t>
  </si>
  <si>
    <t>Average ICE Power (KW)</t>
  </si>
  <si>
    <t>Average Motor Power (KW)</t>
  </si>
  <si>
    <t xml:space="preserve"> </t>
  </si>
  <si>
    <t>Motor</t>
  </si>
  <si>
    <t>Average Battery Regen Per Lap (KW)</t>
  </si>
  <si>
    <t>Average Power Use Per Lap (KW)</t>
  </si>
  <si>
    <t>Power Used Per Lap (KW)</t>
  </si>
  <si>
    <t>Battery Regen Per Lap (KW)</t>
  </si>
  <si>
    <t>Power Used - Battery Regen</t>
  </si>
  <si>
    <t>Number of Laps</t>
  </si>
  <si>
    <t>Seconds</t>
  </si>
  <si>
    <t>Minutes</t>
  </si>
  <si>
    <t>Battery Pack Structure</t>
  </si>
  <si>
    <t>Motor Power (KW)</t>
  </si>
  <si>
    <t>Emrax 228</t>
  </si>
  <si>
    <t>Motor Controller</t>
  </si>
  <si>
    <t>Battery Management</t>
  </si>
  <si>
    <t>Name</t>
  </si>
  <si>
    <t>Drivetrain Innovation HV-500</t>
  </si>
  <si>
    <t>BMS1060ABT</t>
  </si>
  <si>
    <t>Total</t>
  </si>
  <si>
    <t>Motor Name:</t>
  </si>
  <si>
    <t>Weight (Kg):</t>
  </si>
  <si>
    <t>Max Battery Voltage (Vdc):</t>
  </si>
  <si>
    <t>Max RPM:</t>
  </si>
  <si>
    <t>Peak motor Power (Kw):</t>
  </si>
  <si>
    <t>Continous Power (Kw):</t>
  </si>
  <si>
    <t>Max Motor Torque (Nm):</t>
  </si>
  <si>
    <t>Continuous Motor Torque (Nm)</t>
  </si>
  <si>
    <t>Motor Efficiency (%):</t>
  </si>
  <si>
    <t>Integral e-drive IPM 147</t>
  </si>
  <si>
    <t>Max Coolant Temperature (Degrees C):</t>
  </si>
  <si>
    <t>72 Series 0 Parallel</t>
  </si>
  <si>
    <t>72 Series 9 Parallel</t>
  </si>
  <si>
    <t>Max Voltage (v):</t>
  </si>
  <si>
    <t>Max Power (Kw):</t>
  </si>
  <si>
    <t>MGM Compro HBC</t>
  </si>
  <si>
    <r>
      <t>Max Current (</t>
    </r>
    <r>
      <rPr>
        <b/>
        <sz val="11"/>
        <color theme="1"/>
        <rFont val="Calibri"/>
        <family val="2"/>
      </rPr>
      <t>A</t>
    </r>
    <r>
      <rPr>
        <b/>
        <sz val="11"/>
        <color theme="1"/>
        <rFont val="Calibri"/>
        <family val="2"/>
        <scheme val="minor"/>
      </rPr>
      <t>):</t>
    </r>
  </si>
  <si>
    <t>Em Drive H300</t>
  </si>
  <si>
    <t>Cascadia Motion PM150DX</t>
  </si>
  <si>
    <t>Zytek 75Kw</t>
  </si>
  <si>
    <t>Motor Controllers:</t>
  </si>
  <si>
    <t>REB 90</t>
  </si>
  <si>
    <t>Selected</t>
  </si>
  <si>
    <t>Weight (KG)</t>
  </si>
  <si>
    <t>Efficiencies</t>
  </si>
  <si>
    <t>Hybrid System Efficiency</t>
  </si>
  <si>
    <t>Number of laps Accounting for Efficiency</t>
  </si>
  <si>
    <t>Tyre Size:</t>
  </si>
  <si>
    <t>245/570/r13</t>
  </si>
  <si>
    <t>Tyre Diameter (mm):</t>
  </si>
  <si>
    <t>Max Speed (mph):</t>
  </si>
  <si>
    <t>RPM/Diff Ratio</t>
  </si>
  <si>
    <t>Teeth on Gears</t>
  </si>
  <si>
    <t>Crown</t>
  </si>
  <si>
    <t>Pinion</t>
  </si>
  <si>
    <t>Ratio:</t>
  </si>
  <si>
    <t>Buggy Tyre</t>
  </si>
  <si>
    <t>Optimum Final Drive Ratio:</t>
  </si>
  <si>
    <t>Speed at each RPM dependant on Final Drive Ratio</t>
  </si>
  <si>
    <t>Motors:</t>
  </si>
  <si>
    <t xml:space="preserve">Generators: </t>
  </si>
  <si>
    <t>Motor Controller Name:</t>
  </si>
  <si>
    <t>Peak Power (KW):</t>
  </si>
  <si>
    <t>Motor Efficiency:</t>
  </si>
  <si>
    <t>Generator Name:</t>
  </si>
  <si>
    <t>MGM Compro RET20</t>
  </si>
  <si>
    <t>Emrax 188</t>
  </si>
  <si>
    <t>Neumotors 6560</t>
  </si>
  <si>
    <t>Neumotors 8038</t>
  </si>
  <si>
    <t>Continuous Power (KW):</t>
  </si>
  <si>
    <t>Continuous Power to Weight (KW/KG)</t>
  </si>
  <si>
    <t>RPM Fixed at optimum BSFC Value which occurs at 3000rpm</t>
  </si>
  <si>
    <t>9.33KWh Pack</t>
  </si>
  <si>
    <t>Time (hr) to Discharge @48.3KW</t>
  </si>
  <si>
    <t>Discharge Time @ 48.3kw (min)</t>
  </si>
  <si>
    <t>Discharge Time @ 48.3kw (hr)</t>
  </si>
  <si>
    <t>48.3KW is the maximum power required around the lap</t>
  </si>
  <si>
    <t>Battery Pack</t>
  </si>
  <si>
    <t>Generator</t>
  </si>
  <si>
    <t xml:space="preserve">NeuMotors 8038 </t>
  </si>
  <si>
    <t xml:space="preserve">Alternative ICE </t>
  </si>
  <si>
    <t>Husqvarna 701</t>
  </si>
  <si>
    <t>KTM 450SX</t>
  </si>
  <si>
    <t xml:space="preserve"> Drone Wankel Rotary </t>
  </si>
  <si>
    <t>Power:Weight (KW/KG)</t>
  </si>
  <si>
    <t>Capacity (cc)</t>
  </si>
  <si>
    <t>701 SUPERMOTO | 2022 - The essence of riding. - HQV (husqvarna-motorcycles.com)</t>
  </si>
  <si>
    <t>KTM 450 SX-F FACTORY EDITION 2021 - THE WINNING FORMULA - KTM</t>
  </si>
  <si>
    <t>WANKEL AG (wankel-ag.de)</t>
  </si>
  <si>
    <t>Sources</t>
  </si>
  <si>
    <t>Fuel Price (28/3/22)</t>
  </si>
  <si>
    <t>pence per litre</t>
  </si>
  <si>
    <t>Electricity Price (28/3/22)</t>
  </si>
  <si>
    <t>Latest petrol and diesel prices | RAC Fuel Prices | RAC Drive</t>
  </si>
  <si>
    <t>The Cost of Electricity per kWh in the UK (safeenergyswitch.co.uk)</t>
  </si>
  <si>
    <t>pence per KWh</t>
  </si>
  <si>
    <t>Break even point of hybrid system</t>
  </si>
  <si>
    <t>Cost per Mile (£)</t>
  </si>
  <si>
    <t xml:space="preserve">Hybrid vehicle </t>
  </si>
  <si>
    <t>Fuel Cost (£)</t>
  </si>
  <si>
    <t>Electricity Cost (£)</t>
  </si>
  <si>
    <t>Total Cost (£)</t>
  </si>
  <si>
    <t>Total Range of Vehicle (Miles)</t>
  </si>
  <si>
    <t>N/A</t>
  </si>
  <si>
    <t>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</si>
</sst>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0.0000"/>
    <numFmt numFmtId="166" formatCode="0.000"/>
  </numFmts>
  <fonts count="11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b/>
      <sz val="16"/>
      <name val="Arial"/>
      <family val="2"/>
    </font>
    <font>
      <u/>
      <sz val="10"/>
      <color theme="10"/>
      <name val="Arial"/>
    </font>
    <font>
      <b/>
      <sz val="12"/>
      <name val="Arial"/>
      <family val="2"/>
    </font>
    <font>
      <b/>
      <u/>
      <sz val="10"/>
      <color theme="1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8" tint="0.59999389629810485"/>
      </top>
      <bottom style="thin">
        <color theme="8" tint="0.59999389629810485"/>
      </bottom>
      <diagonal/>
    </border>
    <border>
      <left/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 style="thin">
        <color theme="8" tint="0.59999389629810485"/>
      </left>
      <right style="thin">
        <color theme="8" tint="0.59999389629810485"/>
      </right>
      <top style="thin">
        <color theme="8" tint="0.59999389629810485"/>
      </top>
      <bottom style="thin">
        <color theme="8" tint="0.59999389629810485"/>
      </bottom>
      <diagonal/>
    </border>
    <border>
      <left style="thin">
        <color theme="8" tint="0.59999389629810485"/>
      </left>
      <right style="thin">
        <color theme="8" tint="0.59999389629810485"/>
      </right>
      <top/>
      <bottom/>
      <diagonal/>
    </border>
    <border>
      <left style="thin">
        <color theme="8" tint="0.59999389629810485"/>
      </left>
      <right/>
      <top/>
      <bottom/>
      <diagonal/>
    </border>
    <border>
      <left/>
      <right/>
      <top style="thin">
        <color theme="8" tint="0.59999389629810485"/>
      </top>
      <bottom/>
      <diagonal/>
    </border>
    <border>
      <left style="thin">
        <color theme="8" tint="0.59999389629810485"/>
      </left>
      <right style="thin">
        <color theme="8" tint="0.59999389629810485"/>
      </right>
      <top/>
      <bottom style="thin">
        <color theme="8" tint="0.59999389629810485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 applyNumberFormat="0" applyFont="0" applyFill="0" applyBorder="0" applyAlignment="0" applyProtection="0"/>
    <xf numFmtId="43" fontId="1" fillId="0" borderId="0" applyNumberFormat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49">
    <xf numFmtId="0" fontId="0" fillId="0" borderId="0" xfId="0" applyNumberFormat="1" applyFont="1" applyFill="1" applyBorder="1" applyAlignment="1"/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2" fontId="2" fillId="0" borderId="0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2" fontId="2" fillId="2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/>
    </xf>
    <xf numFmtId="2" fontId="2" fillId="3" borderId="1" xfId="1" applyNumberFormat="1" applyFont="1" applyFill="1" applyBorder="1" applyAlignment="1">
      <alignment horizontal="center" vertical="center"/>
    </xf>
    <xf numFmtId="0" fontId="2" fillId="4" borderId="1" xfId="1" applyNumberFormat="1" applyFont="1" applyFill="1" applyBorder="1" applyAlignment="1">
      <alignment horizontal="center" vertical="center"/>
    </xf>
    <xf numFmtId="2" fontId="2" fillId="4" borderId="1" xfId="1" applyNumberFormat="1" applyFont="1" applyFill="1" applyBorder="1" applyAlignment="1">
      <alignment horizontal="center" vertical="center"/>
    </xf>
    <xf numFmtId="0" fontId="2" fillId="5" borderId="1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/>
    </xf>
    <xf numFmtId="164" fontId="2" fillId="0" borderId="0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/>
    </xf>
    <xf numFmtId="0" fontId="2" fillId="0" borderId="1" xfId="1" applyNumberFormat="1" applyFont="1" applyFill="1" applyBorder="1" applyAlignment="1">
      <alignment horizontal="center" vertical="center"/>
    </xf>
    <xf numFmtId="2" fontId="2" fillId="0" borderId="1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165" fontId="2" fillId="3" borderId="1" xfId="1" applyNumberFormat="1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/>
    </xf>
    <xf numFmtId="1" fontId="2" fillId="2" borderId="1" xfId="1" applyNumberFormat="1" applyFont="1" applyFill="1" applyBorder="1" applyAlignment="1">
      <alignment horizontal="center" vertical="center"/>
    </xf>
    <xf numFmtId="164" fontId="2" fillId="4" borderId="1" xfId="1" applyNumberFormat="1" applyFont="1" applyFill="1" applyBorder="1" applyAlignment="1">
      <alignment horizontal="center" vertical="center"/>
    </xf>
    <xf numFmtId="165" fontId="2" fillId="4" borderId="1" xfId="1" applyNumberFormat="1" applyFont="1" applyFill="1" applyBorder="1" applyAlignment="1">
      <alignment horizontal="center" vertical="center"/>
    </xf>
    <xf numFmtId="1" fontId="2" fillId="4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5" borderId="1" xfId="1" applyNumberFormat="1" applyFont="1" applyFill="1" applyBorder="1" applyAlignment="1">
      <alignment horizontal="center" vertical="center"/>
    </xf>
    <xf numFmtId="9" fontId="2" fillId="0" borderId="1" xfId="2" applyFont="1" applyFill="1" applyBorder="1" applyAlignment="1">
      <alignment horizontal="center" vertical="center"/>
    </xf>
    <xf numFmtId="165" fontId="2" fillId="6" borderId="1" xfId="1" applyNumberFormat="1" applyFont="1" applyFill="1" applyBorder="1" applyAlignment="1">
      <alignment horizontal="center" vertical="center"/>
    </xf>
    <xf numFmtId="0" fontId="2" fillId="6" borderId="1" xfId="1" applyNumberFormat="1" applyFont="1" applyFill="1" applyBorder="1" applyAlignment="1">
      <alignment horizontal="center" vertical="center"/>
    </xf>
    <xf numFmtId="165" fontId="2" fillId="5" borderId="1" xfId="1" applyNumberFormat="1" applyFont="1" applyFill="1" applyBorder="1" applyAlignment="1">
      <alignment horizontal="center" vertical="center"/>
    </xf>
    <xf numFmtId="0" fontId="2" fillId="5" borderId="1" xfId="1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/>
    </xf>
    <xf numFmtId="0" fontId="3" fillId="5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/>
    </xf>
    <xf numFmtId="164" fontId="3" fillId="8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166" fontId="3" fillId="7" borderId="1" xfId="0" applyNumberFormat="1" applyFont="1" applyFill="1" applyBorder="1" applyAlignment="1">
      <alignment horizontal="center" vertical="center"/>
    </xf>
    <xf numFmtId="166" fontId="3" fillId="8" borderId="1" xfId="0" applyNumberFormat="1" applyFont="1" applyFill="1" applyBorder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6" fontId="3" fillId="0" borderId="1" xfId="0" applyNumberFormat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/>
    <xf numFmtId="0" fontId="0" fillId="0" borderId="0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vertical="center"/>
    </xf>
    <xf numFmtId="0" fontId="2" fillId="4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166" fontId="2" fillId="3" borderId="1" xfId="0" applyNumberFormat="1" applyFont="1" applyFill="1" applyBorder="1" applyAlignment="1">
      <alignment horizontal="center" vertical="center"/>
    </xf>
    <xf numFmtId="166" fontId="2" fillId="2" borderId="1" xfId="0" applyNumberFormat="1" applyFont="1" applyFill="1" applyBorder="1" applyAlignment="1">
      <alignment horizontal="center" vertical="center"/>
    </xf>
    <xf numFmtId="166" fontId="2" fillId="4" borderId="1" xfId="0" applyNumberFormat="1" applyFont="1" applyFill="1" applyBorder="1" applyAlignment="1">
      <alignment horizontal="center" vertical="center"/>
    </xf>
    <xf numFmtId="0" fontId="2" fillId="5" borderId="0" xfId="1" applyNumberFormat="1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3" fillId="5" borderId="1" xfId="0" applyFont="1" applyFill="1" applyBorder="1"/>
    <xf numFmtId="0" fontId="3" fillId="0" borderId="0" xfId="0" applyFont="1" applyFill="1" applyBorder="1"/>
    <xf numFmtId="0" fontId="3" fillId="5" borderId="1" xfId="0" applyFont="1" applyFill="1" applyBorder="1" applyAlignment="1">
      <alignment horizontal="center"/>
    </xf>
    <xf numFmtId="0" fontId="7" fillId="0" borderId="1" xfId="0" applyNumberFormat="1" applyFont="1" applyFill="1" applyBorder="1" applyAlignment="1">
      <alignment horizontal="center"/>
    </xf>
    <xf numFmtId="0" fontId="7" fillId="5" borderId="1" xfId="0" applyNumberFormat="1" applyFont="1" applyFill="1" applyBorder="1" applyAlignment="1">
      <alignment horizontal="center"/>
    </xf>
    <xf numFmtId="0" fontId="7" fillId="0" borderId="0" xfId="0" applyNumberFormat="1" applyFont="1" applyFill="1" applyBorder="1" applyAlignment="1">
      <alignment horizontal="center"/>
    </xf>
    <xf numFmtId="9" fontId="7" fillId="0" borderId="1" xfId="2" applyFont="1" applyFill="1" applyBorder="1" applyAlignment="1">
      <alignment horizontal="center"/>
    </xf>
    <xf numFmtId="10" fontId="7" fillId="2" borderId="1" xfId="0" applyNumberFormat="1" applyFont="1" applyFill="1" applyBorder="1" applyAlignment="1">
      <alignment horizontal="center"/>
    </xf>
    <xf numFmtId="0" fontId="6" fillId="5" borderId="1" xfId="0" applyNumberFormat="1" applyFont="1" applyFill="1" applyBorder="1" applyAlignment="1">
      <alignment horizontal="center"/>
    </xf>
    <xf numFmtId="0" fontId="6" fillId="5" borderId="2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  <xf numFmtId="0" fontId="0" fillId="0" borderId="0" xfId="0" applyFill="1" applyBorder="1"/>
    <xf numFmtId="0" fontId="0" fillId="0" borderId="8" xfId="0" applyFill="1" applyBorder="1"/>
    <xf numFmtId="0" fontId="3" fillId="5" borderId="7" xfId="0" applyFont="1" applyFill="1" applyBorder="1" applyAlignment="1">
      <alignment horizontal="center"/>
    </xf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3" fillId="7" borderId="7" xfId="0" applyFont="1" applyFill="1" applyBorder="1" applyAlignment="1">
      <alignment horizontal="center"/>
    </xf>
    <xf numFmtId="0" fontId="0" fillId="0" borderId="13" xfId="0" applyFill="1" applyBorder="1"/>
    <xf numFmtId="0" fontId="0" fillId="0" borderId="14" xfId="0" applyFill="1" applyBorder="1"/>
    <xf numFmtId="0" fontId="0" fillId="0" borderId="0" xfId="0" applyFill="1"/>
    <xf numFmtId="164" fontId="3" fillId="5" borderId="1" xfId="0" applyNumberFormat="1" applyFont="1" applyFill="1" applyBorder="1" applyAlignment="1">
      <alignment horizontal="center"/>
    </xf>
    <xf numFmtId="2" fontId="3" fillId="7" borderId="1" xfId="0" applyNumberFormat="1" applyFont="1" applyFill="1" applyBorder="1" applyAlignment="1">
      <alignment horizontal="center"/>
    </xf>
    <xf numFmtId="0" fontId="3" fillId="5" borderId="1" xfId="0" applyNumberFormat="1" applyFont="1" applyFill="1" applyBorder="1" applyAlignment="1">
      <alignment horizontal="center"/>
    </xf>
    <xf numFmtId="0" fontId="3" fillId="5" borderId="15" xfId="0" applyFont="1" applyFill="1" applyBorder="1" applyAlignment="1">
      <alignment horizontal="center"/>
    </xf>
    <xf numFmtId="0" fontId="2" fillId="5" borderId="1" xfId="1" applyNumberFormat="1" applyFont="1" applyFill="1" applyBorder="1" applyAlignment="1">
      <alignment vertical="center"/>
    </xf>
    <xf numFmtId="0" fontId="2" fillId="0" borderId="0" xfId="1" applyNumberFormat="1" applyFont="1" applyFill="1" applyBorder="1" applyAlignment="1">
      <alignment vertical="center"/>
    </xf>
    <xf numFmtId="1" fontId="2" fillId="0" borderId="0" xfId="1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2" fontId="2" fillId="4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2" fillId="10" borderId="1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9" fillId="5" borderId="1" xfId="0" applyNumberFormat="1" applyFont="1" applyFill="1" applyBorder="1" applyAlignment="1">
      <alignment horizontal="center"/>
    </xf>
    <xf numFmtId="0" fontId="9" fillId="10" borderId="1" xfId="0" applyNumberFormat="1" applyFont="1" applyFill="1" applyBorder="1" applyAlignment="1">
      <alignment horizontal="center"/>
    </xf>
    <xf numFmtId="2" fontId="9" fillId="10" borderId="1" xfId="0" applyNumberFormat="1" applyFont="1" applyFill="1" applyBorder="1" applyAlignment="1">
      <alignment horizontal="center"/>
    </xf>
    <xf numFmtId="0" fontId="8" fillId="10" borderId="1" xfId="3" applyNumberFormat="1" applyFill="1" applyBorder="1" applyAlignment="1">
      <alignment horizontal="center"/>
    </xf>
    <xf numFmtId="165" fontId="2" fillId="0" borderId="2" xfId="1" applyNumberFormat="1" applyFont="1" applyFill="1" applyBorder="1" applyAlignment="1">
      <alignment horizontal="center" vertical="center"/>
    </xf>
    <xf numFmtId="165" fontId="2" fillId="0" borderId="4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5" borderId="1" xfId="1" applyNumberFormat="1" applyFont="1" applyFill="1" applyBorder="1" applyAlignment="1">
      <alignment horizontal="center" vertical="center"/>
    </xf>
    <xf numFmtId="0" fontId="2" fillId="5" borderId="2" xfId="1" applyNumberFormat="1" applyFont="1" applyFill="1" applyBorder="1" applyAlignment="1">
      <alignment horizontal="center" vertical="center"/>
    </xf>
    <xf numFmtId="0" fontId="2" fillId="5" borderId="3" xfId="1" applyNumberFormat="1" applyFont="1" applyFill="1" applyBorder="1" applyAlignment="1">
      <alignment horizontal="center" vertical="center"/>
    </xf>
    <xf numFmtId="0" fontId="2" fillId="5" borderId="4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5" borderId="1" xfId="0" applyNumberFormat="1" applyFont="1" applyFill="1" applyBorder="1" applyAlignment="1">
      <alignment horizontal="center"/>
    </xf>
    <xf numFmtId="0" fontId="2" fillId="5" borderId="16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10" borderId="5" xfId="0" applyNumberFormat="1" applyFont="1" applyFill="1" applyBorder="1" applyAlignment="1">
      <alignment horizontal="center" vertical="center"/>
    </xf>
    <xf numFmtId="0" fontId="2" fillId="10" borderId="6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/>
    </xf>
    <xf numFmtId="0" fontId="7" fillId="2" borderId="1" xfId="0" applyNumberFormat="1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  <xf numFmtId="0" fontId="3" fillId="7" borderId="7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1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/>
    <xf numFmtId="2" fontId="2" fillId="10" borderId="1" xfId="0" applyNumberFormat="1" applyFont="1" applyFill="1" applyBorder="1" applyAlignment="1">
      <alignment horizontal="center"/>
    </xf>
    <xf numFmtId="0" fontId="2" fillId="10" borderId="1" xfId="0" applyNumberFormat="1" applyFont="1" applyFill="1" applyBorder="1" applyAlignment="1">
      <alignment horizontal="center"/>
    </xf>
    <xf numFmtId="164" fontId="2" fillId="10" borderId="1" xfId="0" applyNumberFormat="1" applyFont="1" applyFill="1" applyBorder="1" applyAlignment="1">
      <alignment horizontal="center"/>
    </xf>
    <xf numFmtId="10" fontId="2" fillId="10" borderId="1" xfId="0" applyNumberFormat="1" applyFont="1" applyFill="1" applyBorder="1" applyAlignment="1">
      <alignment horizontal="center"/>
    </xf>
    <xf numFmtId="164" fontId="2" fillId="5" borderId="1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/>
    <xf numFmtId="0" fontId="2" fillId="10" borderId="1" xfId="0" applyNumberFormat="1" applyFont="1" applyFill="1" applyBorder="1" applyAlignment="1"/>
    <xf numFmtId="0" fontId="10" fillId="10" borderId="1" xfId="3" applyNumberFormat="1" applyFont="1" applyFill="1" applyBorder="1" applyAlignment="1">
      <alignment horizontal="center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2.7899177363686068E-2"/>
          <c:y val="0.1496899467827984"/>
          <c:w val="0.92024601677954287"/>
          <c:h val="0.83100902946467081"/>
        </c:manualLayout>
      </c:layout>
      <c:scatterChart>
        <c:scatterStyle val="smoothMarker"/>
        <c:varyColors val="0"/>
        <c:ser>
          <c:idx val="0"/>
          <c:order val="0"/>
          <c:tx>
            <c:v>Elevation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Data!$I$7:$I$165</c:f>
              <c:numCache>
                <c:formatCode>0.00</c:formatCode>
                <c:ptCount val="159"/>
                <c:pt idx="0">
                  <c:v>0</c:v>
                </c:pt>
                <c:pt idx="1">
                  <c:v>1.5845973832571001</c:v>
                </c:pt>
                <c:pt idx="2">
                  <c:v>3.1826235578977355</c:v>
                </c:pt>
                <c:pt idx="3">
                  <c:v>4.7874498439198199</c:v>
                </c:pt>
                <c:pt idx="4">
                  <c:v>6.406051462869133</c:v>
                </c:pt>
                <c:pt idx="5">
                  <c:v>8.0386669486491762</c:v>
                </c:pt>
                <c:pt idx="6">
                  <c:v>9.6855410849600485</c:v>
                </c:pt>
                <c:pt idx="7">
                  <c:v>11.346925125555599</c:v>
                </c:pt>
                <c:pt idx="8">
                  <c:v>13.023077024289776</c:v>
                </c:pt>
                <c:pt idx="9">
                  <c:v>14.714261675478969</c:v>
                </c:pt>
                <c:pt idx="10">
                  <c:v>16.420751165140462</c:v>
                </c:pt>
                <c:pt idx="11">
                  <c:v>18.142825033702973</c:v>
                </c:pt>
                <c:pt idx="12">
                  <c:v>19.880770550823662</c:v>
                </c:pt>
                <c:pt idx="13">
                  <c:v>21.634883002987337</c:v>
                </c:pt>
                <c:pt idx="14">
                  <c:v>23.405465994607948</c:v>
                </c:pt>
                <c:pt idx="15">
                  <c:v>25.192831763400317</c:v>
                </c:pt>
                <c:pt idx="16">
                  <c:v>26.997301510841417</c:v>
                </c:pt>
                <c:pt idx="17">
                  <c:v>28.819205748595959</c:v>
                </c:pt>
                <c:pt idx="18">
                  <c:v>30.658884661840787</c:v>
                </c:pt>
                <c:pt idx="19">
                  <c:v>32.516688490487049</c:v>
                </c:pt>
                <c:pt idx="20">
                  <c:v>34.392977929368591</c:v>
                </c:pt>
                <c:pt idx="21">
                  <c:v>36.288124548540402</c:v>
                </c:pt>
                <c:pt idx="22">
                  <c:v>38.202511234911924</c:v>
                </c:pt>
                <c:pt idx="23">
                  <c:v>40.136532656528281</c:v>
                </c:pt>
                <c:pt idx="24">
                  <c:v>42.090595750907504</c:v>
                </c:pt>
                <c:pt idx="25">
                  <c:v>44.065120238945148</c:v>
                </c:pt>
                <c:pt idx="26">
                  <c:v>46.060539166009647</c:v>
                </c:pt>
                <c:pt idx="27">
                  <c:v>48.077299471973227</c:v>
                </c:pt>
                <c:pt idx="28">
                  <c:v>50.115862592055336</c:v>
                </c:pt>
                <c:pt idx="29">
                  <c:v>52.176705090498999</c:v>
                </c:pt>
                <c:pt idx="30">
                  <c:v>54.260319329256951</c:v>
                </c:pt>
                <c:pt idx="31">
                  <c:v>56.367214174034551</c:v>
                </c:pt>
                <c:pt idx="32">
                  <c:v>58.497915740222062</c:v>
                </c:pt>
                <c:pt idx="33">
                  <c:v>60.652968181451719</c:v>
                </c:pt>
                <c:pt idx="34">
                  <c:v>62.83293452373605</c:v>
                </c:pt>
                <c:pt idx="35">
                  <c:v>65.038397548386286</c:v>
                </c:pt>
                <c:pt idx="36">
                  <c:v>67.269960727174393</c:v>
                </c:pt>
                <c:pt idx="37">
                  <c:v>69.528249213492899</c:v>
                </c:pt>
                <c:pt idx="38">
                  <c:v>71.813910893584961</c:v>
                </c:pt>
                <c:pt idx="39">
                  <c:v>74.127617502267114</c:v>
                </c:pt>
                <c:pt idx="40">
                  <c:v>76.470065807951528</c:v>
                </c:pt>
                <c:pt idx="41">
                  <c:v>78.841978872198013</c:v>
                </c:pt>
                <c:pt idx="42">
                  <c:v>81.244107389492228</c:v>
                </c:pt>
                <c:pt idx="43">
                  <c:v>83.677231113461204</c:v>
                </c:pt>
                <c:pt idx="44">
                  <c:v>86.142160376305597</c:v>
                </c:pt>
                <c:pt idx="45">
                  <c:v>88.639737708856529</c:v>
                </c:pt>
                <c:pt idx="46">
                  <c:v>91.170839569361164</c:v>
                </c:pt>
                <c:pt idx="47">
                  <c:v>93.736378189872667</c:v>
                </c:pt>
                <c:pt idx="48">
                  <c:v>96.337303549977435</c:v>
                </c:pt>
                <c:pt idx="49">
                  <c:v>98.974605488545208</c:v>
                </c:pt>
                <c:pt idx="50">
                  <c:v>101.64931596524869</c:v>
                </c:pt>
                <c:pt idx="51">
                  <c:v>104.36251148478244</c:v>
                </c:pt>
                <c:pt idx="52">
                  <c:v>107.11531569803202</c:v>
                </c:pt>
                <c:pt idx="53">
                  <c:v>109.90890219592232</c:v>
                </c:pt>
                <c:pt idx="54">
                  <c:v>112.74449751332978</c:v>
                </c:pt>
                <c:pt idx="55">
                  <c:v>115.6233843623007</c:v>
                </c:pt>
                <c:pt idx="56">
                  <c:v>118.54690511590684</c:v>
                </c:pt>
                <c:pt idx="57">
                  <c:v>121.51646556642015</c:v>
                </c:pt>
                <c:pt idx="58">
                  <c:v>124.53353898414169</c:v>
                </c:pt>
                <c:pt idx="59">
                  <c:v>127.59967050621641</c:v>
                </c:pt>
                <c:pt idx="60">
                  <c:v>130.71648188816013</c:v>
                </c:pt>
                <c:pt idx="61">
                  <c:v>133.88567665467434</c:v>
                </c:pt>
                <c:pt idx="62">
                  <c:v>137.10904569070161</c:v>
                </c:pt>
                <c:pt idx="63">
                  <c:v>140.38847331865981</c:v>
                </c:pt>
                <c:pt idx="64">
                  <c:v>143.72594391348451</c:v>
                </c:pt>
                <c:pt idx="65">
                  <c:v>147.12354911362138</c:v>
                </c:pt>
                <c:pt idx="66">
                  <c:v>150.58349569357728</c:v>
                </c:pt>
                <c:pt idx="67">
                  <c:v>154.10811417222394</c:v>
                </c:pt>
                <c:pt idx="68">
                  <c:v>157.69986824094005</c:v>
                </c:pt>
                <c:pt idx="69">
                  <c:v>161.36136510710696</c:v>
                </c:pt>
                <c:pt idx="70">
                  <c:v>165.09536686171282</c:v>
                </c:pt>
                <c:pt idx="71">
                  <c:v>168.90480299519959</c:v>
                </c:pt>
                <c:pt idx="72">
                  <c:v>172.79278420360362</c:v>
                </c:pt>
                <c:pt idx="73">
                  <c:v>176.76261764797405</c:v>
                </c:pt>
                <c:pt idx="74">
                  <c:v>180.81782385458902</c:v>
                </c:pt>
                <c:pt idx="75">
                  <c:v>184.96215547233837</c:v>
                </c:pt>
                <c:pt idx="76">
                  <c:v>189.19961813767759</c:v>
                </c:pt>
                <c:pt idx="77">
                  <c:v>193.53449373785222</c:v>
                </c:pt>
                <c:pt idx="78">
                  <c:v>197.97136641097208</c:v>
                </c:pt>
                <c:pt idx="79">
                  <c:v>202.51515167862499</c:v>
                </c:pt>
                <c:pt idx="80">
                  <c:v>207.17112917510883</c:v>
                </c:pt>
                <c:pt idx="81">
                  <c:v>211.94497951960491</c:v>
                </c:pt>
                <c:pt idx="82">
                  <c:v>216.84282597694505</c:v>
                </c:pt>
                <c:pt idx="83">
                  <c:v>221.67787953098596</c:v>
                </c:pt>
                <c:pt idx="84">
                  <c:v>225.44922130313788</c:v>
                </c:pt>
                <c:pt idx="85">
                  <c:v>228.14303685467496</c:v>
                </c:pt>
                <c:pt idx="86">
                  <c:v>230.41492948850143</c:v>
                </c:pt>
                <c:pt idx="87">
                  <c:v>232.58236728858873</c:v>
                </c:pt>
                <c:pt idx="88">
                  <c:v>234.70109862125835</c:v>
                </c:pt>
                <c:pt idx="89">
                  <c:v>236.77326443013303</c:v>
                </c:pt>
                <c:pt idx="90">
                  <c:v>238.80086753344051</c:v>
                </c:pt>
                <c:pt idx="91">
                  <c:v>240.78578425562574</c:v>
                </c:pt>
                <c:pt idx="92">
                  <c:v>242.72977485982776</c:v>
                </c:pt>
                <c:pt idx="93">
                  <c:v>244.63449292657114</c:v>
                </c:pt>
                <c:pt idx="94">
                  <c:v>246.50149380387407</c:v>
                </c:pt>
                <c:pt idx="95">
                  <c:v>248.33224223695751</c:v>
                </c:pt>
                <c:pt idx="96">
                  <c:v>250.12811927131557</c:v>
                </c:pt>
                <c:pt idx="97">
                  <c:v>251.89042851063888</c:v>
                </c:pt>
                <c:pt idx="98">
                  <c:v>253.62040180061683</c:v>
                </c:pt>
                <c:pt idx="99">
                  <c:v>255.31920440068527</c:v>
                </c:pt>
                <c:pt idx="100">
                  <c:v>256.98793969809759</c:v>
                </c:pt>
                <c:pt idx="101">
                  <c:v>258.62765351207668</c:v>
                </c:pt>
                <c:pt idx="102">
                  <c:v>260.23933803009032</c:v>
                </c:pt>
                <c:pt idx="103">
                  <c:v>261.82393541334744</c:v>
                </c:pt>
                <c:pt idx="104">
                  <c:v>263.38234110431932</c:v>
                </c:pt>
                <c:pt idx="105">
                  <c:v>264.91540686535672</c:v>
                </c:pt>
                <c:pt idx="106">
                  <c:v>266.4239435742175</c:v>
                </c:pt>
                <c:pt idx="107">
                  <c:v>267.90872379947416</c:v>
                </c:pt>
                <c:pt idx="108">
                  <c:v>269.37048417627722</c:v>
                </c:pt>
                <c:pt idx="109">
                  <c:v>270.80992760076271</c:v>
                </c:pt>
                <c:pt idx="110">
                  <c:v>272.22772525946641</c:v>
                </c:pt>
                <c:pt idx="111">
                  <c:v>273.62451850841154</c:v>
                </c:pt>
                <c:pt idx="112">
                  <c:v>275.00092061503631</c:v>
                </c:pt>
                <c:pt idx="113">
                  <c:v>276.35751837480319</c:v>
                </c:pt>
                <c:pt idx="114">
                  <c:v>277.69487361315493</c:v>
                </c:pt>
                <c:pt idx="115">
                  <c:v>279.01352458243883</c:v>
                </c:pt>
                <c:pt idx="116">
                  <c:v>280.3139872624912</c:v>
                </c:pt>
                <c:pt idx="117">
                  <c:v>281.59675657274693</c:v>
                </c:pt>
                <c:pt idx="118">
                  <c:v>282.86230750299927</c:v>
                </c:pt>
                <c:pt idx="119">
                  <c:v>284.11109616927473</c:v>
                </c:pt>
                <c:pt idx="120">
                  <c:v>285.34356080069693</c:v>
                </c:pt>
                <c:pt idx="121">
                  <c:v>286.56012266268141</c:v>
                </c:pt>
                <c:pt idx="122">
                  <c:v>287.76118692132849</c:v>
                </c:pt>
                <c:pt idx="123">
                  <c:v>288.94714345345176</c:v>
                </c:pt>
                <c:pt idx="124">
                  <c:v>290.11836760629399</c:v>
                </c:pt>
                <c:pt idx="125">
                  <c:v>291.27522091063508</c:v>
                </c:pt>
                <c:pt idx="126">
                  <c:v>292.41805175068112</c:v>
                </c:pt>
                <c:pt idx="127">
                  <c:v>293.54719599384038</c:v>
                </c:pt>
                <c:pt idx="128">
                  <c:v>294.66297758323441</c:v>
                </c:pt>
                <c:pt idx="129">
                  <c:v>295.76570909555954</c:v>
                </c:pt>
                <c:pt idx="130">
                  <c:v>296.85569226670174</c:v>
                </c:pt>
                <c:pt idx="131">
                  <c:v>297.93321848731659</c:v>
                </c:pt>
                <c:pt idx="132">
                  <c:v>298.99856927041037</c:v>
                </c:pt>
                <c:pt idx="133">
                  <c:v>300.05201669279916</c:v>
                </c:pt>
                <c:pt idx="134">
                  <c:v>301.09382381217813</c:v>
                </c:pt>
                <c:pt idx="135">
                  <c:v>302.12424506139996</c:v>
                </c:pt>
                <c:pt idx="136">
                  <c:v>303.14352662144103</c:v>
                </c:pt>
                <c:pt idx="137">
                  <c:v>304.1519067744228</c:v>
                </c:pt>
                <c:pt idx="138">
                  <c:v>305.14961623795506</c:v>
                </c:pt>
                <c:pt idx="139">
                  <c:v>306.13687848197389</c:v>
                </c:pt>
                <c:pt idx="140">
                  <c:v>307.11391002916349</c:v>
                </c:pt>
                <c:pt idx="141">
                  <c:v>308.08342656733186</c:v>
                </c:pt>
                <c:pt idx="142">
                  <c:v>309.05047695200199</c:v>
                </c:pt>
                <c:pt idx="143">
                  <c:v>310.01752733667212</c:v>
                </c:pt>
                <c:pt idx="144">
                  <c:v>310.98457772134225</c:v>
                </c:pt>
                <c:pt idx="145">
                  <c:v>311.95162810601238</c:v>
                </c:pt>
                <c:pt idx="146">
                  <c:v>312.91867849068251</c:v>
                </c:pt>
                <c:pt idx="147">
                  <c:v>313.88572887535264</c:v>
                </c:pt>
                <c:pt idx="148">
                  <c:v>314.85277926002277</c:v>
                </c:pt>
                <c:pt idx="149">
                  <c:v>315.8198296446929</c:v>
                </c:pt>
                <c:pt idx="150">
                  <c:v>316.78688002936303</c:v>
                </c:pt>
                <c:pt idx="151">
                  <c:v>317.75393041403316</c:v>
                </c:pt>
                <c:pt idx="152">
                  <c:v>318.72098079870329</c:v>
                </c:pt>
                <c:pt idx="153">
                  <c:v>319.68803118337343</c:v>
                </c:pt>
                <c:pt idx="154">
                  <c:v>320.65508156804356</c:v>
                </c:pt>
                <c:pt idx="155">
                  <c:v>321.62213195271369</c:v>
                </c:pt>
                <c:pt idx="156">
                  <c:v>322.58918233738376</c:v>
                </c:pt>
                <c:pt idx="157">
                  <c:v>323.55623272205384</c:v>
                </c:pt>
                <c:pt idx="158">
                  <c:v>325.19623272205382</c:v>
                </c:pt>
              </c:numCache>
            </c:numRef>
          </c:xVal>
          <c:yVal>
            <c:numRef>
              <c:f>Data!$E$7:$E$165</c:f>
              <c:numCache>
                <c:formatCode>General</c:formatCode>
                <c:ptCount val="15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  <c:pt idx="41">
                  <c:v>10.25</c:v>
                </c:pt>
                <c:pt idx="42">
                  <c:v>10.5</c:v>
                </c:pt>
                <c:pt idx="43">
                  <c:v>10.75</c:v>
                </c:pt>
                <c:pt idx="44">
                  <c:v>11</c:v>
                </c:pt>
                <c:pt idx="45">
                  <c:v>11.25</c:v>
                </c:pt>
                <c:pt idx="46">
                  <c:v>11.5</c:v>
                </c:pt>
                <c:pt idx="47">
                  <c:v>11.75</c:v>
                </c:pt>
                <c:pt idx="48">
                  <c:v>12</c:v>
                </c:pt>
                <c:pt idx="49">
                  <c:v>12.25</c:v>
                </c:pt>
                <c:pt idx="50">
                  <c:v>12.5</c:v>
                </c:pt>
                <c:pt idx="51">
                  <c:v>12.75</c:v>
                </c:pt>
                <c:pt idx="52">
                  <c:v>13</c:v>
                </c:pt>
                <c:pt idx="53">
                  <c:v>13.25</c:v>
                </c:pt>
                <c:pt idx="54">
                  <c:v>13.5</c:v>
                </c:pt>
                <c:pt idx="55">
                  <c:v>13.75</c:v>
                </c:pt>
                <c:pt idx="56">
                  <c:v>14</c:v>
                </c:pt>
                <c:pt idx="57">
                  <c:v>14.25</c:v>
                </c:pt>
                <c:pt idx="58">
                  <c:v>14.5</c:v>
                </c:pt>
                <c:pt idx="59">
                  <c:v>14.75</c:v>
                </c:pt>
                <c:pt idx="60">
                  <c:v>15</c:v>
                </c:pt>
                <c:pt idx="61">
                  <c:v>15.25</c:v>
                </c:pt>
                <c:pt idx="62">
                  <c:v>15.5</c:v>
                </c:pt>
                <c:pt idx="63">
                  <c:v>15.75</c:v>
                </c:pt>
                <c:pt idx="64">
                  <c:v>16</c:v>
                </c:pt>
                <c:pt idx="65">
                  <c:v>16.25</c:v>
                </c:pt>
                <c:pt idx="66">
                  <c:v>16.5</c:v>
                </c:pt>
                <c:pt idx="67">
                  <c:v>16.75</c:v>
                </c:pt>
                <c:pt idx="68">
                  <c:v>17</c:v>
                </c:pt>
                <c:pt idx="69">
                  <c:v>17.25</c:v>
                </c:pt>
                <c:pt idx="70">
                  <c:v>17.5</c:v>
                </c:pt>
                <c:pt idx="71">
                  <c:v>17.75</c:v>
                </c:pt>
                <c:pt idx="72">
                  <c:v>18</c:v>
                </c:pt>
                <c:pt idx="73">
                  <c:v>18.25</c:v>
                </c:pt>
                <c:pt idx="74">
                  <c:v>18.5</c:v>
                </c:pt>
                <c:pt idx="75">
                  <c:v>18.75</c:v>
                </c:pt>
                <c:pt idx="76">
                  <c:v>19</c:v>
                </c:pt>
                <c:pt idx="77">
                  <c:v>19.25</c:v>
                </c:pt>
                <c:pt idx="78">
                  <c:v>19.5</c:v>
                </c:pt>
                <c:pt idx="79">
                  <c:v>19.75</c:v>
                </c:pt>
                <c:pt idx="80">
                  <c:v>20</c:v>
                </c:pt>
                <c:pt idx="81">
                  <c:v>20.25</c:v>
                </c:pt>
                <c:pt idx="82">
                  <c:v>20.5</c:v>
                </c:pt>
                <c:pt idx="83">
                  <c:v>20.75</c:v>
                </c:pt>
                <c:pt idx="84">
                  <c:v>21</c:v>
                </c:pt>
                <c:pt idx="85">
                  <c:v>21</c:v>
                </c:pt>
                <c:pt idx="86">
                  <c:v>21</c:v>
                </c:pt>
                <c:pt idx="87">
                  <c:v>21</c:v>
                </c:pt>
                <c:pt idx="88">
                  <c:v>21</c:v>
                </c:pt>
                <c:pt idx="89">
                  <c:v>21</c:v>
                </c:pt>
                <c:pt idx="90">
                  <c:v>21</c:v>
                </c:pt>
                <c:pt idx="91">
                  <c:v>21</c:v>
                </c:pt>
                <c:pt idx="92">
                  <c:v>21</c:v>
                </c:pt>
                <c:pt idx="93">
                  <c:v>21</c:v>
                </c:pt>
                <c:pt idx="94">
                  <c:v>21</c:v>
                </c:pt>
                <c:pt idx="95">
                  <c:v>21</c:v>
                </c:pt>
                <c:pt idx="96">
                  <c:v>21</c:v>
                </c:pt>
                <c:pt idx="97">
                  <c:v>21</c:v>
                </c:pt>
                <c:pt idx="98">
                  <c:v>21</c:v>
                </c:pt>
                <c:pt idx="99">
                  <c:v>21</c:v>
                </c:pt>
                <c:pt idx="100">
                  <c:v>21</c:v>
                </c:pt>
                <c:pt idx="101">
                  <c:v>21</c:v>
                </c:pt>
                <c:pt idx="102">
                  <c:v>21</c:v>
                </c:pt>
                <c:pt idx="103">
                  <c:v>21</c:v>
                </c:pt>
                <c:pt idx="104">
                  <c:v>21</c:v>
                </c:pt>
                <c:pt idx="105">
                  <c:v>21</c:v>
                </c:pt>
                <c:pt idx="106">
                  <c:v>21</c:v>
                </c:pt>
                <c:pt idx="107">
                  <c:v>21</c:v>
                </c:pt>
                <c:pt idx="108">
                  <c:v>21</c:v>
                </c:pt>
                <c:pt idx="109">
                  <c:v>21</c:v>
                </c:pt>
                <c:pt idx="110">
                  <c:v>21</c:v>
                </c:pt>
                <c:pt idx="111">
                  <c:v>21</c:v>
                </c:pt>
                <c:pt idx="112">
                  <c:v>21</c:v>
                </c:pt>
                <c:pt idx="113">
                  <c:v>21</c:v>
                </c:pt>
                <c:pt idx="114">
                  <c:v>21</c:v>
                </c:pt>
                <c:pt idx="115">
                  <c:v>21</c:v>
                </c:pt>
                <c:pt idx="116">
                  <c:v>21</c:v>
                </c:pt>
                <c:pt idx="117">
                  <c:v>20.5</c:v>
                </c:pt>
                <c:pt idx="118">
                  <c:v>20</c:v>
                </c:pt>
                <c:pt idx="119">
                  <c:v>19.5</c:v>
                </c:pt>
                <c:pt idx="120">
                  <c:v>19</c:v>
                </c:pt>
                <c:pt idx="121">
                  <c:v>18.5</c:v>
                </c:pt>
                <c:pt idx="122">
                  <c:v>18</c:v>
                </c:pt>
                <c:pt idx="123">
                  <c:v>17.5</c:v>
                </c:pt>
                <c:pt idx="124">
                  <c:v>17</c:v>
                </c:pt>
                <c:pt idx="125">
                  <c:v>16.5</c:v>
                </c:pt>
                <c:pt idx="126">
                  <c:v>16</c:v>
                </c:pt>
                <c:pt idx="127">
                  <c:v>15.5</c:v>
                </c:pt>
                <c:pt idx="128">
                  <c:v>15</c:v>
                </c:pt>
                <c:pt idx="129">
                  <c:v>14.5</c:v>
                </c:pt>
                <c:pt idx="130">
                  <c:v>14</c:v>
                </c:pt>
                <c:pt idx="131">
                  <c:v>13.5</c:v>
                </c:pt>
                <c:pt idx="132">
                  <c:v>13</c:v>
                </c:pt>
                <c:pt idx="133">
                  <c:v>12.5</c:v>
                </c:pt>
                <c:pt idx="134">
                  <c:v>12</c:v>
                </c:pt>
                <c:pt idx="135">
                  <c:v>11.5</c:v>
                </c:pt>
                <c:pt idx="136">
                  <c:v>11</c:v>
                </c:pt>
                <c:pt idx="137">
                  <c:v>10.5</c:v>
                </c:pt>
                <c:pt idx="138">
                  <c:v>10</c:v>
                </c:pt>
                <c:pt idx="139">
                  <c:v>9.5</c:v>
                </c:pt>
                <c:pt idx="140">
                  <c:v>9</c:v>
                </c:pt>
                <c:pt idx="141">
                  <c:v>8.5</c:v>
                </c:pt>
                <c:pt idx="142">
                  <c:v>8</c:v>
                </c:pt>
                <c:pt idx="143">
                  <c:v>7.5</c:v>
                </c:pt>
                <c:pt idx="144">
                  <c:v>7</c:v>
                </c:pt>
                <c:pt idx="145">
                  <c:v>6.5</c:v>
                </c:pt>
                <c:pt idx="146">
                  <c:v>6</c:v>
                </c:pt>
                <c:pt idx="147">
                  <c:v>5.5</c:v>
                </c:pt>
                <c:pt idx="148">
                  <c:v>5</c:v>
                </c:pt>
                <c:pt idx="149">
                  <c:v>4.5</c:v>
                </c:pt>
                <c:pt idx="150">
                  <c:v>4</c:v>
                </c:pt>
                <c:pt idx="151">
                  <c:v>3.5</c:v>
                </c:pt>
                <c:pt idx="152">
                  <c:v>3</c:v>
                </c:pt>
                <c:pt idx="153">
                  <c:v>2.5</c:v>
                </c:pt>
                <c:pt idx="154">
                  <c:v>2</c:v>
                </c:pt>
                <c:pt idx="155">
                  <c:v>1.5</c:v>
                </c:pt>
                <c:pt idx="156">
                  <c:v>1</c:v>
                </c:pt>
                <c:pt idx="157">
                  <c:v>0.5</c:v>
                </c:pt>
                <c:pt idx="15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CA-4A77-B549-AFD618196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928448"/>
        <c:axId val="729928776"/>
      </c:scatterChart>
      <c:valAx>
        <c:axId val="729928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928776"/>
        <c:crosses val="autoZero"/>
        <c:crossBetween val="midCat"/>
      </c:valAx>
      <c:valAx>
        <c:axId val="7299287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9928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Fuel Usage (Per</a:t>
            </a:r>
            <a:r>
              <a:rPr lang="en-US" baseline="0"/>
              <a:t> Lap</a:t>
            </a:r>
            <a:r>
              <a:rPr lang="en-US"/>
              <a:t>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Data!$I$7:$I$165</c:f>
              <c:numCache>
                <c:formatCode>0.00</c:formatCode>
                <c:ptCount val="159"/>
                <c:pt idx="0">
                  <c:v>0</c:v>
                </c:pt>
                <c:pt idx="1">
                  <c:v>1.5845973832571001</c:v>
                </c:pt>
                <c:pt idx="2">
                  <c:v>3.1826235578977355</c:v>
                </c:pt>
                <c:pt idx="3">
                  <c:v>4.7874498439198199</c:v>
                </c:pt>
                <c:pt idx="4">
                  <c:v>6.406051462869133</c:v>
                </c:pt>
                <c:pt idx="5">
                  <c:v>8.0386669486491762</c:v>
                </c:pt>
                <c:pt idx="6">
                  <c:v>9.6855410849600485</c:v>
                </c:pt>
                <c:pt idx="7">
                  <c:v>11.346925125555599</c:v>
                </c:pt>
                <c:pt idx="8">
                  <c:v>13.023077024289776</c:v>
                </c:pt>
                <c:pt idx="9">
                  <c:v>14.714261675478969</c:v>
                </c:pt>
                <c:pt idx="10">
                  <c:v>16.420751165140462</c:v>
                </c:pt>
                <c:pt idx="11">
                  <c:v>18.142825033702973</c:v>
                </c:pt>
                <c:pt idx="12">
                  <c:v>19.880770550823662</c:v>
                </c:pt>
                <c:pt idx="13">
                  <c:v>21.634883002987337</c:v>
                </c:pt>
                <c:pt idx="14">
                  <c:v>23.405465994607948</c:v>
                </c:pt>
                <c:pt idx="15">
                  <c:v>25.192831763400317</c:v>
                </c:pt>
                <c:pt idx="16">
                  <c:v>26.997301510841417</c:v>
                </c:pt>
                <c:pt idx="17">
                  <c:v>28.819205748595959</c:v>
                </c:pt>
                <c:pt idx="18">
                  <c:v>30.658884661840787</c:v>
                </c:pt>
                <c:pt idx="19">
                  <c:v>32.516688490487049</c:v>
                </c:pt>
                <c:pt idx="20">
                  <c:v>34.392977929368591</c:v>
                </c:pt>
                <c:pt idx="21">
                  <c:v>36.288124548540402</c:v>
                </c:pt>
                <c:pt idx="22">
                  <c:v>38.202511234911924</c:v>
                </c:pt>
                <c:pt idx="23">
                  <c:v>40.136532656528281</c:v>
                </c:pt>
                <c:pt idx="24">
                  <c:v>42.090595750907504</c:v>
                </c:pt>
                <c:pt idx="25">
                  <c:v>44.065120238945148</c:v>
                </c:pt>
                <c:pt idx="26">
                  <c:v>46.060539166009647</c:v>
                </c:pt>
                <c:pt idx="27">
                  <c:v>48.077299471973227</c:v>
                </c:pt>
                <c:pt idx="28">
                  <c:v>50.115862592055336</c:v>
                </c:pt>
                <c:pt idx="29">
                  <c:v>52.176705090498999</c:v>
                </c:pt>
                <c:pt idx="30">
                  <c:v>54.260319329256951</c:v>
                </c:pt>
                <c:pt idx="31">
                  <c:v>56.367214174034551</c:v>
                </c:pt>
                <c:pt idx="32">
                  <c:v>58.497915740222062</c:v>
                </c:pt>
                <c:pt idx="33">
                  <c:v>60.652968181451719</c:v>
                </c:pt>
                <c:pt idx="34">
                  <c:v>62.83293452373605</c:v>
                </c:pt>
                <c:pt idx="35">
                  <c:v>65.038397548386286</c:v>
                </c:pt>
                <c:pt idx="36">
                  <c:v>67.269960727174393</c:v>
                </c:pt>
                <c:pt idx="37">
                  <c:v>69.528249213492899</c:v>
                </c:pt>
                <c:pt idx="38">
                  <c:v>71.813910893584961</c:v>
                </c:pt>
                <c:pt idx="39">
                  <c:v>74.127617502267114</c:v>
                </c:pt>
                <c:pt idx="40">
                  <c:v>76.470065807951528</c:v>
                </c:pt>
                <c:pt idx="41">
                  <c:v>78.841978872198013</c:v>
                </c:pt>
                <c:pt idx="42">
                  <c:v>81.244107389492228</c:v>
                </c:pt>
                <c:pt idx="43">
                  <c:v>83.677231113461204</c:v>
                </c:pt>
                <c:pt idx="44">
                  <c:v>86.142160376305597</c:v>
                </c:pt>
                <c:pt idx="45">
                  <c:v>88.639737708856529</c:v>
                </c:pt>
                <c:pt idx="46">
                  <c:v>91.170839569361164</c:v>
                </c:pt>
                <c:pt idx="47">
                  <c:v>93.736378189872667</c:v>
                </c:pt>
                <c:pt idx="48">
                  <c:v>96.337303549977435</c:v>
                </c:pt>
                <c:pt idx="49">
                  <c:v>98.974605488545208</c:v>
                </c:pt>
                <c:pt idx="50">
                  <c:v>101.64931596524869</c:v>
                </c:pt>
                <c:pt idx="51">
                  <c:v>104.36251148478244</c:v>
                </c:pt>
                <c:pt idx="52">
                  <c:v>107.11531569803202</c:v>
                </c:pt>
                <c:pt idx="53">
                  <c:v>109.90890219592232</c:v>
                </c:pt>
                <c:pt idx="54">
                  <c:v>112.74449751332978</c:v>
                </c:pt>
                <c:pt idx="55">
                  <c:v>115.6233843623007</c:v>
                </c:pt>
                <c:pt idx="56">
                  <c:v>118.54690511590684</c:v>
                </c:pt>
                <c:pt idx="57">
                  <c:v>121.51646556642015</c:v>
                </c:pt>
                <c:pt idx="58">
                  <c:v>124.53353898414169</c:v>
                </c:pt>
                <c:pt idx="59">
                  <c:v>127.59967050621641</c:v>
                </c:pt>
                <c:pt idx="60">
                  <c:v>130.71648188816013</c:v>
                </c:pt>
                <c:pt idx="61">
                  <c:v>133.88567665467434</c:v>
                </c:pt>
                <c:pt idx="62">
                  <c:v>137.10904569070161</c:v>
                </c:pt>
                <c:pt idx="63">
                  <c:v>140.38847331865981</c:v>
                </c:pt>
                <c:pt idx="64">
                  <c:v>143.72594391348451</c:v>
                </c:pt>
                <c:pt idx="65">
                  <c:v>147.12354911362138</c:v>
                </c:pt>
                <c:pt idx="66">
                  <c:v>150.58349569357728</c:v>
                </c:pt>
                <c:pt idx="67">
                  <c:v>154.10811417222394</c:v>
                </c:pt>
                <c:pt idx="68">
                  <c:v>157.69986824094005</c:v>
                </c:pt>
                <c:pt idx="69">
                  <c:v>161.36136510710696</c:v>
                </c:pt>
                <c:pt idx="70">
                  <c:v>165.09536686171282</c:v>
                </c:pt>
                <c:pt idx="71">
                  <c:v>168.90480299519959</c:v>
                </c:pt>
                <c:pt idx="72">
                  <c:v>172.79278420360362</c:v>
                </c:pt>
                <c:pt idx="73">
                  <c:v>176.76261764797405</c:v>
                </c:pt>
                <c:pt idx="74">
                  <c:v>180.81782385458902</c:v>
                </c:pt>
                <c:pt idx="75">
                  <c:v>184.96215547233837</c:v>
                </c:pt>
                <c:pt idx="76">
                  <c:v>189.19961813767759</c:v>
                </c:pt>
                <c:pt idx="77">
                  <c:v>193.53449373785222</c:v>
                </c:pt>
                <c:pt idx="78">
                  <c:v>197.97136641097208</c:v>
                </c:pt>
                <c:pt idx="79">
                  <c:v>202.51515167862499</c:v>
                </c:pt>
                <c:pt idx="80">
                  <c:v>207.17112917510883</c:v>
                </c:pt>
                <c:pt idx="81">
                  <c:v>211.94497951960491</c:v>
                </c:pt>
                <c:pt idx="82">
                  <c:v>216.84282597694505</c:v>
                </c:pt>
                <c:pt idx="83">
                  <c:v>221.67787953098596</c:v>
                </c:pt>
                <c:pt idx="84">
                  <c:v>225.44922130313788</c:v>
                </c:pt>
                <c:pt idx="85">
                  <c:v>228.14303685467496</c:v>
                </c:pt>
                <c:pt idx="86">
                  <c:v>230.41492948850143</c:v>
                </c:pt>
                <c:pt idx="87">
                  <c:v>232.58236728858873</c:v>
                </c:pt>
                <c:pt idx="88">
                  <c:v>234.70109862125835</c:v>
                </c:pt>
                <c:pt idx="89">
                  <c:v>236.77326443013303</c:v>
                </c:pt>
                <c:pt idx="90">
                  <c:v>238.80086753344051</c:v>
                </c:pt>
                <c:pt idx="91">
                  <c:v>240.78578425562574</c:v>
                </c:pt>
                <c:pt idx="92">
                  <c:v>242.72977485982776</c:v>
                </c:pt>
                <c:pt idx="93">
                  <c:v>244.63449292657114</c:v>
                </c:pt>
                <c:pt idx="94">
                  <c:v>246.50149380387407</c:v>
                </c:pt>
                <c:pt idx="95">
                  <c:v>248.33224223695751</c:v>
                </c:pt>
                <c:pt idx="96">
                  <c:v>250.12811927131557</c:v>
                </c:pt>
                <c:pt idx="97">
                  <c:v>251.89042851063888</c:v>
                </c:pt>
                <c:pt idx="98">
                  <c:v>253.62040180061683</c:v>
                </c:pt>
                <c:pt idx="99">
                  <c:v>255.31920440068527</c:v>
                </c:pt>
                <c:pt idx="100">
                  <c:v>256.98793969809759</c:v>
                </c:pt>
                <c:pt idx="101">
                  <c:v>258.62765351207668</c:v>
                </c:pt>
                <c:pt idx="102">
                  <c:v>260.23933803009032</c:v>
                </c:pt>
                <c:pt idx="103">
                  <c:v>261.82393541334744</c:v>
                </c:pt>
                <c:pt idx="104">
                  <c:v>263.38234110431932</c:v>
                </c:pt>
                <c:pt idx="105">
                  <c:v>264.91540686535672</c:v>
                </c:pt>
                <c:pt idx="106">
                  <c:v>266.4239435742175</c:v>
                </c:pt>
                <c:pt idx="107">
                  <c:v>267.90872379947416</c:v>
                </c:pt>
                <c:pt idx="108">
                  <c:v>269.37048417627722</c:v>
                </c:pt>
                <c:pt idx="109">
                  <c:v>270.80992760076271</c:v>
                </c:pt>
                <c:pt idx="110">
                  <c:v>272.22772525946641</c:v>
                </c:pt>
                <c:pt idx="111">
                  <c:v>273.62451850841154</c:v>
                </c:pt>
                <c:pt idx="112">
                  <c:v>275.00092061503631</c:v>
                </c:pt>
                <c:pt idx="113">
                  <c:v>276.35751837480319</c:v>
                </c:pt>
                <c:pt idx="114">
                  <c:v>277.69487361315493</c:v>
                </c:pt>
                <c:pt idx="115">
                  <c:v>279.01352458243883</c:v>
                </c:pt>
                <c:pt idx="116">
                  <c:v>280.3139872624912</c:v>
                </c:pt>
                <c:pt idx="117">
                  <c:v>281.59675657274693</c:v>
                </c:pt>
                <c:pt idx="118">
                  <c:v>282.86230750299927</c:v>
                </c:pt>
                <c:pt idx="119">
                  <c:v>284.11109616927473</c:v>
                </c:pt>
                <c:pt idx="120">
                  <c:v>285.34356080069693</c:v>
                </c:pt>
                <c:pt idx="121">
                  <c:v>286.56012266268141</c:v>
                </c:pt>
                <c:pt idx="122">
                  <c:v>287.76118692132849</c:v>
                </c:pt>
                <c:pt idx="123">
                  <c:v>288.94714345345176</c:v>
                </c:pt>
                <c:pt idx="124">
                  <c:v>290.11836760629399</c:v>
                </c:pt>
                <c:pt idx="125">
                  <c:v>291.27522091063508</c:v>
                </c:pt>
                <c:pt idx="126">
                  <c:v>292.41805175068112</c:v>
                </c:pt>
                <c:pt idx="127">
                  <c:v>293.54719599384038</c:v>
                </c:pt>
                <c:pt idx="128">
                  <c:v>294.66297758323441</c:v>
                </c:pt>
                <c:pt idx="129">
                  <c:v>295.76570909555954</c:v>
                </c:pt>
                <c:pt idx="130">
                  <c:v>296.85569226670174</c:v>
                </c:pt>
                <c:pt idx="131">
                  <c:v>297.93321848731659</c:v>
                </c:pt>
                <c:pt idx="132">
                  <c:v>298.99856927041037</c:v>
                </c:pt>
                <c:pt idx="133">
                  <c:v>300.05201669279916</c:v>
                </c:pt>
                <c:pt idx="134">
                  <c:v>301.09382381217813</c:v>
                </c:pt>
                <c:pt idx="135">
                  <c:v>302.12424506139996</c:v>
                </c:pt>
                <c:pt idx="136">
                  <c:v>303.14352662144103</c:v>
                </c:pt>
                <c:pt idx="137">
                  <c:v>304.1519067744228</c:v>
                </c:pt>
                <c:pt idx="138">
                  <c:v>305.14961623795506</c:v>
                </c:pt>
                <c:pt idx="139">
                  <c:v>306.13687848197389</c:v>
                </c:pt>
                <c:pt idx="140">
                  <c:v>307.11391002916349</c:v>
                </c:pt>
                <c:pt idx="141">
                  <c:v>308.08342656733186</c:v>
                </c:pt>
                <c:pt idx="142">
                  <c:v>309.05047695200199</c:v>
                </c:pt>
                <c:pt idx="143">
                  <c:v>310.01752733667212</c:v>
                </c:pt>
                <c:pt idx="144">
                  <c:v>310.98457772134225</c:v>
                </c:pt>
                <c:pt idx="145">
                  <c:v>311.95162810601238</c:v>
                </c:pt>
                <c:pt idx="146">
                  <c:v>312.91867849068251</c:v>
                </c:pt>
                <c:pt idx="147">
                  <c:v>313.88572887535264</c:v>
                </c:pt>
                <c:pt idx="148">
                  <c:v>314.85277926002277</c:v>
                </c:pt>
                <c:pt idx="149">
                  <c:v>315.8198296446929</c:v>
                </c:pt>
                <c:pt idx="150">
                  <c:v>316.78688002936303</c:v>
                </c:pt>
                <c:pt idx="151">
                  <c:v>317.75393041403316</c:v>
                </c:pt>
                <c:pt idx="152">
                  <c:v>318.72098079870329</c:v>
                </c:pt>
                <c:pt idx="153">
                  <c:v>319.68803118337343</c:v>
                </c:pt>
                <c:pt idx="154">
                  <c:v>320.65508156804356</c:v>
                </c:pt>
                <c:pt idx="155">
                  <c:v>321.62213195271369</c:v>
                </c:pt>
                <c:pt idx="156">
                  <c:v>322.58918233738376</c:v>
                </c:pt>
                <c:pt idx="157">
                  <c:v>323.55623272205384</c:v>
                </c:pt>
                <c:pt idx="158">
                  <c:v>325.19623272205382</c:v>
                </c:pt>
              </c:numCache>
            </c:numRef>
          </c:xVal>
          <c:yVal>
            <c:numRef>
              <c:f>Data!$AF$7:$AF$165</c:f>
              <c:numCache>
                <c:formatCode>0.0000</c:formatCode>
                <c:ptCount val="159"/>
                <c:pt idx="0">
                  <c:v>7.7046783625730998E-4</c:v>
                </c:pt>
                <c:pt idx="1">
                  <c:v>1.54093567251462E-3</c:v>
                </c:pt>
                <c:pt idx="2">
                  <c:v>2.31140350877193E-3</c:v>
                </c:pt>
                <c:pt idx="3">
                  <c:v>3.0818713450292399E-3</c:v>
                </c:pt>
                <c:pt idx="4">
                  <c:v>3.8523391812865498E-3</c:v>
                </c:pt>
                <c:pt idx="5">
                  <c:v>4.6228070175438601E-3</c:v>
                </c:pt>
                <c:pt idx="6">
                  <c:v>5.3932748538011704E-3</c:v>
                </c:pt>
                <c:pt idx="7">
                  <c:v>6.1637426900584807E-3</c:v>
                </c:pt>
                <c:pt idx="8">
                  <c:v>6.934210526315791E-3</c:v>
                </c:pt>
                <c:pt idx="9">
                  <c:v>7.7046783625731013E-3</c:v>
                </c:pt>
                <c:pt idx="10">
                  <c:v>8.4751461988304116E-3</c:v>
                </c:pt>
                <c:pt idx="11">
                  <c:v>9.2456140350877219E-3</c:v>
                </c:pt>
                <c:pt idx="12">
                  <c:v>1.0016081871345032E-2</c:v>
                </c:pt>
                <c:pt idx="13">
                  <c:v>1.0786549707602342E-2</c:v>
                </c:pt>
                <c:pt idx="14">
                  <c:v>1.1557017543859653E-2</c:v>
                </c:pt>
                <c:pt idx="15">
                  <c:v>1.2327485380116963E-2</c:v>
                </c:pt>
                <c:pt idx="16">
                  <c:v>1.3097953216374273E-2</c:v>
                </c:pt>
                <c:pt idx="17">
                  <c:v>1.3868421052631584E-2</c:v>
                </c:pt>
                <c:pt idx="18">
                  <c:v>1.4638888888888894E-2</c:v>
                </c:pt>
                <c:pt idx="19">
                  <c:v>1.5409356725146204E-2</c:v>
                </c:pt>
                <c:pt idx="20">
                  <c:v>1.6179824561403513E-2</c:v>
                </c:pt>
                <c:pt idx="21">
                  <c:v>1.6950292397660823E-2</c:v>
                </c:pt>
                <c:pt idx="22">
                  <c:v>1.7720760233918133E-2</c:v>
                </c:pt>
                <c:pt idx="23">
                  <c:v>1.8491228070175444E-2</c:v>
                </c:pt>
                <c:pt idx="24">
                  <c:v>1.9261695906432754E-2</c:v>
                </c:pt>
                <c:pt idx="25">
                  <c:v>2.0032163742690064E-2</c:v>
                </c:pt>
                <c:pt idx="26">
                  <c:v>2.0802631578947375E-2</c:v>
                </c:pt>
                <c:pt idx="27">
                  <c:v>2.1573099415204685E-2</c:v>
                </c:pt>
                <c:pt idx="28">
                  <c:v>2.2343567251461995E-2</c:v>
                </c:pt>
                <c:pt idx="29">
                  <c:v>2.3114035087719306E-2</c:v>
                </c:pt>
                <c:pt idx="30">
                  <c:v>2.3884502923976616E-2</c:v>
                </c:pt>
                <c:pt idx="31">
                  <c:v>2.4654970760233926E-2</c:v>
                </c:pt>
                <c:pt idx="32">
                  <c:v>2.5425438596491236E-2</c:v>
                </c:pt>
                <c:pt idx="33">
                  <c:v>2.6195906432748547E-2</c:v>
                </c:pt>
                <c:pt idx="34">
                  <c:v>2.6966374269005857E-2</c:v>
                </c:pt>
                <c:pt idx="35">
                  <c:v>2.7736842105263167E-2</c:v>
                </c:pt>
                <c:pt idx="36">
                  <c:v>2.8507309941520478E-2</c:v>
                </c:pt>
                <c:pt idx="37">
                  <c:v>2.9277777777777788E-2</c:v>
                </c:pt>
                <c:pt idx="38">
                  <c:v>3.0048245614035098E-2</c:v>
                </c:pt>
                <c:pt idx="39">
                  <c:v>3.0818713450292409E-2</c:v>
                </c:pt>
                <c:pt idx="40">
                  <c:v>3.171154970760235E-2</c:v>
                </c:pt>
                <c:pt idx="41">
                  <c:v>3.2604385964912289E-2</c:v>
                </c:pt>
                <c:pt idx="42">
                  <c:v>3.3497222222222227E-2</c:v>
                </c:pt>
                <c:pt idx="43">
                  <c:v>3.4390058479532165E-2</c:v>
                </c:pt>
                <c:pt idx="44">
                  <c:v>3.5282894736842103E-2</c:v>
                </c:pt>
                <c:pt idx="45">
                  <c:v>3.6175730994152042E-2</c:v>
                </c:pt>
                <c:pt idx="46">
                  <c:v>3.706856725146198E-2</c:v>
                </c:pt>
                <c:pt idx="47">
                  <c:v>3.7961403508771918E-2</c:v>
                </c:pt>
                <c:pt idx="48">
                  <c:v>3.8854239766081856E-2</c:v>
                </c:pt>
                <c:pt idx="49">
                  <c:v>3.9747076023391795E-2</c:v>
                </c:pt>
                <c:pt idx="50">
                  <c:v>4.0639912280701733E-2</c:v>
                </c:pt>
                <c:pt idx="51">
                  <c:v>4.1532748538011671E-2</c:v>
                </c:pt>
                <c:pt idx="52">
                  <c:v>4.2425584795321609E-2</c:v>
                </c:pt>
                <c:pt idx="53">
                  <c:v>4.3318421052631548E-2</c:v>
                </c:pt>
                <c:pt idx="54">
                  <c:v>4.4211257309941486E-2</c:v>
                </c:pt>
                <c:pt idx="55">
                  <c:v>4.5104093567251424E-2</c:v>
                </c:pt>
                <c:pt idx="56">
                  <c:v>4.5996929824561363E-2</c:v>
                </c:pt>
                <c:pt idx="57">
                  <c:v>4.6889766081871301E-2</c:v>
                </c:pt>
                <c:pt idx="58">
                  <c:v>4.7782602339181239E-2</c:v>
                </c:pt>
                <c:pt idx="59">
                  <c:v>4.8675438596491177E-2</c:v>
                </c:pt>
                <c:pt idx="60">
                  <c:v>4.9568274853801116E-2</c:v>
                </c:pt>
                <c:pt idx="61">
                  <c:v>5.0461111111111054E-2</c:v>
                </c:pt>
                <c:pt idx="62">
                  <c:v>5.1353947368420992E-2</c:v>
                </c:pt>
                <c:pt idx="63">
                  <c:v>5.224678362573093E-2</c:v>
                </c:pt>
                <c:pt idx="64">
                  <c:v>5.3139619883040869E-2</c:v>
                </c:pt>
                <c:pt idx="65">
                  <c:v>5.4032456140350807E-2</c:v>
                </c:pt>
                <c:pt idx="66">
                  <c:v>5.4925292397660745E-2</c:v>
                </c:pt>
                <c:pt idx="67">
                  <c:v>5.5818128654970683E-2</c:v>
                </c:pt>
                <c:pt idx="68">
                  <c:v>5.6710964912280622E-2</c:v>
                </c:pt>
                <c:pt idx="69">
                  <c:v>5.760380116959056E-2</c:v>
                </c:pt>
                <c:pt idx="70">
                  <c:v>5.8496637426900498E-2</c:v>
                </c:pt>
                <c:pt idx="71">
                  <c:v>5.9389473684210436E-2</c:v>
                </c:pt>
                <c:pt idx="72">
                  <c:v>6.0282309941520375E-2</c:v>
                </c:pt>
                <c:pt idx="73">
                  <c:v>6.1175146198830313E-2</c:v>
                </c:pt>
                <c:pt idx="74">
                  <c:v>6.2067982456140251E-2</c:v>
                </c:pt>
                <c:pt idx="75">
                  <c:v>6.296081871345019E-2</c:v>
                </c:pt>
                <c:pt idx="76">
                  <c:v>6.3853654970760135E-2</c:v>
                </c:pt>
                <c:pt idx="77">
                  <c:v>6.474649122807008E-2</c:v>
                </c:pt>
                <c:pt idx="78">
                  <c:v>6.5639327485380025E-2</c:v>
                </c:pt>
                <c:pt idx="79">
                  <c:v>6.653216374268997E-2</c:v>
                </c:pt>
                <c:pt idx="80">
                  <c:v>6.7424999999999916E-2</c:v>
                </c:pt>
                <c:pt idx="81">
                  <c:v>6.8317836257309861E-2</c:v>
                </c:pt>
                <c:pt idx="82">
                  <c:v>6.9210672514619806E-2</c:v>
                </c:pt>
                <c:pt idx="83">
                  <c:v>7.0103508771929751E-2</c:v>
                </c:pt>
                <c:pt idx="84">
                  <c:v>7.0308694896842244E-2</c:v>
                </c:pt>
                <c:pt idx="85">
                  <c:v>7.079734898866484E-2</c:v>
                </c:pt>
                <c:pt idx="86">
                  <c:v>7.1501718772324085E-2</c:v>
                </c:pt>
                <c:pt idx="87">
                  <c:v>7.2037625943671552E-2</c:v>
                </c:pt>
                <c:pt idx="88">
                  <c:v>7.2517646623072016E-2</c:v>
                </c:pt>
                <c:pt idx="89">
                  <c:v>7.3010165647030875E-2</c:v>
                </c:pt>
                <c:pt idx="90">
                  <c:v>7.3515271252621084E-2</c:v>
                </c:pt>
                <c:pt idx="91">
                  <c:v>7.4033052826337264E-2</c:v>
                </c:pt>
                <c:pt idx="92">
                  <c:v>7.4563600904095736E-2</c:v>
                </c:pt>
                <c:pt idx="93">
                  <c:v>7.5107007171234488E-2</c:v>
                </c:pt>
                <c:pt idx="94">
                  <c:v>7.5663364462513177E-2</c:v>
                </c:pt>
                <c:pt idx="95">
                  <c:v>7.6232766762113144E-2</c:v>
                </c:pt>
                <c:pt idx="96">
                  <c:v>7.6815309203637411E-2</c:v>
                </c:pt>
                <c:pt idx="97">
                  <c:v>7.741108807011067E-2</c:v>
                </c:pt>
                <c:pt idx="98">
                  <c:v>7.8020200793979297E-2</c:v>
                </c:pt>
                <c:pt idx="99">
                  <c:v>7.8642745957111335E-2</c:v>
                </c:pt>
                <c:pt idx="100">
                  <c:v>7.927882329079651E-2</c:v>
                </c:pt>
                <c:pt idx="101">
                  <c:v>7.9928533675746219E-2</c:v>
                </c:pt>
                <c:pt idx="102">
                  <c:v>8.0591979142093553E-2</c:v>
                </c:pt>
                <c:pt idx="103">
                  <c:v>8.1269262869393261E-2</c:v>
                </c:pt>
                <c:pt idx="104">
                  <c:v>8.1960489186621785E-2</c:v>
                </c:pt>
                <c:pt idx="105">
                  <c:v>8.2665763572177225E-2</c:v>
                </c:pt>
                <c:pt idx="106">
                  <c:v>8.3385192653879378E-2</c:v>
                </c:pt>
                <c:pt idx="107">
                  <c:v>8.4118884208969708E-2</c:v>
                </c:pt>
                <c:pt idx="108">
                  <c:v>8.4866947164111362E-2</c:v>
                </c:pt>
                <c:pt idx="109">
                  <c:v>8.5629491595389143E-2</c:v>
                </c:pt>
                <c:pt idx="110">
                  <c:v>8.6406628728309565E-2</c:v>
                </c:pt>
                <c:pt idx="111">
                  <c:v>8.7198470937800782E-2</c:v>
                </c:pt>
                <c:pt idx="112">
                  <c:v>8.8005131748212659E-2</c:v>
                </c:pt>
                <c:pt idx="113">
                  <c:v>8.8826725833316716E-2</c:v>
                </c:pt>
                <c:pt idx="114">
                  <c:v>8.9663369016306158E-2</c:v>
                </c:pt>
                <c:pt idx="115">
                  <c:v>9.0515178269795868E-2</c:v>
                </c:pt>
                <c:pt idx="116">
                  <c:v>9.0515178269795868E-2</c:v>
                </c:pt>
                <c:pt idx="117">
                  <c:v>9.0515178269795868E-2</c:v>
                </c:pt>
                <c:pt idx="118">
                  <c:v>9.0515178269795868E-2</c:v>
                </c:pt>
                <c:pt idx="119">
                  <c:v>9.0515178269795868E-2</c:v>
                </c:pt>
                <c:pt idx="120">
                  <c:v>9.0515178269795868E-2</c:v>
                </c:pt>
                <c:pt idx="121">
                  <c:v>9.0515178269795868E-2</c:v>
                </c:pt>
                <c:pt idx="122">
                  <c:v>9.0515178269795868E-2</c:v>
                </c:pt>
                <c:pt idx="123">
                  <c:v>9.0515178269795868E-2</c:v>
                </c:pt>
                <c:pt idx="124">
                  <c:v>9.0515178269795868E-2</c:v>
                </c:pt>
                <c:pt idx="125">
                  <c:v>9.0515178269795868E-2</c:v>
                </c:pt>
                <c:pt idx="126">
                  <c:v>9.0515178269795868E-2</c:v>
                </c:pt>
                <c:pt idx="127">
                  <c:v>9.0515178269795868E-2</c:v>
                </c:pt>
                <c:pt idx="128">
                  <c:v>9.0515178269795868E-2</c:v>
                </c:pt>
                <c:pt idx="129">
                  <c:v>9.0515178269795868E-2</c:v>
                </c:pt>
                <c:pt idx="130">
                  <c:v>9.0515178269795868E-2</c:v>
                </c:pt>
                <c:pt idx="131">
                  <c:v>9.0515178269795868E-2</c:v>
                </c:pt>
                <c:pt idx="132">
                  <c:v>9.0515178269795868E-2</c:v>
                </c:pt>
                <c:pt idx="133">
                  <c:v>9.0515178269795868E-2</c:v>
                </c:pt>
                <c:pt idx="134">
                  <c:v>9.0515178269795868E-2</c:v>
                </c:pt>
                <c:pt idx="135">
                  <c:v>9.0515178269795868E-2</c:v>
                </c:pt>
                <c:pt idx="136">
                  <c:v>9.0515178269795868E-2</c:v>
                </c:pt>
                <c:pt idx="137">
                  <c:v>9.0515178269795868E-2</c:v>
                </c:pt>
                <c:pt idx="138">
                  <c:v>9.0515178269795868E-2</c:v>
                </c:pt>
                <c:pt idx="139">
                  <c:v>9.0515178269795868E-2</c:v>
                </c:pt>
                <c:pt idx="140">
                  <c:v>9.0515178269795868E-2</c:v>
                </c:pt>
                <c:pt idx="141">
                  <c:v>9.0515178269795868E-2</c:v>
                </c:pt>
                <c:pt idx="142">
                  <c:v>9.0515178269795868E-2</c:v>
                </c:pt>
                <c:pt idx="143">
                  <c:v>9.0515178269795868E-2</c:v>
                </c:pt>
                <c:pt idx="144">
                  <c:v>9.0515178269795868E-2</c:v>
                </c:pt>
                <c:pt idx="145">
                  <c:v>9.0515178269795868E-2</c:v>
                </c:pt>
                <c:pt idx="146">
                  <c:v>9.0515178269795868E-2</c:v>
                </c:pt>
                <c:pt idx="147">
                  <c:v>9.0515178269795868E-2</c:v>
                </c:pt>
                <c:pt idx="148">
                  <c:v>9.0515178269795868E-2</c:v>
                </c:pt>
                <c:pt idx="149">
                  <c:v>9.0515178269795868E-2</c:v>
                </c:pt>
                <c:pt idx="150">
                  <c:v>9.0515178269795868E-2</c:v>
                </c:pt>
                <c:pt idx="151">
                  <c:v>9.0515178269795868E-2</c:v>
                </c:pt>
                <c:pt idx="152">
                  <c:v>9.0515178269795868E-2</c:v>
                </c:pt>
                <c:pt idx="153">
                  <c:v>9.0515178269795868E-2</c:v>
                </c:pt>
                <c:pt idx="154">
                  <c:v>9.0515178269795868E-2</c:v>
                </c:pt>
                <c:pt idx="155">
                  <c:v>9.0515178269795868E-2</c:v>
                </c:pt>
                <c:pt idx="156">
                  <c:v>9.0515178269795868E-2</c:v>
                </c:pt>
                <c:pt idx="157">
                  <c:v>9.0515178269795868E-2</c:v>
                </c:pt>
                <c:pt idx="158">
                  <c:v>9.1408014527105813E-2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51A-4059-975E-B6B3E9D322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  <c:max val="0.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Usage (L/s)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Data!$I$7:$I$165</c:f>
              <c:numCache>
                <c:formatCode>0.00</c:formatCode>
                <c:ptCount val="159"/>
                <c:pt idx="0">
                  <c:v>0</c:v>
                </c:pt>
                <c:pt idx="1">
                  <c:v>1.5845973832571001</c:v>
                </c:pt>
                <c:pt idx="2">
                  <c:v>3.1826235578977355</c:v>
                </c:pt>
                <c:pt idx="3">
                  <c:v>4.7874498439198199</c:v>
                </c:pt>
                <c:pt idx="4">
                  <c:v>6.406051462869133</c:v>
                </c:pt>
                <c:pt idx="5">
                  <c:v>8.0386669486491762</c:v>
                </c:pt>
                <c:pt idx="6">
                  <c:v>9.6855410849600485</c:v>
                </c:pt>
                <c:pt idx="7">
                  <c:v>11.346925125555599</c:v>
                </c:pt>
                <c:pt idx="8">
                  <c:v>13.023077024289776</c:v>
                </c:pt>
                <c:pt idx="9">
                  <c:v>14.714261675478969</c:v>
                </c:pt>
                <c:pt idx="10">
                  <c:v>16.420751165140462</c:v>
                </c:pt>
                <c:pt idx="11">
                  <c:v>18.142825033702973</c:v>
                </c:pt>
                <c:pt idx="12">
                  <c:v>19.880770550823662</c:v>
                </c:pt>
                <c:pt idx="13">
                  <c:v>21.634883002987337</c:v>
                </c:pt>
                <c:pt idx="14">
                  <c:v>23.405465994607948</c:v>
                </c:pt>
                <c:pt idx="15">
                  <c:v>25.192831763400317</c:v>
                </c:pt>
                <c:pt idx="16">
                  <c:v>26.997301510841417</c:v>
                </c:pt>
                <c:pt idx="17">
                  <c:v>28.819205748595959</c:v>
                </c:pt>
                <c:pt idx="18">
                  <c:v>30.658884661840787</c:v>
                </c:pt>
                <c:pt idx="19">
                  <c:v>32.516688490487049</c:v>
                </c:pt>
                <c:pt idx="20">
                  <c:v>34.392977929368591</c:v>
                </c:pt>
                <c:pt idx="21">
                  <c:v>36.288124548540402</c:v>
                </c:pt>
                <c:pt idx="22">
                  <c:v>38.202511234911924</c:v>
                </c:pt>
                <c:pt idx="23">
                  <c:v>40.136532656528281</c:v>
                </c:pt>
                <c:pt idx="24">
                  <c:v>42.090595750907504</c:v>
                </c:pt>
                <c:pt idx="25">
                  <c:v>44.065120238945148</c:v>
                </c:pt>
                <c:pt idx="26">
                  <c:v>46.060539166009647</c:v>
                </c:pt>
                <c:pt idx="27">
                  <c:v>48.077299471973227</c:v>
                </c:pt>
                <c:pt idx="28">
                  <c:v>50.115862592055336</c:v>
                </c:pt>
                <c:pt idx="29">
                  <c:v>52.176705090498999</c:v>
                </c:pt>
                <c:pt idx="30">
                  <c:v>54.260319329256951</c:v>
                </c:pt>
                <c:pt idx="31">
                  <c:v>56.367214174034551</c:v>
                </c:pt>
                <c:pt idx="32">
                  <c:v>58.497915740222062</c:v>
                </c:pt>
                <c:pt idx="33">
                  <c:v>60.652968181451719</c:v>
                </c:pt>
                <c:pt idx="34">
                  <c:v>62.83293452373605</c:v>
                </c:pt>
                <c:pt idx="35">
                  <c:v>65.038397548386286</c:v>
                </c:pt>
                <c:pt idx="36">
                  <c:v>67.269960727174393</c:v>
                </c:pt>
                <c:pt idx="37">
                  <c:v>69.528249213492899</c:v>
                </c:pt>
                <c:pt idx="38">
                  <c:v>71.813910893584961</c:v>
                </c:pt>
                <c:pt idx="39">
                  <c:v>74.127617502267114</c:v>
                </c:pt>
                <c:pt idx="40">
                  <c:v>76.470065807951528</c:v>
                </c:pt>
                <c:pt idx="41">
                  <c:v>78.841978872198013</c:v>
                </c:pt>
                <c:pt idx="42">
                  <c:v>81.244107389492228</c:v>
                </c:pt>
                <c:pt idx="43">
                  <c:v>83.677231113461204</c:v>
                </c:pt>
                <c:pt idx="44">
                  <c:v>86.142160376305597</c:v>
                </c:pt>
                <c:pt idx="45">
                  <c:v>88.639737708856529</c:v>
                </c:pt>
                <c:pt idx="46">
                  <c:v>91.170839569361164</c:v>
                </c:pt>
                <c:pt idx="47">
                  <c:v>93.736378189872667</c:v>
                </c:pt>
                <c:pt idx="48">
                  <c:v>96.337303549977435</c:v>
                </c:pt>
                <c:pt idx="49">
                  <c:v>98.974605488545208</c:v>
                </c:pt>
                <c:pt idx="50">
                  <c:v>101.64931596524869</c:v>
                </c:pt>
                <c:pt idx="51">
                  <c:v>104.36251148478244</c:v>
                </c:pt>
                <c:pt idx="52">
                  <c:v>107.11531569803202</c:v>
                </c:pt>
                <c:pt idx="53">
                  <c:v>109.90890219592232</c:v>
                </c:pt>
                <c:pt idx="54">
                  <c:v>112.74449751332978</c:v>
                </c:pt>
                <c:pt idx="55">
                  <c:v>115.6233843623007</c:v>
                </c:pt>
                <c:pt idx="56">
                  <c:v>118.54690511590684</c:v>
                </c:pt>
                <c:pt idx="57">
                  <c:v>121.51646556642015</c:v>
                </c:pt>
                <c:pt idx="58">
                  <c:v>124.53353898414169</c:v>
                </c:pt>
                <c:pt idx="59">
                  <c:v>127.59967050621641</c:v>
                </c:pt>
                <c:pt idx="60">
                  <c:v>130.71648188816013</c:v>
                </c:pt>
                <c:pt idx="61">
                  <c:v>133.88567665467434</c:v>
                </c:pt>
                <c:pt idx="62">
                  <c:v>137.10904569070161</c:v>
                </c:pt>
                <c:pt idx="63">
                  <c:v>140.38847331865981</c:v>
                </c:pt>
                <c:pt idx="64">
                  <c:v>143.72594391348451</c:v>
                </c:pt>
                <c:pt idx="65">
                  <c:v>147.12354911362138</c:v>
                </c:pt>
                <c:pt idx="66">
                  <c:v>150.58349569357728</c:v>
                </c:pt>
                <c:pt idx="67">
                  <c:v>154.10811417222394</c:v>
                </c:pt>
                <c:pt idx="68">
                  <c:v>157.69986824094005</c:v>
                </c:pt>
                <c:pt idx="69">
                  <c:v>161.36136510710696</c:v>
                </c:pt>
                <c:pt idx="70">
                  <c:v>165.09536686171282</c:v>
                </c:pt>
                <c:pt idx="71">
                  <c:v>168.90480299519959</c:v>
                </c:pt>
                <c:pt idx="72">
                  <c:v>172.79278420360362</c:v>
                </c:pt>
                <c:pt idx="73">
                  <c:v>176.76261764797405</c:v>
                </c:pt>
                <c:pt idx="74">
                  <c:v>180.81782385458902</c:v>
                </c:pt>
                <c:pt idx="75">
                  <c:v>184.96215547233837</c:v>
                </c:pt>
                <c:pt idx="76">
                  <c:v>189.19961813767759</c:v>
                </c:pt>
                <c:pt idx="77">
                  <c:v>193.53449373785222</c:v>
                </c:pt>
                <c:pt idx="78">
                  <c:v>197.97136641097208</c:v>
                </c:pt>
                <c:pt idx="79">
                  <c:v>202.51515167862499</c:v>
                </c:pt>
                <c:pt idx="80">
                  <c:v>207.17112917510883</c:v>
                </c:pt>
                <c:pt idx="81">
                  <c:v>211.94497951960491</c:v>
                </c:pt>
                <c:pt idx="82">
                  <c:v>216.84282597694505</c:v>
                </c:pt>
                <c:pt idx="83">
                  <c:v>221.67787953098596</c:v>
                </c:pt>
                <c:pt idx="84">
                  <c:v>225.44922130313788</c:v>
                </c:pt>
                <c:pt idx="85">
                  <c:v>228.14303685467496</c:v>
                </c:pt>
                <c:pt idx="86">
                  <c:v>230.41492948850143</c:v>
                </c:pt>
                <c:pt idx="87">
                  <c:v>232.58236728858873</c:v>
                </c:pt>
                <c:pt idx="88">
                  <c:v>234.70109862125835</c:v>
                </c:pt>
                <c:pt idx="89">
                  <c:v>236.77326443013303</c:v>
                </c:pt>
                <c:pt idx="90">
                  <c:v>238.80086753344051</c:v>
                </c:pt>
                <c:pt idx="91">
                  <c:v>240.78578425562574</c:v>
                </c:pt>
                <c:pt idx="92">
                  <c:v>242.72977485982776</c:v>
                </c:pt>
                <c:pt idx="93">
                  <c:v>244.63449292657114</c:v>
                </c:pt>
                <c:pt idx="94">
                  <c:v>246.50149380387407</c:v>
                </c:pt>
                <c:pt idx="95">
                  <c:v>248.33224223695751</c:v>
                </c:pt>
                <c:pt idx="96">
                  <c:v>250.12811927131557</c:v>
                </c:pt>
                <c:pt idx="97">
                  <c:v>251.89042851063888</c:v>
                </c:pt>
                <c:pt idx="98">
                  <c:v>253.62040180061683</c:v>
                </c:pt>
                <c:pt idx="99">
                  <c:v>255.31920440068527</c:v>
                </c:pt>
                <c:pt idx="100">
                  <c:v>256.98793969809759</c:v>
                </c:pt>
                <c:pt idx="101">
                  <c:v>258.62765351207668</c:v>
                </c:pt>
                <c:pt idx="102">
                  <c:v>260.23933803009032</c:v>
                </c:pt>
                <c:pt idx="103">
                  <c:v>261.82393541334744</c:v>
                </c:pt>
                <c:pt idx="104">
                  <c:v>263.38234110431932</c:v>
                </c:pt>
                <c:pt idx="105">
                  <c:v>264.91540686535672</c:v>
                </c:pt>
                <c:pt idx="106">
                  <c:v>266.4239435742175</c:v>
                </c:pt>
                <c:pt idx="107">
                  <c:v>267.90872379947416</c:v>
                </c:pt>
                <c:pt idx="108">
                  <c:v>269.37048417627722</c:v>
                </c:pt>
                <c:pt idx="109">
                  <c:v>270.80992760076271</c:v>
                </c:pt>
                <c:pt idx="110">
                  <c:v>272.22772525946641</c:v>
                </c:pt>
                <c:pt idx="111">
                  <c:v>273.62451850841154</c:v>
                </c:pt>
                <c:pt idx="112">
                  <c:v>275.00092061503631</c:v>
                </c:pt>
                <c:pt idx="113">
                  <c:v>276.35751837480319</c:v>
                </c:pt>
                <c:pt idx="114">
                  <c:v>277.69487361315493</c:v>
                </c:pt>
                <c:pt idx="115">
                  <c:v>279.01352458243883</c:v>
                </c:pt>
                <c:pt idx="116">
                  <c:v>280.3139872624912</c:v>
                </c:pt>
                <c:pt idx="117">
                  <c:v>281.59675657274693</c:v>
                </c:pt>
                <c:pt idx="118">
                  <c:v>282.86230750299927</c:v>
                </c:pt>
                <c:pt idx="119">
                  <c:v>284.11109616927473</c:v>
                </c:pt>
                <c:pt idx="120">
                  <c:v>285.34356080069693</c:v>
                </c:pt>
                <c:pt idx="121">
                  <c:v>286.56012266268141</c:v>
                </c:pt>
                <c:pt idx="122">
                  <c:v>287.76118692132849</c:v>
                </c:pt>
                <c:pt idx="123">
                  <c:v>288.94714345345176</c:v>
                </c:pt>
                <c:pt idx="124">
                  <c:v>290.11836760629399</c:v>
                </c:pt>
                <c:pt idx="125">
                  <c:v>291.27522091063508</c:v>
                </c:pt>
                <c:pt idx="126">
                  <c:v>292.41805175068112</c:v>
                </c:pt>
                <c:pt idx="127">
                  <c:v>293.54719599384038</c:v>
                </c:pt>
                <c:pt idx="128">
                  <c:v>294.66297758323441</c:v>
                </c:pt>
                <c:pt idx="129">
                  <c:v>295.76570909555954</c:v>
                </c:pt>
                <c:pt idx="130">
                  <c:v>296.85569226670174</c:v>
                </c:pt>
                <c:pt idx="131">
                  <c:v>297.93321848731659</c:v>
                </c:pt>
                <c:pt idx="132">
                  <c:v>298.99856927041037</c:v>
                </c:pt>
                <c:pt idx="133">
                  <c:v>300.05201669279916</c:v>
                </c:pt>
                <c:pt idx="134">
                  <c:v>301.09382381217813</c:v>
                </c:pt>
                <c:pt idx="135">
                  <c:v>302.12424506139996</c:v>
                </c:pt>
                <c:pt idx="136">
                  <c:v>303.14352662144103</c:v>
                </c:pt>
                <c:pt idx="137">
                  <c:v>304.1519067744228</c:v>
                </c:pt>
                <c:pt idx="138">
                  <c:v>305.14961623795506</c:v>
                </c:pt>
                <c:pt idx="139">
                  <c:v>306.13687848197389</c:v>
                </c:pt>
                <c:pt idx="140">
                  <c:v>307.11391002916349</c:v>
                </c:pt>
                <c:pt idx="141">
                  <c:v>308.08342656733186</c:v>
                </c:pt>
                <c:pt idx="142">
                  <c:v>309.05047695200199</c:v>
                </c:pt>
                <c:pt idx="143">
                  <c:v>310.01752733667212</c:v>
                </c:pt>
                <c:pt idx="144">
                  <c:v>310.98457772134225</c:v>
                </c:pt>
                <c:pt idx="145">
                  <c:v>311.95162810601238</c:v>
                </c:pt>
                <c:pt idx="146">
                  <c:v>312.91867849068251</c:v>
                </c:pt>
                <c:pt idx="147">
                  <c:v>313.88572887535264</c:v>
                </c:pt>
                <c:pt idx="148">
                  <c:v>314.85277926002277</c:v>
                </c:pt>
                <c:pt idx="149">
                  <c:v>315.8198296446929</c:v>
                </c:pt>
                <c:pt idx="150">
                  <c:v>316.78688002936303</c:v>
                </c:pt>
                <c:pt idx="151">
                  <c:v>317.75393041403316</c:v>
                </c:pt>
                <c:pt idx="152">
                  <c:v>318.72098079870329</c:v>
                </c:pt>
                <c:pt idx="153">
                  <c:v>319.68803118337343</c:v>
                </c:pt>
                <c:pt idx="154">
                  <c:v>320.65508156804356</c:v>
                </c:pt>
                <c:pt idx="155">
                  <c:v>321.62213195271369</c:v>
                </c:pt>
                <c:pt idx="156">
                  <c:v>322.58918233738376</c:v>
                </c:pt>
                <c:pt idx="157">
                  <c:v>323.55623272205384</c:v>
                </c:pt>
                <c:pt idx="158">
                  <c:v>325.19623272205382</c:v>
                </c:pt>
              </c:numCache>
            </c:numRef>
          </c:xVal>
          <c:yVal>
            <c:numRef>
              <c:f>Data!$G$7:$G$165</c:f>
              <c:numCache>
                <c:formatCode>0.00</c:formatCode>
                <c:ptCount val="159"/>
                <c:pt idx="0">
                  <c:v>8.3333333333333339</c:v>
                </c:pt>
                <c:pt idx="1">
                  <c:v>8.3333333333333339</c:v>
                </c:pt>
                <c:pt idx="2">
                  <c:v>8.1944444444444446</c:v>
                </c:pt>
                <c:pt idx="3">
                  <c:v>8.1944444444444446</c:v>
                </c:pt>
                <c:pt idx="4">
                  <c:v>8.125</c:v>
                </c:pt>
                <c:pt idx="5">
                  <c:v>8.0555555555555554</c:v>
                </c:pt>
                <c:pt idx="6">
                  <c:v>7.9861111111111107</c:v>
                </c:pt>
                <c:pt idx="7">
                  <c:v>7.9166666666666661</c:v>
                </c:pt>
                <c:pt idx="8">
                  <c:v>7.8472222222222223</c:v>
                </c:pt>
                <c:pt idx="9">
                  <c:v>7.7777777777777777</c:v>
                </c:pt>
                <c:pt idx="10">
                  <c:v>7.708333333333333</c:v>
                </c:pt>
                <c:pt idx="11">
                  <c:v>7.6388888888888884</c:v>
                </c:pt>
                <c:pt idx="12">
                  <c:v>7.5694444444444446</c:v>
                </c:pt>
                <c:pt idx="13">
                  <c:v>7.5</c:v>
                </c:pt>
                <c:pt idx="14">
                  <c:v>7.4305555555555554</c:v>
                </c:pt>
                <c:pt idx="15">
                  <c:v>7.3611111111111107</c:v>
                </c:pt>
                <c:pt idx="16">
                  <c:v>7.2916666666666661</c:v>
                </c:pt>
                <c:pt idx="17">
                  <c:v>7.2222222222222223</c:v>
                </c:pt>
                <c:pt idx="18">
                  <c:v>7.1527777777777777</c:v>
                </c:pt>
                <c:pt idx="19">
                  <c:v>7.083333333333333</c:v>
                </c:pt>
                <c:pt idx="20">
                  <c:v>7.0138888888888884</c:v>
                </c:pt>
                <c:pt idx="21">
                  <c:v>6.9444444444444446</c:v>
                </c:pt>
                <c:pt idx="22">
                  <c:v>6.875</c:v>
                </c:pt>
                <c:pt idx="23">
                  <c:v>6.8055555555555554</c:v>
                </c:pt>
                <c:pt idx="24">
                  <c:v>6.7361111111111107</c:v>
                </c:pt>
                <c:pt idx="25">
                  <c:v>6.6666666666666661</c:v>
                </c:pt>
                <c:pt idx="26">
                  <c:v>6.5972222222222223</c:v>
                </c:pt>
                <c:pt idx="27">
                  <c:v>6.5277777777777777</c:v>
                </c:pt>
                <c:pt idx="28">
                  <c:v>6.458333333333333</c:v>
                </c:pt>
                <c:pt idx="29">
                  <c:v>6.3888888888888884</c:v>
                </c:pt>
                <c:pt idx="30">
                  <c:v>6.3194444444444446</c:v>
                </c:pt>
                <c:pt idx="31">
                  <c:v>6.25</c:v>
                </c:pt>
                <c:pt idx="32">
                  <c:v>6.1805555555555554</c:v>
                </c:pt>
                <c:pt idx="33">
                  <c:v>6.1111111111111107</c:v>
                </c:pt>
                <c:pt idx="34">
                  <c:v>6.0416666666666661</c:v>
                </c:pt>
                <c:pt idx="35">
                  <c:v>5.9722222222222223</c:v>
                </c:pt>
                <c:pt idx="36">
                  <c:v>5.9027777777777777</c:v>
                </c:pt>
                <c:pt idx="37">
                  <c:v>5.833333333333333</c:v>
                </c:pt>
                <c:pt idx="38">
                  <c:v>5.7638888888888884</c:v>
                </c:pt>
                <c:pt idx="39">
                  <c:v>5.6944444444444446</c:v>
                </c:pt>
                <c:pt idx="40">
                  <c:v>5.625</c:v>
                </c:pt>
                <c:pt idx="41">
                  <c:v>5.5555555555555554</c:v>
                </c:pt>
                <c:pt idx="42">
                  <c:v>5.4861111111111107</c:v>
                </c:pt>
                <c:pt idx="43">
                  <c:v>5.416666666666667</c:v>
                </c:pt>
                <c:pt idx="44">
                  <c:v>5.3472222222222223</c:v>
                </c:pt>
                <c:pt idx="45">
                  <c:v>5.2777777777777777</c:v>
                </c:pt>
                <c:pt idx="46">
                  <c:v>5.208333333333333</c:v>
                </c:pt>
                <c:pt idx="47">
                  <c:v>5.1388888888888884</c:v>
                </c:pt>
                <c:pt idx="48">
                  <c:v>5.0694444444444446</c:v>
                </c:pt>
                <c:pt idx="49">
                  <c:v>5</c:v>
                </c:pt>
                <c:pt idx="50">
                  <c:v>4.9305555555555554</c:v>
                </c:pt>
                <c:pt idx="51">
                  <c:v>4.8611111111111107</c:v>
                </c:pt>
                <c:pt idx="52">
                  <c:v>4.791666666666667</c:v>
                </c:pt>
                <c:pt idx="53">
                  <c:v>4.7222222222222223</c:v>
                </c:pt>
                <c:pt idx="54">
                  <c:v>4.6527777777777777</c:v>
                </c:pt>
                <c:pt idx="55">
                  <c:v>4.583333333333333</c:v>
                </c:pt>
                <c:pt idx="56">
                  <c:v>4.5138888888888884</c:v>
                </c:pt>
                <c:pt idx="57">
                  <c:v>4.4444444444444446</c:v>
                </c:pt>
                <c:pt idx="58">
                  <c:v>4.375</c:v>
                </c:pt>
                <c:pt idx="59">
                  <c:v>4.3055555555555554</c:v>
                </c:pt>
                <c:pt idx="60">
                  <c:v>4.2361111111111107</c:v>
                </c:pt>
                <c:pt idx="61">
                  <c:v>4.166666666666667</c:v>
                </c:pt>
                <c:pt idx="62">
                  <c:v>4.0972222222222223</c:v>
                </c:pt>
                <c:pt idx="63">
                  <c:v>4.0277777777777777</c:v>
                </c:pt>
                <c:pt idx="64">
                  <c:v>3.958333333333333</c:v>
                </c:pt>
                <c:pt idx="65">
                  <c:v>3.8888888888888888</c:v>
                </c:pt>
                <c:pt idx="66">
                  <c:v>3.8194444444444442</c:v>
                </c:pt>
                <c:pt idx="67">
                  <c:v>3.75</c:v>
                </c:pt>
                <c:pt idx="68">
                  <c:v>3.6805555555555554</c:v>
                </c:pt>
                <c:pt idx="69">
                  <c:v>3.6111111111111112</c:v>
                </c:pt>
                <c:pt idx="70">
                  <c:v>3.5416666666666665</c:v>
                </c:pt>
                <c:pt idx="71">
                  <c:v>3.4722222222222223</c:v>
                </c:pt>
                <c:pt idx="72">
                  <c:v>3.4027777777777777</c:v>
                </c:pt>
                <c:pt idx="73">
                  <c:v>3.333333333333333</c:v>
                </c:pt>
                <c:pt idx="74">
                  <c:v>3.2638888888888888</c:v>
                </c:pt>
                <c:pt idx="75">
                  <c:v>3.1944444444444442</c:v>
                </c:pt>
                <c:pt idx="76">
                  <c:v>3.125</c:v>
                </c:pt>
                <c:pt idx="77">
                  <c:v>3.0555555555555554</c:v>
                </c:pt>
                <c:pt idx="78">
                  <c:v>2.9861111111111112</c:v>
                </c:pt>
                <c:pt idx="79">
                  <c:v>2.9166666666666665</c:v>
                </c:pt>
                <c:pt idx="80">
                  <c:v>2.8472222222222223</c:v>
                </c:pt>
                <c:pt idx="81">
                  <c:v>2.7777777777777777</c:v>
                </c:pt>
                <c:pt idx="82">
                  <c:v>2.7083333333333335</c:v>
                </c:pt>
                <c:pt idx="83">
                  <c:v>2.6388888888888888</c:v>
                </c:pt>
                <c:pt idx="84">
                  <c:v>2.7777777777777777</c:v>
                </c:pt>
                <c:pt idx="85">
                  <c:v>4.166666666666667</c:v>
                </c:pt>
                <c:pt idx="86">
                  <c:v>5.5555555555555554</c:v>
                </c:pt>
                <c:pt idx="87">
                  <c:v>5.9722222222222223</c:v>
                </c:pt>
                <c:pt idx="88">
                  <c:v>6.1111111111111107</c:v>
                </c:pt>
                <c:pt idx="89">
                  <c:v>6.25</c:v>
                </c:pt>
                <c:pt idx="90">
                  <c:v>6.3888888888888884</c:v>
                </c:pt>
                <c:pt idx="91">
                  <c:v>6.5277777777777777</c:v>
                </c:pt>
                <c:pt idx="92">
                  <c:v>6.6666666666666661</c:v>
                </c:pt>
                <c:pt idx="93">
                  <c:v>6.8055555555555554</c:v>
                </c:pt>
                <c:pt idx="94">
                  <c:v>6.9444444444444446</c:v>
                </c:pt>
                <c:pt idx="95">
                  <c:v>7.083333333333333</c:v>
                </c:pt>
                <c:pt idx="96">
                  <c:v>7.2222222222222223</c:v>
                </c:pt>
                <c:pt idx="97">
                  <c:v>7.3611111111111107</c:v>
                </c:pt>
                <c:pt idx="98">
                  <c:v>7.5</c:v>
                </c:pt>
                <c:pt idx="99">
                  <c:v>7.6388888888888884</c:v>
                </c:pt>
                <c:pt idx="100">
                  <c:v>7.7777777777777777</c:v>
                </c:pt>
                <c:pt idx="101">
                  <c:v>7.9166666666666661</c:v>
                </c:pt>
                <c:pt idx="102">
                  <c:v>8.0555555555555554</c:v>
                </c:pt>
                <c:pt idx="103">
                  <c:v>8.1944444444444446</c:v>
                </c:pt>
                <c:pt idx="104">
                  <c:v>8.3333333333333339</c:v>
                </c:pt>
                <c:pt idx="105">
                  <c:v>8.4722222222222214</c:v>
                </c:pt>
                <c:pt idx="106">
                  <c:v>8.6111111111111107</c:v>
                </c:pt>
                <c:pt idx="107">
                  <c:v>8.75</c:v>
                </c:pt>
                <c:pt idx="108">
                  <c:v>8.8888888888888893</c:v>
                </c:pt>
                <c:pt idx="109">
                  <c:v>9.0277777777777768</c:v>
                </c:pt>
                <c:pt idx="110">
                  <c:v>9.1666666666666661</c:v>
                </c:pt>
                <c:pt idx="111">
                  <c:v>9.3055555555555554</c:v>
                </c:pt>
                <c:pt idx="112">
                  <c:v>9.4444444444444446</c:v>
                </c:pt>
                <c:pt idx="113">
                  <c:v>9.5833333333333339</c:v>
                </c:pt>
                <c:pt idx="114">
                  <c:v>9.7222222222222214</c:v>
                </c:pt>
                <c:pt idx="115">
                  <c:v>9.8611111111111107</c:v>
                </c:pt>
                <c:pt idx="116">
                  <c:v>10</c:v>
                </c:pt>
                <c:pt idx="117">
                  <c:v>10.138888888888889</c:v>
                </c:pt>
                <c:pt idx="118">
                  <c:v>10.277777777777777</c:v>
                </c:pt>
                <c:pt idx="119">
                  <c:v>10.416666666666666</c:v>
                </c:pt>
                <c:pt idx="120">
                  <c:v>10.555555555555555</c:v>
                </c:pt>
                <c:pt idx="121">
                  <c:v>10.694444444444445</c:v>
                </c:pt>
                <c:pt idx="122">
                  <c:v>10.833333333333334</c:v>
                </c:pt>
                <c:pt idx="123">
                  <c:v>10.972222222222221</c:v>
                </c:pt>
                <c:pt idx="124">
                  <c:v>11.111111111111111</c:v>
                </c:pt>
                <c:pt idx="125">
                  <c:v>11.25</c:v>
                </c:pt>
                <c:pt idx="126">
                  <c:v>11.388888888888889</c:v>
                </c:pt>
                <c:pt idx="127">
                  <c:v>11.527777777777777</c:v>
                </c:pt>
                <c:pt idx="128">
                  <c:v>11.666666666666666</c:v>
                </c:pt>
                <c:pt idx="129">
                  <c:v>11.805555555555555</c:v>
                </c:pt>
                <c:pt idx="130">
                  <c:v>11.944444444444445</c:v>
                </c:pt>
                <c:pt idx="131">
                  <c:v>12.083333333333332</c:v>
                </c:pt>
                <c:pt idx="132">
                  <c:v>12.222222222222221</c:v>
                </c:pt>
                <c:pt idx="133">
                  <c:v>12.361111111111111</c:v>
                </c:pt>
                <c:pt idx="134">
                  <c:v>12.5</c:v>
                </c:pt>
                <c:pt idx="135">
                  <c:v>12.638888888888889</c:v>
                </c:pt>
                <c:pt idx="136">
                  <c:v>12.777777777777777</c:v>
                </c:pt>
                <c:pt idx="137">
                  <c:v>12.916666666666666</c:v>
                </c:pt>
                <c:pt idx="138">
                  <c:v>13.055555555555555</c:v>
                </c:pt>
                <c:pt idx="139">
                  <c:v>13.194444444444445</c:v>
                </c:pt>
                <c:pt idx="140">
                  <c:v>13.333333333333332</c:v>
                </c:pt>
                <c:pt idx="141">
                  <c:v>13.472222222222221</c:v>
                </c:pt>
                <c:pt idx="142">
                  <c:v>13.54111111111111</c:v>
                </c:pt>
                <c:pt idx="143">
                  <c:v>13.54111111111111</c:v>
                </c:pt>
                <c:pt idx="144">
                  <c:v>13.54111111111111</c:v>
                </c:pt>
                <c:pt idx="145">
                  <c:v>13.54111111111111</c:v>
                </c:pt>
                <c:pt idx="146">
                  <c:v>13.54111111111111</c:v>
                </c:pt>
                <c:pt idx="147">
                  <c:v>13.54111111111111</c:v>
                </c:pt>
                <c:pt idx="148">
                  <c:v>13.54111111111111</c:v>
                </c:pt>
                <c:pt idx="149">
                  <c:v>13.54111111111111</c:v>
                </c:pt>
                <c:pt idx="150">
                  <c:v>13.54111111111111</c:v>
                </c:pt>
                <c:pt idx="151">
                  <c:v>13.54111111111111</c:v>
                </c:pt>
                <c:pt idx="152">
                  <c:v>13.54111111111111</c:v>
                </c:pt>
                <c:pt idx="153">
                  <c:v>13.54111111111111</c:v>
                </c:pt>
                <c:pt idx="154">
                  <c:v>13.54111111111111</c:v>
                </c:pt>
                <c:pt idx="155">
                  <c:v>13.54111111111111</c:v>
                </c:pt>
                <c:pt idx="156">
                  <c:v>13.54111111111111</c:v>
                </c:pt>
                <c:pt idx="157">
                  <c:v>13.54111111111111</c:v>
                </c:pt>
                <c:pt idx="158">
                  <c:v>13.54111111111111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FB2-47A6-8F69-191120112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  <c:max val="1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Elevation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Data!$I$7:$I$165</c:f>
              <c:numCache>
                <c:formatCode>0.00</c:formatCode>
                <c:ptCount val="159"/>
                <c:pt idx="0">
                  <c:v>0</c:v>
                </c:pt>
                <c:pt idx="1">
                  <c:v>1.5845973832571001</c:v>
                </c:pt>
                <c:pt idx="2">
                  <c:v>3.1826235578977355</c:v>
                </c:pt>
                <c:pt idx="3">
                  <c:v>4.7874498439198199</c:v>
                </c:pt>
                <c:pt idx="4">
                  <c:v>6.406051462869133</c:v>
                </c:pt>
                <c:pt idx="5">
                  <c:v>8.0386669486491762</c:v>
                </c:pt>
                <c:pt idx="6">
                  <c:v>9.6855410849600485</c:v>
                </c:pt>
                <c:pt idx="7">
                  <c:v>11.346925125555599</c:v>
                </c:pt>
                <c:pt idx="8">
                  <c:v>13.023077024289776</c:v>
                </c:pt>
                <c:pt idx="9">
                  <c:v>14.714261675478969</c:v>
                </c:pt>
                <c:pt idx="10">
                  <c:v>16.420751165140462</c:v>
                </c:pt>
                <c:pt idx="11">
                  <c:v>18.142825033702973</c:v>
                </c:pt>
                <c:pt idx="12">
                  <c:v>19.880770550823662</c:v>
                </c:pt>
                <c:pt idx="13">
                  <c:v>21.634883002987337</c:v>
                </c:pt>
                <c:pt idx="14">
                  <c:v>23.405465994607948</c:v>
                </c:pt>
                <c:pt idx="15">
                  <c:v>25.192831763400317</c:v>
                </c:pt>
                <c:pt idx="16">
                  <c:v>26.997301510841417</c:v>
                </c:pt>
                <c:pt idx="17">
                  <c:v>28.819205748595959</c:v>
                </c:pt>
                <c:pt idx="18">
                  <c:v>30.658884661840787</c:v>
                </c:pt>
                <c:pt idx="19">
                  <c:v>32.516688490487049</c:v>
                </c:pt>
                <c:pt idx="20">
                  <c:v>34.392977929368591</c:v>
                </c:pt>
                <c:pt idx="21">
                  <c:v>36.288124548540402</c:v>
                </c:pt>
                <c:pt idx="22">
                  <c:v>38.202511234911924</c:v>
                </c:pt>
                <c:pt idx="23">
                  <c:v>40.136532656528281</c:v>
                </c:pt>
                <c:pt idx="24">
                  <c:v>42.090595750907504</c:v>
                </c:pt>
                <c:pt idx="25">
                  <c:v>44.065120238945148</c:v>
                </c:pt>
                <c:pt idx="26">
                  <c:v>46.060539166009647</c:v>
                </c:pt>
                <c:pt idx="27">
                  <c:v>48.077299471973227</c:v>
                </c:pt>
                <c:pt idx="28">
                  <c:v>50.115862592055336</c:v>
                </c:pt>
                <c:pt idx="29">
                  <c:v>52.176705090498999</c:v>
                </c:pt>
                <c:pt idx="30">
                  <c:v>54.260319329256951</c:v>
                </c:pt>
                <c:pt idx="31">
                  <c:v>56.367214174034551</c:v>
                </c:pt>
                <c:pt idx="32">
                  <c:v>58.497915740222062</c:v>
                </c:pt>
                <c:pt idx="33">
                  <c:v>60.652968181451719</c:v>
                </c:pt>
                <c:pt idx="34">
                  <c:v>62.83293452373605</c:v>
                </c:pt>
                <c:pt idx="35">
                  <c:v>65.038397548386286</c:v>
                </c:pt>
                <c:pt idx="36">
                  <c:v>67.269960727174393</c:v>
                </c:pt>
                <c:pt idx="37">
                  <c:v>69.528249213492899</c:v>
                </c:pt>
                <c:pt idx="38">
                  <c:v>71.813910893584961</c:v>
                </c:pt>
                <c:pt idx="39">
                  <c:v>74.127617502267114</c:v>
                </c:pt>
                <c:pt idx="40">
                  <c:v>76.470065807951528</c:v>
                </c:pt>
                <c:pt idx="41">
                  <c:v>78.841978872198013</c:v>
                </c:pt>
                <c:pt idx="42">
                  <c:v>81.244107389492228</c:v>
                </c:pt>
                <c:pt idx="43">
                  <c:v>83.677231113461204</c:v>
                </c:pt>
                <c:pt idx="44">
                  <c:v>86.142160376305597</c:v>
                </c:pt>
                <c:pt idx="45">
                  <c:v>88.639737708856529</c:v>
                </c:pt>
                <c:pt idx="46">
                  <c:v>91.170839569361164</c:v>
                </c:pt>
                <c:pt idx="47">
                  <c:v>93.736378189872667</c:v>
                </c:pt>
                <c:pt idx="48">
                  <c:v>96.337303549977435</c:v>
                </c:pt>
                <c:pt idx="49">
                  <c:v>98.974605488545208</c:v>
                </c:pt>
                <c:pt idx="50">
                  <c:v>101.64931596524869</c:v>
                </c:pt>
                <c:pt idx="51">
                  <c:v>104.36251148478244</c:v>
                </c:pt>
                <c:pt idx="52">
                  <c:v>107.11531569803202</c:v>
                </c:pt>
                <c:pt idx="53">
                  <c:v>109.90890219592232</c:v>
                </c:pt>
                <c:pt idx="54">
                  <c:v>112.74449751332978</c:v>
                </c:pt>
                <c:pt idx="55">
                  <c:v>115.6233843623007</c:v>
                </c:pt>
                <c:pt idx="56">
                  <c:v>118.54690511590684</c:v>
                </c:pt>
                <c:pt idx="57">
                  <c:v>121.51646556642015</c:v>
                </c:pt>
                <c:pt idx="58">
                  <c:v>124.53353898414169</c:v>
                </c:pt>
                <c:pt idx="59">
                  <c:v>127.59967050621641</c:v>
                </c:pt>
                <c:pt idx="60">
                  <c:v>130.71648188816013</c:v>
                </c:pt>
                <c:pt idx="61">
                  <c:v>133.88567665467434</c:v>
                </c:pt>
                <c:pt idx="62">
                  <c:v>137.10904569070161</c:v>
                </c:pt>
                <c:pt idx="63">
                  <c:v>140.38847331865981</c:v>
                </c:pt>
                <c:pt idx="64">
                  <c:v>143.72594391348451</c:v>
                </c:pt>
                <c:pt idx="65">
                  <c:v>147.12354911362138</c:v>
                </c:pt>
                <c:pt idx="66">
                  <c:v>150.58349569357728</c:v>
                </c:pt>
                <c:pt idx="67">
                  <c:v>154.10811417222394</c:v>
                </c:pt>
                <c:pt idx="68">
                  <c:v>157.69986824094005</c:v>
                </c:pt>
                <c:pt idx="69">
                  <c:v>161.36136510710696</c:v>
                </c:pt>
                <c:pt idx="70">
                  <c:v>165.09536686171282</c:v>
                </c:pt>
                <c:pt idx="71">
                  <c:v>168.90480299519959</c:v>
                </c:pt>
                <c:pt idx="72">
                  <c:v>172.79278420360362</c:v>
                </c:pt>
                <c:pt idx="73">
                  <c:v>176.76261764797405</c:v>
                </c:pt>
                <c:pt idx="74">
                  <c:v>180.81782385458902</c:v>
                </c:pt>
                <c:pt idx="75">
                  <c:v>184.96215547233837</c:v>
                </c:pt>
                <c:pt idx="76">
                  <c:v>189.19961813767759</c:v>
                </c:pt>
                <c:pt idx="77">
                  <c:v>193.53449373785222</c:v>
                </c:pt>
                <c:pt idx="78">
                  <c:v>197.97136641097208</c:v>
                </c:pt>
                <c:pt idx="79">
                  <c:v>202.51515167862499</c:v>
                </c:pt>
                <c:pt idx="80">
                  <c:v>207.17112917510883</c:v>
                </c:pt>
                <c:pt idx="81">
                  <c:v>211.94497951960491</c:v>
                </c:pt>
                <c:pt idx="82">
                  <c:v>216.84282597694505</c:v>
                </c:pt>
                <c:pt idx="83">
                  <c:v>221.67787953098596</c:v>
                </c:pt>
                <c:pt idx="84">
                  <c:v>225.44922130313788</c:v>
                </c:pt>
                <c:pt idx="85">
                  <c:v>228.14303685467496</c:v>
                </c:pt>
                <c:pt idx="86">
                  <c:v>230.41492948850143</c:v>
                </c:pt>
                <c:pt idx="87">
                  <c:v>232.58236728858873</c:v>
                </c:pt>
                <c:pt idx="88">
                  <c:v>234.70109862125835</c:v>
                </c:pt>
                <c:pt idx="89">
                  <c:v>236.77326443013303</c:v>
                </c:pt>
                <c:pt idx="90">
                  <c:v>238.80086753344051</c:v>
                </c:pt>
                <c:pt idx="91">
                  <c:v>240.78578425562574</c:v>
                </c:pt>
                <c:pt idx="92">
                  <c:v>242.72977485982776</c:v>
                </c:pt>
                <c:pt idx="93">
                  <c:v>244.63449292657114</c:v>
                </c:pt>
                <c:pt idx="94">
                  <c:v>246.50149380387407</c:v>
                </c:pt>
                <c:pt idx="95">
                  <c:v>248.33224223695751</c:v>
                </c:pt>
                <c:pt idx="96">
                  <c:v>250.12811927131557</c:v>
                </c:pt>
                <c:pt idx="97">
                  <c:v>251.89042851063888</c:v>
                </c:pt>
                <c:pt idx="98">
                  <c:v>253.62040180061683</c:v>
                </c:pt>
                <c:pt idx="99">
                  <c:v>255.31920440068527</c:v>
                </c:pt>
                <c:pt idx="100">
                  <c:v>256.98793969809759</c:v>
                </c:pt>
                <c:pt idx="101">
                  <c:v>258.62765351207668</c:v>
                </c:pt>
                <c:pt idx="102">
                  <c:v>260.23933803009032</c:v>
                </c:pt>
                <c:pt idx="103">
                  <c:v>261.82393541334744</c:v>
                </c:pt>
                <c:pt idx="104">
                  <c:v>263.38234110431932</c:v>
                </c:pt>
                <c:pt idx="105">
                  <c:v>264.91540686535672</c:v>
                </c:pt>
                <c:pt idx="106">
                  <c:v>266.4239435742175</c:v>
                </c:pt>
                <c:pt idx="107">
                  <c:v>267.90872379947416</c:v>
                </c:pt>
                <c:pt idx="108">
                  <c:v>269.37048417627722</c:v>
                </c:pt>
                <c:pt idx="109">
                  <c:v>270.80992760076271</c:v>
                </c:pt>
                <c:pt idx="110">
                  <c:v>272.22772525946641</c:v>
                </c:pt>
                <c:pt idx="111">
                  <c:v>273.62451850841154</c:v>
                </c:pt>
                <c:pt idx="112">
                  <c:v>275.00092061503631</c:v>
                </c:pt>
                <c:pt idx="113">
                  <c:v>276.35751837480319</c:v>
                </c:pt>
                <c:pt idx="114">
                  <c:v>277.69487361315493</c:v>
                </c:pt>
                <c:pt idx="115">
                  <c:v>279.01352458243883</c:v>
                </c:pt>
                <c:pt idx="116">
                  <c:v>280.3139872624912</c:v>
                </c:pt>
                <c:pt idx="117">
                  <c:v>281.59675657274693</c:v>
                </c:pt>
                <c:pt idx="118">
                  <c:v>282.86230750299927</c:v>
                </c:pt>
                <c:pt idx="119">
                  <c:v>284.11109616927473</c:v>
                </c:pt>
                <c:pt idx="120">
                  <c:v>285.34356080069693</c:v>
                </c:pt>
                <c:pt idx="121">
                  <c:v>286.56012266268141</c:v>
                </c:pt>
                <c:pt idx="122">
                  <c:v>287.76118692132849</c:v>
                </c:pt>
                <c:pt idx="123">
                  <c:v>288.94714345345176</c:v>
                </c:pt>
                <c:pt idx="124">
                  <c:v>290.11836760629399</c:v>
                </c:pt>
                <c:pt idx="125">
                  <c:v>291.27522091063508</c:v>
                </c:pt>
                <c:pt idx="126">
                  <c:v>292.41805175068112</c:v>
                </c:pt>
                <c:pt idx="127">
                  <c:v>293.54719599384038</c:v>
                </c:pt>
                <c:pt idx="128">
                  <c:v>294.66297758323441</c:v>
                </c:pt>
                <c:pt idx="129">
                  <c:v>295.76570909555954</c:v>
                </c:pt>
                <c:pt idx="130">
                  <c:v>296.85569226670174</c:v>
                </c:pt>
                <c:pt idx="131">
                  <c:v>297.93321848731659</c:v>
                </c:pt>
                <c:pt idx="132">
                  <c:v>298.99856927041037</c:v>
                </c:pt>
                <c:pt idx="133">
                  <c:v>300.05201669279916</c:v>
                </c:pt>
                <c:pt idx="134">
                  <c:v>301.09382381217813</c:v>
                </c:pt>
                <c:pt idx="135">
                  <c:v>302.12424506139996</c:v>
                </c:pt>
                <c:pt idx="136">
                  <c:v>303.14352662144103</c:v>
                </c:pt>
                <c:pt idx="137">
                  <c:v>304.1519067744228</c:v>
                </c:pt>
                <c:pt idx="138">
                  <c:v>305.14961623795506</c:v>
                </c:pt>
                <c:pt idx="139">
                  <c:v>306.13687848197389</c:v>
                </c:pt>
                <c:pt idx="140">
                  <c:v>307.11391002916349</c:v>
                </c:pt>
                <c:pt idx="141">
                  <c:v>308.08342656733186</c:v>
                </c:pt>
                <c:pt idx="142">
                  <c:v>309.05047695200199</c:v>
                </c:pt>
                <c:pt idx="143">
                  <c:v>310.01752733667212</c:v>
                </c:pt>
                <c:pt idx="144">
                  <c:v>310.98457772134225</c:v>
                </c:pt>
                <c:pt idx="145">
                  <c:v>311.95162810601238</c:v>
                </c:pt>
                <c:pt idx="146">
                  <c:v>312.91867849068251</c:v>
                </c:pt>
                <c:pt idx="147">
                  <c:v>313.88572887535264</c:v>
                </c:pt>
                <c:pt idx="148">
                  <c:v>314.85277926002277</c:v>
                </c:pt>
                <c:pt idx="149">
                  <c:v>315.8198296446929</c:v>
                </c:pt>
                <c:pt idx="150">
                  <c:v>316.78688002936303</c:v>
                </c:pt>
                <c:pt idx="151">
                  <c:v>317.75393041403316</c:v>
                </c:pt>
                <c:pt idx="152">
                  <c:v>318.72098079870329</c:v>
                </c:pt>
                <c:pt idx="153">
                  <c:v>319.68803118337343</c:v>
                </c:pt>
                <c:pt idx="154">
                  <c:v>320.65508156804356</c:v>
                </c:pt>
                <c:pt idx="155">
                  <c:v>321.62213195271369</c:v>
                </c:pt>
                <c:pt idx="156">
                  <c:v>322.58918233738376</c:v>
                </c:pt>
                <c:pt idx="157">
                  <c:v>323.55623272205384</c:v>
                </c:pt>
                <c:pt idx="158">
                  <c:v>325.19623272205382</c:v>
                </c:pt>
              </c:numCache>
            </c:numRef>
          </c:xVal>
          <c:yVal>
            <c:numRef>
              <c:f>Data!$E$7:$E$165</c:f>
              <c:numCache>
                <c:formatCode>General</c:formatCode>
                <c:ptCount val="15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  <c:pt idx="41">
                  <c:v>10.25</c:v>
                </c:pt>
                <c:pt idx="42">
                  <c:v>10.5</c:v>
                </c:pt>
                <c:pt idx="43">
                  <c:v>10.75</c:v>
                </c:pt>
                <c:pt idx="44">
                  <c:v>11</c:v>
                </c:pt>
                <c:pt idx="45">
                  <c:v>11.25</c:v>
                </c:pt>
                <c:pt idx="46">
                  <c:v>11.5</c:v>
                </c:pt>
                <c:pt idx="47">
                  <c:v>11.75</c:v>
                </c:pt>
                <c:pt idx="48">
                  <c:v>12</c:v>
                </c:pt>
                <c:pt idx="49">
                  <c:v>12.25</c:v>
                </c:pt>
                <c:pt idx="50">
                  <c:v>12.5</c:v>
                </c:pt>
                <c:pt idx="51">
                  <c:v>12.75</c:v>
                </c:pt>
                <c:pt idx="52">
                  <c:v>13</c:v>
                </c:pt>
                <c:pt idx="53">
                  <c:v>13.25</c:v>
                </c:pt>
                <c:pt idx="54">
                  <c:v>13.5</c:v>
                </c:pt>
                <c:pt idx="55">
                  <c:v>13.75</c:v>
                </c:pt>
                <c:pt idx="56">
                  <c:v>14</c:v>
                </c:pt>
                <c:pt idx="57">
                  <c:v>14.25</c:v>
                </c:pt>
                <c:pt idx="58">
                  <c:v>14.5</c:v>
                </c:pt>
                <c:pt idx="59">
                  <c:v>14.75</c:v>
                </c:pt>
                <c:pt idx="60">
                  <c:v>15</c:v>
                </c:pt>
                <c:pt idx="61">
                  <c:v>15.25</c:v>
                </c:pt>
                <c:pt idx="62">
                  <c:v>15.5</c:v>
                </c:pt>
                <c:pt idx="63">
                  <c:v>15.75</c:v>
                </c:pt>
                <c:pt idx="64">
                  <c:v>16</c:v>
                </c:pt>
                <c:pt idx="65">
                  <c:v>16.25</c:v>
                </c:pt>
                <c:pt idx="66">
                  <c:v>16.5</c:v>
                </c:pt>
                <c:pt idx="67">
                  <c:v>16.75</c:v>
                </c:pt>
                <c:pt idx="68">
                  <c:v>17</c:v>
                </c:pt>
                <c:pt idx="69">
                  <c:v>17.25</c:v>
                </c:pt>
                <c:pt idx="70">
                  <c:v>17.5</c:v>
                </c:pt>
                <c:pt idx="71">
                  <c:v>17.75</c:v>
                </c:pt>
                <c:pt idx="72">
                  <c:v>18</c:v>
                </c:pt>
                <c:pt idx="73">
                  <c:v>18.25</c:v>
                </c:pt>
                <c:pt idx="74">
                  <c:v>18.5</c:v>
                </c:pt>
                <c:pt idx="75">
                  <c:v>18.75</c:v>
                </c:pt>
                <c:pt idx="76">
                  <c:v>19</c:v>
                </c:pt>
                <c:pt idx="77">
                  <c:v>19.25</c:v>
                </c:pt>
                <c:pt idx="78">
                  <c:v>19.5</c:v>
                </c:pt>
                <c:pt idx="79">
                  <c:v>19.75</c:v>
                </c:pt>
                <c:pt idx="80">
                  <c:v>20</c:v>
                </c:pt>
                <c:pt idx="81">
                  <c:v>20.25</c:v>
                </c:pt>
                <c:pt idx="82">
                  <c:v>20.5</c:v>
                </c:pt>
                <c:pt idx="83">
                  <c:v>20.75</c:v>
                </c:pt>
                <c:pt idx="84">
                  <c:v>21</c:v>
                </c:pt>
                <c:pt idx="85">
                  <c:v>21</c:v>
                </c:pt>
                <c:pt idx="86">
                  <c:v>21</c:v>
                </c:pt>
                <c:pt idx="87">
                  <c:v>21</c:v>
                </c:pt>
                <c:pt idx="88">
                  <c:v>21</c:v>
                </c:pt>
                <c:pt idx="89">
                  <c:v>21</c:v>
                </c:pt>
                <c:pt idx="90">
                  <c:v>21</c:v>
                </c:pt>
                <c:pt idx="91">
                  <c:v>21</c:v>
                </c:pt>
                <c:pt idx="92">
                  <c:v>21</c:v>
                </c:pt>
                <c:pt idx="93">
                  <c:v>21</c:v>
                </c:pt>
                <c:pt idx="94">
                  <c:v>21</c:v>
                </c:pt>
                <c:pt idx="95">
                  <c:v>21</c:v>
                </c:pt>
                <c:pt idx="96">
                  <c:v>21</c:v>
                </c:pt>
                <c:pt idx="97">
                  <c:v>21</c:v>
                </c:pt>
                <c:pt idx="98">
                  <c:v>21</c:v>
                </c:pt>
                <c:pt idx="99">
                  <c:v>21</c:v>
                </c:pt>
                <c:pt idx="100">
                  <c:v>21</c:v>
                </c:pt>
                <c:pt idx="101">
                  <c:v>21</c:v>
                </c:pt>
                <c:pt idx="102">
                  <c:v>21</c:v>
                </c:pt>
                <c:pt idx="103">
                  <c:v>21</c:v>
                </c:pt>
                <c:pt idx="104">
                  <c:v>21</c:v>
                </c:pt>
                <c:pt idx="105">
                  <c:v>21</c:v>
                </c:pt>
                <c:pt idx="106">
                  <c:v>21</c:v>
                </c:pt>
                <c:pt idx="107">
                  <c:v>21</c:v>
                </c:pt>
                <c:pt idx="108">
                  <c:v>21</c:v>
                </c:pt>
                <c:pt idx="109">
                  <c:v>21</c:v>
                </c:pt>
                <c:pt idx="110">
                  <c:v>21</c:v>
                </c:pt>
                <c:pt idx="111">
                  <c:v>21</c:v>
                </c:pt>
                <c:pt idx="112">
                  <c:v>21</c:v>
                </c:pt>
                <c:pt idx="113">
                  <c:v>21</c:v>
                </c:pt>
                <c:pt idx="114">
                  <c:v>21</c:v>
                </c:pt>
                <c:pt idx="115">
                  <c:v>21</c:v>
                </c:pt>
                <c:pt idx="116">
                  <c:v>21</c:v>
                </c:pt>
                <c:pt idx="117">
                  <c:v>20.5</c:v>
                </c:pt>
                <c:pt idx="118">
                  <c:v>20</c:v>
                </c:pt>
                <c:pt idx="119">
                  <c:v>19.5</c:v>
                </c:pt>
                <c:pt idx="120">
                  <c:v>19</c:v>
                </c:pt>
                <c:pt idx="121">
                  <c:v>18.5</c:v>
                </c:pt>
                <c:pt idx="122">
                  <c:v>18</c:v>
                </c:pt>
                <c:pt idx="123">
                  <c:v>17.5</c:v>
                </c:pt>
                <c:pt idx="124">
                  <c:v>17</c:v>
                </c:pt>
                <c:pt idx="125">
                  <c:v>16.5</c:v>
                </c:pt>
                <c:pt idx="126">
                  <c:v>16</c:v>
                </c:pt>
                <c:pt idx="127">
                  <c:v>15.5</c:v>
                </c:pt>
                <c:pt idx="128">
                  <c:v>15</c:v>
                </c:pt>
                <c:pt idx="129">
                  <c:v>14.5</c:v>
                </c:pt>
                <c:pt idx="130">
                  <c:v>14</c:v>
                </c:pt>
                <c:pt idx="131">
                  <c:v>13.5</c:v>
                </c:pt>
                <c:pt idx="132">
                  <c:v>13</c:v>
                </c:pt>
                <c:pt idx="133">
                  <c:v>12.5</c:v>
                </c:pt>
                <c:pt idx="134">
                  <c:v>12</c:v>
                </c:pt>
                <c:pt idx="135">
                  <c:v>11.5</c:v>
                </c:pt>
                <c:pt idx="136">
                  <c:v>11</c:v>
                </c:pt>
                <c:pt idx="137">
                  <c:v>10.5</c:v>
                </c:pt>
                <c:pt idx="138">
                  <c:v>10</c:v>
                </c:pt>
                <c:pt idx="139">
                  <c:v>9.5</c:v>
                </c:pt>
                <c:pt idx="140">
                  <c:v>9</c:v>
                </c:pt>
                <c:pt idx="141">
                  <c:v>8.5</c:v>
                </c:pt>
                <c:pt idx="142">
                  <c:v>8</c:v>
                </c:pt>
                <c:pt idx="143">
                  <c:v>7.5</c:v>
                </c:pt>
                <c:pt idx="144">
                  <c:v>7</c:v>
                </c:pt>
                <c:pt idx="145">
                  <c:v>6.5</c:v>
                </c:pt>
                <c:pt idx="146">
                  <c:v>6</c:v>
                </c:pt>
                <c:pt idx="147">
                  <c:v>5.5</c:v>
                </c:pt>
                <c:pt idx="148">
                  <c:v>5</c:v>
                </c:pt>
                <c:pt idx="149">
                  <c:v>4.5</c:v>
                </c:pt>
                <c:pt idx="150">
                  <c:v>4</c:v>
                </c:pt>
                <c:pt idx="151">
                  <c:v>3.5</c:v>
                </c:pt>
                <c:pt idx="152">
                  <c:v>3</c:v>
                </c:pt>
                <c:pt idx="153">
                  <c:v>2.5</c:v>
                </c:pt>
                <c:pt idx="154">
                  <c:v>2</c:v>
                </c:pt>
                <c:pt idx="155">
                  <c:v>1.5</c:v>
                </c:pt>
                <c:pt idx="156">
                  <c:v>1</c:v>
                </c:pt>
                <c:pt idx="157">
                  <c:v>0.5</c:v>
                </c:pt>
                <c:pt idx="158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EF4-4CE2-9372-C3EA3F7503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ELevation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 Power (KW)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ICE Power</c:v>
          </c:tx>
          <c:spPr>
            <a:ln w="19050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xVal>
            <c:numRef>
              <c:f>Data!$I$7:$I$165</c:f>
              <c:numCache>
                <c:formatCode>0.00</c:formatCode>
                <c:ptCount val="159"/>
                <c:pt idx="0">
                  <c:v>0</c:v>
                </c:pt>
                <c:pt idx="1">
                  <c:v>1.5845973832571001</c:v>
                </c:pt>
                <c:pt idx="2">
                  <c:v>3.1826235578977355</c:v>
                </c:pt>
                <c:pt idx="3">
                  <c:v>4.7874498439198199</c:v>
                </c:pt>
                <c:pt idx="4">
                  <c:v>6.406051462869133</c:v>
                </c:pt>
                <c:pt idx="5">
                  <c:v>8.0386669486491762</c:v>
                </c:pt>
                <c:pt idx="6">
                  <c:v>9.6855410849600485</c:v>
                </c:pt>
                <c:pt idx="7">
                  <c:v>11.346925125555599</c:v>
                </c:pt>
                <c:pt idx="8">
                  <c:v>13.023077024289776</c:v>
                </c:pt>
                <c:pt idx="9">
                  <c:v>14.714261675478969</c:v>
                </c:pt>
                <c:pt idx="10">
                  <c:v>16.420751165140462</c:v>
                </c:pt>
                <c:pt idx="11">
                  <c:v>18.142825033702973</c:v>
                </c:pt>
                <c:pt idx="12">
                  <c:v>19.880770550823662</c:v>
                </c:pt>
                <c:pt idx="13">
                  <c:v>21.634883002987337</c:v>
                </c:pt>
                <c:pt idx="14">
                  <c:v>23.405465994607948</c:v>
                </c:pt>
                <c:pt idx="15">
                  <c:v>25.192831763400317</c:v>
                </c:pt>
                <c:pt idx="16">
                  <c:v>26.997301510841417</c:v>
                </c:pt>
                <c:pt idx="17">
                  <c:v>28.819205748595959</c:v>
                </c:pt>
                <c:pt idx="18">
                  <c:v>30.658884661840787</c:v>
                </c:pt>
                <c:pt idx="19">
                  <c:v>32.516688490487049</c:v>
                </c:pt>
                <c:pt idx="20">
                  <c:v>34.392977929368591</c:v>
                </c:pt>
                <c:pt idx="21">
                  <c:v>36.288124548540402</c:v>
                </c:pt>
                <c:pt idx="22">
                  <c:v>38.202511234911924</c:v>
                </c:pt>
                <c:pt idx="23">
                  <c:v>40.136532656528281</c:v>
                </c:pt>
                <c:pt idx="24">
                  <c:v>42.090595750907504</c:v>
                </c:pt>
                <c:pt idx="25">
                  <c:v>44.065120238945148</c:v>
                </c:pt>
                <c:pt idx="26">
                  <c:v>46.060539166009647</c:v>
                </c:pt>
                <c:pt idx="27">
                  <c:v>48.077299471973227</c:v>
                </c:pt>
                <c:pt idx="28">
                  <c:v>50.115862592055336</c:v>
                </c:pt>
                <c:pt idx="29">
                  <c:v>52.176705090498999</c:v>
                </c:pt>
                <c:pt idx="30">
                  <c:v>54.260319329256951</c:v>
                </c:pt>
                <c:pt idx="31">
                  <c:v>56.367214174034551</c:v>
                </c:pt>
                <c:pt idx="32">
                  <c:v>58.497915740222062</c:v>
                </c:pt>
                <c:pt idx="33">
                  <c:v>60.652968181451719</c:v>
                </c:pt>
                <c:pt idx="34">
                  <c:v>62.83293452373605</c:v>
                </c:pt>
                <c:pt idx="35">
                  <c:v>65.038397548386286</c:v>
                </c:pt>
                <c:pt idx="36">
                  <c:v>67.269960727174393</c:v>
                </c:pt>
                <c:pt idx="37">
                  <c:v>69.528249213492899</c:v>
                </c:pt>
                <c:pt idx="38">
                  <c:v>71.813910893584961</c:v>
                </c:pt>
                <c:pt idx="39">
                  <c:v>74.127617502267114</c:v>
                </c:pt>
                <c:pt idx="40">
                  <c:v>76.470065807951528</c:v>
                </c:pt>
                <c:pt idx="41">
                  <c:v>78.841978872198013</c:v>
                </c:pt>
                <c:pt idx="42">
                  <c:v>81.244107389492228</c:v>
                </c:pt>
                <c:pt idx="43">
                  <c:v>83.677231113461204</c:v>
                </c:pt>
                <c:pt idx="44">
                  <c:v>86.142160376305597</c:v>
                </c:pt>
                <c:pt idx="45">
                  <c:v>88.639737708856529</c:v>
                </c:pt>
                <c:pt idx="46">
                  <c:v>91.170839569361164</c:v>
                </c:pt>
                <c:pt idx="47">
                  <c:v>93.736378189872667</c:v>
                </c:pt>
                <c:pt idx="48">
                  <c:v>96.337303549977435</c:v>
                </c:pt>
                <c:pt idx="49">
                  <c:v>98.974605488545208</c:v>
                </c:pt>
                <c:pt idx="50">
                  <c:v>101.64931596524869</c:v>
                </c:pt>
                <c:pt idx="51">
                  <c:v>104.36251148478244</c:v>
                </c:pt>
                <c:pt idx="52">
                  <c:v>107.11531569803202</c:v>
                </c:pt>
                <c:pt idx="53">
                  <c:v>109.90890219592232</c:v>
                </c:pt>
                <c:pt idx="54">
                  <c:v>112.74449751332978</c:v>
                </c:pt>
                <c:pt idx="55">
                  <c:v>115.6233843623007</c:v>
                </c:pt>
                <c:pt idx="56">
                  <c:v>118.54690511590684</c:v>
                </c:pt>
                <c:pt idx="57">
                  <c:v>121.51646556642015</c:v>
                </c:pt>
                <c:pt idx="58">
                  <c:v>124.53353898414169</c:v>
                </c:pt>
                <c:pt idx="59">
                  <c:v>127.59967050621641</c:v>
                </c:pt>
                <c:pt idx="60">
                  <c:v>130.71648188816013</c:v>
                </c:pt>
                <c:pt idx="61">
                  <c:v>133.88567665467434</c:v>
                </c:pt>
                <c:pt idx="62">
                  <c:v>137.10904569070161</c:v>
                </c:pt>
                <c:pt idx="63">
                  <c:v>140.38847331865981</c:v>
                </c:pt>
                <c:pt idx="64">
                  <c:v>143.72594391348451</c:v>
                </c:pt>
                <c:pt idx="65">
                  <c:v>147.12354911362138</c:v>
                </c:pt>
                <c:pt idx="66">
                  <c:v>150.58349569357728</c:v>
                </c:pt>
                <c:pt idx="67">
                  <c:v>154.10811417222394</c:v>
                </c:pt>
                <c:pt idx="68">
                  <c:v>157.69986824094005</c:v>
                </c:pt>
                <c:pt idx="69">
                  <c:v>161.36136510710696</c:v>
                </c:pt>
                <c:pt idx="70">
                  <c:v>165.09536686171282</c:v>
                </c:pt>
                <c:pt idx="71">
                  <c:v>168.90480299519959</c:v>
                </c:pt>
                <c:pt idx="72">
                  <c:v>172.79278420360362</c:v>
                </c:pt>
                <c:pt idx="73">
                  <c:v>176.76261764797405</c:v>
                </c:pt>
                <c:pt idx="74">
                  <c:v>180.81782385458902</c:v>
                </c:pt>
                <c:pt idx="75">
                  <c:v>184.96215547233837</c:v>
                </c:pt>
                <c:pt idx="76">
                  <c:v>189.19961813767759</c:v>
                </c:pt>
                <c:pt idx="77">
                  <c:v>193.53449373785222</c:v>
                </c:pt>
                <c:pt idx="78">
                  <c:v>197.97136641097208</c:v>
                </c:pt>
                <c:pt idx="79">
                  <c:v>202.51515167862499</c:v>
                </c:pt>
                <c:pt idx="80">
                  <c:v>207.17112917510883</c:v>
                </c:pt>
                <c:pt idx="81">
                  <c:v>211.94497951960491</c:v>
                </c:pt>
                <c:pt idx="82">
                  <c:v>216.84282597694505</c:v>
                </c:pt>
                <c:pt idx="83">
                  <c:v>221.67787953098596</c:v>
                </c:pt>
                <c:pt idx="84">
                  <c:v>225.44922130313788</c:v>
                </c:pt>
                <c:pt idx="85">
                  <c:v>228.14303685467496</c:v>
                </c:pt>
                <c:pt idx="86">
                  <c:v>230.41492948850143</c:v>
                </c:pt>
                <c:pt idx="87">
                  <c:v>232.58236728858873</c:v>
                </c:pt>
                <c:pt idx="88">
                  <c:v>234.70109862125835</c:v>
                </c:pt>
                <c:pt idx="89">
                  <c:v>236.77326443013303</c:v>
                </c:pt>
                <c:pt idx="90">
                  <c:v>238.80086753344051</c:v>
                </c:pt>
                <c:pt idx="91">
                  <c:v>240.78578425562574</c:v>
                </c:pt>
                <c:pt idx="92">
                  <c:v>242.72977485982776</c:v>
                </c:pt>
                <c:pt idx="93">
                  <c:v>244.63449292657114</c:v>
                </c:pt>
                <c:pt idx="94">
                  <c:v>246.50149380387407</c:v>
                </c:pt>
                <c:pt idx="95">
                  <c:v>248.33224223695751</c:v>
                </c:pt>
                <c:pt idx="96">
                  <c:v>250.12811927131557</c:v>
                </c:pt>
                <c:pt idx="97">
                  <c:v>251.89042851063888</c:v>
                </c:pt>
                <c:pt idx="98">
                  <c:v>253.62040180061683</c:v>
                </c:pt>
                <c:pt idx="99">
                  <c:v>255.31920440068527</c:v>
                </c:pt>
                <c:pt idx="100">
                  <c:v>256.98793969809759</c:v>
                </c:pt>
                <c:pt idx="101">
                  <c:v>258.62765351207668</c:v>
                </c:pt>
                <c:pt idx="102">
                  <c:v>260.23933803009032</c:v>
                </c:pt>
                <c:pt idx="103">
                  <c:v>261.82393541334744</c:v>
                </c:pt>
                <c:pt idx="104">
                  <c:v>263.38234110431932</c:v>
                </c:pt>
                <c:pt idx="105">
                  <c:v>264.91540686535672</c:v>
                </c:pt>
                <c:pt idx="106">
                  <c:v>266.4239435742175</c:v>
                </c:pt>
                <c:pt idx="107">
                  <c:v>267.90872379947416</c:v>
                </c:pt>
                <c:pt idx="108">
                  <c:v>269.37048417627722</c:v>
                </c:pt>
                <c:pt idx="109">
                  <c:v>270.80992760076271</c:v>
                </c:pt>
                <c:pt idx="110">
                  <c:v>272.22772525946641</c:v>
                </c:pt>
                <c:pt idx="111">
                  <c:v>273.62451850841154</c:v>
                </c:pt>
                <c:pt idx="112">
                  <c:v>275.00092061503631</c:v>
                </c:pt>
                <c:pt idx="113">
                  <c:v>276.35751837480319</c:v>
                </c:pt>
                <c:pt idx="114">
                  <c:v>277.69487361315493</c:v>
                </c:pt>
                <c:pt idx="115">
                  <c:v>279.01352458243883</c:v>
                </c:pt>
                <c:pt idx="116">
                  <c:v>280.3139872624912</c:v>
                </c:pt>
                <c:pt idx="117">
                  <c:v>281.59675657274693</c:v>
                </c:pt>
                <c:pt idx="118">
                  <c:v>282.86230750299927</c:v>
                </c:pt>
                <c:pt idx="119">
                  <c:v>284.11109616927473</c:v>
                </c:pt>
                <c:pt idx="120">
                  <c:v>285.34356080069693</c:v>
                </c:pt>
                <c:pt idx="121">
                  <c:v>286.56012266268141</c:v>
                </c:pt>
                <c:pt idx="122">
                  <c:v>287.76118692132849</c:v>
                </c:pt>
                <c:pt idx="123">
                  <c:v>288.94714345345176</c:v>
                </c:pt>
                <c:pt idx="124">
                  <c:v>290.11836760629399</c:v>
                </c:pt>
                <c:pt idx="125">
                  <c:v>291.27522091063508</c:v>
                </c:pt>
                <c:pt idx="126">
                  <c:v>292.41805175068112</c:v>
                </c:pt>
                <c:pt idx="127">
                  <c:v>293.54719599384038</c:v>
                </c:pt>
                <c:pt idx="128">
                  <c:v>294.66297758323441</c:v>
                </c:pt>
                <c:pt idx="129">
                  <c:v>295.76570909555954</c:v>
                </c:pt>
                <c:pt idx="130">
                  <c:v>296.85569226670174</c:v>
                </c:pt>
                <c:pt idx="131">
                  <c:v>297.93321848731659</c:v>
                </c:pt>
                <c:pt idx="132">
                  <c:v>298.99856927041037</c:v>
                </c:pt>
                <c:pt idx="133">
                  <c:v>300.05201669279916</c:v>
                </c:pt>
                <c:pt idx="134">
                  <c:v>301.09382381217813</c:v>
                </c:pt>
                <c:pt idx="135">
                  <c:v>302.12424506139996</c:v>
                </c:pt>
                <c:pt idx="136">
                  <c:v>303.14352662144103</c:v>
                </c:pt>
                <c:pt idx="137">
                  <c:v>304.1519067744228</c:v>
                </c:pt>
                <c:pt idx="138">
                  <c:v>305.14961623795506</c:v>
                </c:pt>
                <c:pt idx="139">
                  <c:v>306.13687848197389</c:v>
                </c:pt>
                <c:pt idx="140">
                  <c:v>307.11391002916349</c:v>
                </c:pt>
                <c:pt idx="141">
                  <c:v>308.08342656733186</c:v>
                </c:pt>
                <c:pt idx="142">
                  <c:v>309.05047695200199</c:v>
                </c:pt>
                <c:pt idx="143">
                  <c:v>310.01752733667212</c:v>
                </c:pt>
                <c:pt idx="144">
                  <c:v>310.98457772134225</c:v>
                </c:pt>
                <c:pt idx="145">
                  <c:v>311.95162810601238</c:v>
                </c:pt>
                <c:pt idx="146">
                  <c:v>312.91867849068251</c:v>
                </c:pt>
                <c:pt idx="147">
                  <c:v>313.88572887535264</c:v>
                </c:pt>
                <c:pt idx="148">
                  <c:v>314.85277926002277</c:v>
                </c:pt>
                <c:pt idx="149">
                  <c:v>315.8198296446929</c:v>
                </c:pt>
                <c:pt idx="150">
                  <c:v>316.78688002936303</c:v>
                </c:pt>
                <c:pt idx="151">
                  <c:v>317.75393041403316</c:v>
                </c:pt>
                <c:pt idx="152">
                  <c:v>318.72098079870329</c:v>
                </c:pt>
                <c:pt idx="153">
                  <c:v>319.68803118337343</c:v>
                </c:pt>
                <c:pt idx="154">
                  <c:v>320.65508156804356</c:v>
                </c:pt>
                <c:pt idx="155">
                  <c:v>321.62213195271369</c:v>
                </c:pt>
                <c:pt idx="156">
                  <c:v>322.58918233738376</c:v>
                </c:pt>
                <c:pt idx="157">
                  <c:v>323.55623272205384</c:v>
                </c:pt>
                <c:pt idx="158">
                  <c:v>325.19623272205382</c:v>
                </c:pt>
              </c:numCache>
            </c:numRef>
          </c:xVal>
          <c:yVal>
            <c:numRef>
              <c:f>Data!$V$7:$V$165</c:f>
              <c:numCache>
                <c:formatCode>0.00</c:formatCode>
                <c:ptCount val="159"/>
                <c:pt idx="0">
                  <c:v>6.2</c:v>
                </c:pt>
                <c:pt idx="1">
                  <c:v>6.2</c:v>
                </c:pt>
                <c:pt idx="2">
                  <c:v>6.2</c:v>
                </c:pt>
                <c:pt idx="3">
                  <c:v>6.2</c:v>
                </c:pt>
                <c:pt idx="4">
                  <c:v>6.2</c:v>
                </c:pt>
                <c:pt idx="5">
                  <c:v>6.2</c:v>
                </c:pt>
                <c:pt idx="6">
                  <c:v>6.2</c:v>
                </c:pt>
                <c:pt idx="7">
                  <c:v>6.2</c:v>
                </c:pt>
                <c:pt idx="8">
                  <c:v>6.2</c:v>
                </c:pt>
                <c:pt idx="9">
                  <c:v>6.2</c:v>
                </c:pt>
                <c:pt idx="10">
                  <c:v>6.2</c:v>
                </c:pt>
                <c:pt idx="11">
                  <c:v>6.2</c:v>
                </c:pt>
                <c:pt idx="12">
                  <c:v>6.2</c:v>
                </c:pt>
                <c:pt idx="13">
                  <c:v>6.2</c:v>
                </c:pt>
                <c:pt idx="14">
                  <c:v>6.2</c:v>
                </c:pt>
                <c:pt idx="15">
                  <c:v>6.2</c:v>
                </c:pt>
                <c:pt idx="16">
                  <c:v>6.2</c:v>
                </c:pt>
                <c:pt idx="17">
                  <c:v>6.2</c:v>
                </c:pt>
                <c:pt idx="18">
                  <c:v>6.2</c:v>
                </c:pt>
                <c:pt idx="19">
                  <c:v>6.2</c:v>
                </c:pt>
                <c:pt idx="20">
                  <c:v>6.2</c:v>
                </c:pt>
                <c:pt idx="21">
                  <c:v>6.2</c:v>
                </c:pt>
                <c:pt idx="22">
                  <c:v>6.2</c:v>
                </c:pt>
                <c:pt idx="23">
                  <c:v>6.2</c:v>
                </c:pt>
                <c:pt idx="24">
                  <c:v>6.2</c:v>
                </c:pt>
                <c:pt idx="25">
                  <c:v>6.2</c:v>
                </c:pt>
                <c:pt idx="26">
                  <c:v>6.2</c:v>
                </c:pt>
                <c:pt idx="27">
                  <c:v>6.2</c:v>
                </c:pt>
                <c:pt idx="28">
                  <c:v>6.2</c:v>
                </c:pt>
                <c:pt idx="29">
                  <c:v>6.2</c:v>
                </c:pt>
                <c:pt idx="30">
                  <c:v>6.2</c:v>
                </c:pt>
                <c:pt idx="31">
                  <c:v>6.2</c:v>
                </c:pt>
                <c:pt idx="32">
                  <c:v>6.2</c:v>
                </c:pt>
                <c:pt idx="33">
                  <c:v>6.2</c:v>
                </c:pt>
                <c:pt idx="34">
                  <c:v>6.2</c:v>
                </c:pt>
                <c:pt idx="35">
                  <c:v>6.2</c:v>
                </c:pt>
                <c:pt idx="36">
                  <c:v>6.2</c:v>
                </c:pt>
                <c:pt idx="37">
                  <c:v>6.2</c:v>
                </c:pt>
                <c:pt idx="38">
                  <c:v>6.2</c:v>
                </c:pt>
                <c:pt idx="39">
                  <c:v>6.2</c:v>
                </c:pt>
                <c:pt idx="40">
                  <c:v>6.2</c:v>
                </c:pt>
                <c:pt idx="41">
                  <c:v>6.2</c:v>
                </c:pt>
                <c:pt idx="42">
                  <c:v>6.2</c:v>
                </c:pt>
                <c:pt idx="43">
                  <c:v>6.2</c:v>
                </c:pt>
                <c:pt idx="44">
                  <c:v>6.2</c:v>
                </c:pt>
                <c:pt idx="45">
                  <c:v>6.2</c:v>
                </c:pt>
                <c:pt idx="46">
                  <c:v>6.2</c:v>
                </c:pt>
                <c:pt idx="47">
                  <c:v>6.2</c:v>
                </c:pt>
                <c:pt idx="48">
                  <c:v>6.2</c:v>
                </c:pt>
                <c:pt idx="49">
                  <c:v>6.2</c:v>
                </c:pt>
                <c:pt idx="50">
                  <c:v>6.2</c:v>
                </c:pt>
                <c:pt idx="51">
                  <c:v>6.2</c:v>
                </c:pt>
                <c:pt idx="52">
                  <c:v>6.2</c:v>
                </c:pt>
                <c:pt idx="53">
                  <c:v>6.2</c:v>
                </c:pt>
                <c:pt idx="54">
                  <c:v>6.2</c:v>
                </c:pt>
                <c:pt idx="55">
                  <c:v>6.2</c:v>
                </c:pt>
                <c:pt idx="56">
                  <c:v>6.2</c:v>
                </c:pt>
                <c:pt idx="57">
                  <c:v>6.2</c:v>
                </c:pt>
                <c:pt idx="58">
                  <c:v>6.2</c:v>
                </c:pt>
                <c:pt idx="59">
                  <c:v>6.2</c:v>
                </c:pt>
                <c:pt idx="60">
                  <c:v>6.2</c:v>
                </c:pt>
                <c:pt idx="61">
                  <c:v>6.2</c:v>
                </c:pt>
                <c:pt idx="62">
                  <c:v>6.2</c:v>
                </c:pt>
                <c:pt idx="63">
                  <c:v>6.2</c:v>
                </c:pt>
                <c:pt idx="64">
                  <c:v>6.2</c:v>
                </c:pt>
                <c:pt idx="65">
                  <c:v>6.2</c:v>
                </c:pt>
                <c:pt idx="66">
                  <c:v>6.2</c:v>
                </c:pt>
                <c:pt idx="67">
                  <c:v>6.2</c:v>
                </c:pt>
                <c:pt idx="68">
                  <c:v>6.2</c:v>
                </c:pt>
                <c:pt idx="69">
                  <c:v>6.2</c:v>
                </c:pt>
                <c:pt idx="70">
                  <c:v>6.2</c:v>
                </c:pt>
                <c:pt idx="71">
                  <c:v>6.2</c:v>
                </c:pt>
                <c:pt idx="72">
                  <c:v>6.2</c:v>
                </c:pt>
                <c:pt idx="73">
                  <c:v>6.2</c:v>
                </c:pt>
                <c:pt idx="74">
                  <c:v>6.2</c:v>
                </c:pt>
                <c:pt idx="75">
                  <c:v>6.2</c:v>
                </c:pt>
                <c:pt idx="76">
                  <c:v>6.2</c:v>
                </c:pt>
                <c:pt idx="77">
                  <c:v>6.2</c:v>
                </c:pt>
                <c:pt idx="78">
                  <c:v>6.2</c:v>
                </c:pt>
                <c:pt idx="79">
                  <c:v>6.2</c:v>
                </c:pt>
                <c:pt idx="80">
                  <c:v>6.2</c:v>
                </c:pt>
                <c:pt idx="81">
                  <c:v>6.2</c:v>
                </c:pt>
                <c:pt idx="82">
                  <c:v>6.2</c:v>
                </c:pt>
                <c:pt idx="83">
                  <c:v>6.2</c:v>
                </c:pt>
                <c:pt idx="84">
                  <c:v>1.4248457811182578</c:v>
                </c:pt>
                <c:pt idx="85">
                  <c:v>3.3932933889000831</c:v>
                </c:pt>
                <c:pt idx="86">
                  <c:v>4.8912581931261512</c:v>
                </c:pt>
                <c:pt idx="87">
                  <c:v>3.7214264487478514</c:v>
                </c:pt>
                <c:pt idx="88">
                  <c:v>3.3333415706590954</c:v>
                </c:pt>
                <c:pt idx="89">
                  <c:v>3.4201321054605183</c:v>
                </c:pt>
                <c:pt idx="90">
                  <c:v>3.5075353728294614</c:v>
                </c:pt>
                <c:pt idx="91">
                  <c:v>3.5955593545367699</c:v>
                </c:pt>
                <c:pt idx="92">
                  <c:v>3.6842120323532752</c:v>
                </c:pt>
                <c:pt idx="93">
                  <c:v>3.7735013880498109</c:v>
                </c:pt>
                <c:pt idx="94">
                  <c:v>3.8634354033972045</c:v>
                </c:pt>
                <c:pt idx="95">
                  <c:v>3.9540220601662934</c:v>
                </c:pt>
                <c:pt idx="96">
                  <c:v>4.0452693401279118</c:v>
                </c:pt>
                <c:pt idx="97">
                  <c:v>4.1371852250528915</c:v>
                </c:pt>
                <c:pt idx="98">
                  <c:v>4.229777696712067</c:v>
                </c:pt>
                <c:pt idx="99">
                  <c:v>4.3230547368762684</c:v>
                </c:pt>
                <c:pt idx="100">
                  <c:v>4.4170243273163443</c:v>
                </c:pt>
                <c:pt idx="101">
                  <c:v>4.5116944498030991</c:v>
                </c:pt>
                <c:pt idx="102">
                  <c:v>4.6070730861073868</c:v>
                </c:pt>
                <c:pt idx="103">
                  <c:v>4.7031682180000374</c:v>
                </c:pt>
                <c:pt idx="104">
                  <c:v>4.7999878272518837</c:v>
                </c:pt>
                <c:pt idx="105">
                  <c:v>4.8975398956337477</c:v>
                </c:pt>
                <c:pt idx="106">
                  <c:v>4.9958324049164942</c:v>
                </c:pt>
                <c:pt idx="107">
                  <c:v>5.0948733368709354</c:v>
                </c:pt>
                <c:pt idx="108">
                  <c:v>5.1946706732678996</c:v>
                </c:pt>
                <c:pt idx="109">
                  <c:v>5.2952323958782017</c:v>
                </c:pt>
                <c:pt idx="110">
                  <c:v>5.3965664864727465</c:v>
                </c:pt>
                <c:pt idx="111">
                  <c:v>5.4986809268222929</c:v>
                </c:pt>
                <c:pt idx="112">
                  <c:v>5.601583698697703</c:v>
                </c:pt>
                <c:pt idx="113">
                  <c:v>5.7052827838697944</c:v>
                </c:pt>
                <c:pt idx="114">
                  <c:v>5.8097861641094255</c:v>
                </c:pt>
                <c:pt idx="115">
                  <c:v>5.9151018211874149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6.2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AC6-496E-B40D-CC836A59A09B}"/>
            </c:ext>
          </c:extLst>
        </c:ser>
        <c:ser>
          <c:idx val="1"/>
          <c:order val="1"/>
          <c:tx>
            <c:v>Total Power</c:v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Data!$I$7:$I$165</c:f>
              <c:numCache>
                <c:formatCode>0.00</c:formatCode>
                <c:ptCount val="159"/>
                <c:pt idx="0">
                  <c:v>0</c:v>
                </c:pt>
                <c:pt idx="1">
                  <c:v>1.5845973832571001</c:v>
                </c:pt>
                <c:pt idx="2">
                  <c:v>3.1826235578977355</c:v>
                </c:pt>
                <c:pt idx="3">
                  <c:v>4.7874498439198199</c:v>
                </c:pt>
                <c:pt idx="4">
                  <c:v>6.406051462869133</c:v>
                </c:pt>
                <c:pt idx="5">
                  <c:v>8.0386669486491762</c:v>
                </c:pt>
                <c:pt idx="6">
                  <c:v>9.6855410849600485</c:v>
                </c:pt>
                <c:pt idx="7">
                  <c:v>11.346925125555599</c:v>
                </c:pt>
                <c:pt idx="8">
                  <c:v>13.023077024289776</c:v>
                </c:pt>
                <c:pt idx="9">
                  <c:v>14.714261675478969</c:v>
                </c:pt>
                <c:pt idx="10">
                  <c:v>16.420751165140462</c:v>
                </c:pt>
                <c:pt idx="11">
                  <c:v>18.142825033702973</c:v>
                </c:pt>
                <c:pt idx="12">
                  <c:v>19.880770550823662</c:v>
                </c:pt>
                <c:pt idx="13">
                  <c:v>21.634883002987337</c:v>
                </c:pt>
                <c:pt idx="14">
                  <c:v>23.405465994607948</c:v>
                </c:pt>
                <c:pt idx="15">
                  <c:v>25.192831763400317</c:v>
                </c:pt>
                <c:pt idx="16">
                  <c:v>26.997301510841417</c:v>
                </c:pt>
                <c:pt idx="17">
                  <c:v>28.819205748595959</c:v>
                </c:pt>
                <c:pt idx="18">
                  <c:v>30.658884661840787</c:v>
                </c:pt>
                <c:pt idx="19">
                  <c:v>32.516688490487049</c:v>
                </c:pt>
                <c:pt idx="20">
                  <c:v>34.392977929368591</c:v>
                </c:pt>
                <c:pt idx="21">
                  <c:v>36.288124548540402</c:v>
                </c:pt>
                <c:pt idx="22">
                  <c:v>38.202511234911924</c:v>
                </c:pt>
                <c:pt idx="23">
                  <c:v>40.136532656528281</c:v>
                </c:pt>
                <c:pt idx="24">
                  <c:v>42.090595750907504</c:v>
                </c:pt>
                <c:pt idx="25">
                  <c:v>44.065120238945148</c:v>
                </c:pt>
                <c:pt idx="26">
                  <c:v>46.060539166009647</c:v>
                </c:pt>
                <c:pt idx="27">
                  <c:v>48.077299471973227</c:v>
                </c:pt>
                <c:pt idx="28">
                  <c:v>50.115862592055336</c:v>
                </c:pt>
                <c:pt idx="29">
                  <c:v>52.176705090498999</c:v>
                </c:pt>
                <c:pt idx="30">
                  <c:v>54.260319329256951</c:v>
                </c:pt>
                <c:pt idx="31">
                  <c:v>56.367214174034551</c:v>
                </c:pt>
                <c:pt idx="32">
                  <c:v>58.497915740222062</c:v>
                </c:pt>
                <c:pt idx="33">
                  <c:v>60.652968181451719</c:v>
                </c:pt>
                <c:pt idx="34">
                  <c:v>62.83293452373605</c:v>
                </c:pt>
                <c:pt idx="35">
                  <c:v>65.038397548386286</c:v>
                </c:pt>
                <c:pt idx="36">
                  <c:v>67.269960727174393</c:v>
                </c:pt>
                <c:pt idx="37">
                  <c:v>69.528249213492899</c:v>
                </c:pt>
                <c:pt idx="38">
                  <c:v>71.813910893584961</c:v>
                </c:pt>
                <c:pt idx="39">
                  <c:v>74.127617502267114</c:v>
                </c:pt>
                <c:pt idx="40">
                  <c:v>76.470065807951528</c:v>
                </c:pt>
                <c:pt idx="41">
                  <c:v>78.841978872198013</c:v>
                </c:pt>
                <c:pt idx="42">
                  <c:v>81.244107389492228</c:v>
                </c:pt>
                <c:pt idx="43">
                  <c:v>83.677231113461204</c:v>
                </c:pt>
                <c:pt idx="44">
                  <c:v>86.142160376305597</c:v>
                </c:pt>
                <c:pt idx="45">
                  <c:v>88.639737708856529</c:v>
                </c:pt>
                <c:pt idx="46">
                  <c:v>91.170839569361164</c:v>
                </c:pt>
                <c:pt idx="47">
                  <c:v>93.736378189872667</c:v>
                </c:pt>
                <c:pt idx="48">
                  <c:v>96.337303549977435</c:v>
                </c:pt>
                <c:pt idx="49">
                  <c:v>98.974605488545208</c:v>
                </c:pt>
                <c:pt idx="50">
                  <c:v>101.64931596524869</c:v>
                </c:pt>
                <c:pt idx="51">
                  <c:v>104.36251148478244</c:v>
                </c:pt>
                <c:pt idx="52">
                  <c:v>107.11531569803202</c:v>
                </c:pt>
                <c:pt idx="53">
                  <c:v>109.90890219592232</c:v>
                </c:pt>
                <c:pt idx="54">
                  <c:v>112.74449751332978</c:v>
                </c:pt>
                <c:pt idx="55">
                  <c:v>115.6233843623007</c:v>
                </c:pt>
                <c:pt idx="56">
                  <c:v>118.54690511590684</c:v>
                </c:pt>
                <c:pt idx="57">
                  <c:v>121.51646556642015</c:v>
                </c:pt>
                <c:pt idx="58">
                  <c:v>124.53353898414169</c:v>
                </c:pt>
                <c:pt idx="59">
                  <c:v>127.59967050621641</c:v>
                </c:pt>
                <c:pt idx="60">
                  <c:v>130.71648188816013</c:v>
                </c:pt>
                <c:pt idx="61">
                  <c:v>133.88567665467434</c:v>
                </c:pt>
                <c:pt idx="62">
                  <c:v>137.10904569070161</c:v>
                </c:pt>
                <c:pt idx="63">
                  <c:v>140.38847331865981</c:v>
                </c:pt>
                <c:pt idx="64">
                  <c:v>143.72594391348451</c:v>
                </c:pt>
                <c:pt idx="65">
                  <c:v>147.12354911362138</c:v>
                </c:pt>
                <c:pt idx="66">
                  <c:v>150.58349569357728</c:v>
                </c:pt>
                <c:pt idx="67">
                  <c:v>154.10811417222394</c:v>
                </c:pt>
                <c:pt idx="68">
                  <c:v>157.69986824094005</c:v>
                </c:pt>
                <c:pt idx="69">
                  <c:v>161.36136510710696</c:v>
                </c:pt>
                <c:pt idx="70">
                  <c:v>165.09536686171282</c:v>
                </c:pt>
                <c:pt idx="71">
                  <c:v>168.90480299519959</c:v>
                </c:pt>
                <c:pt idx="72">
                  <c:v>172.79278420360362</c:v>
                </c:pt>
                <c:pt idx="73">
                  <c:v>176.76261764797405</c:v>
                </c:pt>
                <c:pt idx="74">
                  <c:v>180.81782385458902</c:v>
                </c:pt>
                <c:pt idx="75">
                  <c:v>184.96215547233837</c:v>
                </c:pt>
                <c:pt idx="76">
                  <c:v>189.19961813767759</c:v>
                </c:pt>
                <c:pt idx="77">
                  <c:v>193.53449373785222</c:v>
                </c:pt>
                <c:pt idx="78">
                  <c:v>197.97136641097208</c:v>
                </c:pt>
                <c:pt idx="79">
                  <c:v>202.51515167862499</c:v>
                </c:pt>
                <c:pt idx="80">
                  <c:v>207.17112917510883</c:v>
                </c:pt>
                <c:pt idx="81">
                  <c:v>211.94497951960491</c:v>
                </c:pt>
                <c:pt idx="82">
                  <c:v>216.84282597694505</c:v>
                </c:pt>
                <c:pt idx="83">
                  <c:v>221.67787953098596</c:v>
                </c:pt>
                <c:pt idx="84">
                  <c:v>225.44922130313788</c:v>
                </c:pt>
                <c:pt idx="85">
                  <c:v>228.14303685467496</c:v>
                </c:pt>
                <c:pt idx="86">
                  <c:v>230.41492948850143</c:v>
                </c:pt>
                <c:pt idx="87">
                  <c:v>232.58236728858873</c:v>
                </c:pt>
                <c:pt idx="88">
                  <c:v>234.70109862125835</c:v>
                </c:pt>
                <c:pt idx="89">
                  <c:v>236.77326443013303</c:v>
                </c:pt>
                <c:pt idx="90">
                  <c:v>238.80086753344051</c:v>
                </c:pt>
                <c:pt idx="91">
                  <c:v>240.78578425562574</c:v>
                </c:pt>
                <c:pt idx="92">
                  <c:v>242.72977485982776</c:v>
                </c:pt>
                <c:pt idx="93">
                  <c:v>244.63449292657114</c:v>
                </c:pt>
                <c:pt idx="94">
                  <c:v>246.50149380387407</c:v>
                </c:pt>
                <c:pt idx="95">
                  <c:v>248.33224223695751</c:v>
                </c:pt>
                <c:pt idx="96">
                  <c:v>250.12811927131557</c:v>
                </c:pt>
                <c:pt idx="97">
                  <c:v>251.89042851063888</c:v>
                </c:pt>
                <c:pt idx="98">
                  <c:v>253.62040180061683</c:v>
                </c:pt>
                <c:pt idx="99">
                  <c:v>255.31920440068527</c:v>
                </c:pt>
                <c:pt idx="100">
                  <c:v>256.98793969809759</c:v>
                </c:pt>
                <c:pt idx="101">
                  <c:v>258.62765351207668</c:v>
                </c:pt>
                <c:pt idx="102">
                  <c:v>260.23933803009032</c:v>
                </c:pt>
                <c:pt idx="103">
                  <c:v>261.82393541334744</c:v>
                </c:pt>
                <c:pt idx="104">
                  <c:v>263.38234110431932</c:v>
                </c:pt>
                <c:pt idx="105">
                  <c:v>264.91540686535672</c:v>
                </c:pt>
                <c:pt idx="106">
                  <c:v>266.4239435742175</c:v>
                </c:pt>
                <c:pt idx="107">
                  <c:v>267.90872379947416</c:v>
                </c:pt>
                <c:pt idx="108">
                  <c:v>269.37048417627722</c:v>
                </c:pt>
                <c:pt idx="109">
                  <c:v>270.80992760076271</c:v>
                </c:pt>
                <c:pt idx="110">
                  <c:v>272.22772525946641</c:v>
                </c:pt>
                <c:pt idx="111">
                  <c:v>273.62451850841154</c:v>
                </c:pt>
                <c:pt idx="112">
                  <c:v>275.00092061503631</c:v>
                </c:pt>
                <c:pt idx="113">
                  <c:v>276.35751837480319</c:v>
                </c:pt>
                <c:pt idx="114">
                  <c:v>277.69487361315493</c:v>
                </c:pt>
                <c:pt idx="115">
                  <c:v>279.01352458243883</c:v>
                </c:pt>
                <c:pt idx="116">
                  <c:v>280.3139872624912</c:v>
                </c:pt>
                <c:pt idx="117">
                  <c:v>281.59675657274693</c:v>
                </c:pt>
                <c:pt idx="118">
                  <c:v>282.86230750299927</c:v>
                </c:pt>
                <c:pt idx="119">
                  <c:v>284.11109616927473</c:v>
                </c:pt>
                <c:pt idx="120">
                  <c:v>285.34356080069693</c:v>
                </c:pt>
                <c:pt idx="121">
                  <c:v>286.56012266268141</c:v>
                </c:pt>
                <c:pt idx="122">
                  <c:v>287.76118692132849</c:v>
                </c:pt>
                <c:pt idx="123">
                  <c:v>288.94714345345176</c:v>
                </c:pt>
                <c:pt idx="124">
                  <c:v>290.11836760629399</c:v>
                </c:pt>
                <c:pt idx="125">
                  <c:v>291.27522091063508</c:v>
                </c:pt>
                <c:pt idx="126">
                  <c:v>292.41805175068112</c:v>
                </c:pt>
                <c:pt idx="127">
                  <c:v>293.54719599384038</c:v>
                </c:pt>
                <c:pt idx="128">
                  <c:v>294.66297758323441</c:v>
                </c:pt>
                <c:pt idx="129">
                  <c:v>295.76570909555954</c:v>
                </c:pt>
                <c:pt idx="130">
                  <c:v>296.85569226670174</c:v>
                </c:pt>
                <c:pt idx="131">
                  <c:v>297.93321848731659</c:v>
                </c:pt>
                <c:pt idx="132">
                  <c:v>298.99856927041037</c:v>
                </c:pt>
                <c:pt idx="133">
                  <c:v>300.05201669279916</c:v>
                </c:pt>
                <c:pt idx="134">
                  <c:v>301.09382381217813</c:v>
                </c:pt>
                <c:pt idx="135">
                  <c:v>302.12424506139996</c:v>
                </c:pt>
                <c:pt idx="136">
                  <c:v>303.14352662144103</c:v>
                </c:pt>
                <c:pt idx="137">
                  <c:v>304.1519067744228</c:v>
                </c:pt>
                <c:pt idx="138">
                  <c:v>305.14961623795506</c:v>
                </c:pt>
                <c:pt idx="139">
                  <c:v>306.13687848197389</c:v>
                </c:pt>
                <c:pt idx="140">
                  <c:v>307.11391002916349</c:v>
                </c:pt>
                <c:pt idx="141">
                  <c:v>308.08342656733186</c:v>
                </c:pt>
                <c:pt idx="142">
                  <c:v>309.05047695200199</c:v>
                </c:pt>
                <c:pt idx="143">
                  <c:v>310.01752733667212</c:v>
                </c:pt>
                <c:pt idx="144">
                  <c:v>310.98457772134225</c:v>
                </c:pt>
                <c:pt idx="145">
                  <c:v>311.95162810601238</c:v>
                </c:pt>
                <c:pt idx="146">
                  <c:v>312.91867849068251</c:v>
                </c:pt>
                <c:pt idx="147">
                  <c:v>313.88572887535264</c:v>
                </c:pt>
                <c:pt idx="148">
                  <c:v>314.85277926002277</c:v>
                </c:pt>
                <c:pt idx="149">
                  <c:v>315.8198296446929</c:v>
                </c:pt>
                <c:pt idx="150">
                  <c:v>316.78688002936303</c:v>
                </c:pt>
                <c:pt idx="151">
                  <c:v>317.75393041403316</c:v>
                </c:pt>
                <c:pt idx="152">
                  <c:v>318.72098079870329</c:v>
                </c:pt>
                <c:pt idx="153">
                  <c:v>319.68803118337343</c:v>
                </c:pt>
                <c:pt idx="154">
                  <c:v>320.65508156804356</c:v>
                </c:pt>
                <c:pt idx="155">
                  <c:v>321.62213195271369</c:v>
                </c:pt>
                <c:pt idx="156">
                  <c:v>322.58918233738376</c:v>
                </c:pt>
                <c:pt idx="157">
                  <c:v>323.55623272205384</c:v>
                </c:pt>
                <c:pt idx="158">
                  <c:v>325.19623272205382</c:v>
                </c:pt>
              </c:numCache>
            </c:numRef>
          </c:xVal>
          <c:yVal>
            <c:numRef>
              <c:f>Data!$U$7:$U$165</c:f>
              <c:numCache>
                <c:formatCode>0.00</c:formatCode>
                <c:ptCount val="159"/>
                <c:pt idx="0">
                  <c:v>48.326128088417036</c:v>
                </c:pt>
                <c:pt idx="1">
                  <c:v>48.326128088417036</c:v>
                </c:pt>
                <c:pt idx="2">
                  <c:v>47.070043830416843</c:v>
                </c:pt>
                <c:pt idx="3">
                  <c:v>47.511352618106606</c:v>
                </c:pt>
                <c:pt idx="4">
                  <c:v>46.888138695289911</c:v>
                </c:pt>
                <c:pt idx="5">
                  <c:v>46.484729229361413</c:v>
                </c:pt>
                <c:pt idx="6">
                  <c:v>46.081403804999994</c:v>
                </c:pt>
                <c:pt idx="7">
                  <c:v>45.678161424484301</c:v>
                </c:pt>
                <c:pt idx="8">
                  <c:v>45.275001090092999</c:v>
                </c:pt>
                <c:pt idx="9">
                  <c:v>44.871921804104694</c:v>
                </c:pt>
                <c:pt idx="10">
                  <c:v>44.46892256879805</c:v>
                </c:pt>
                <c:pt idx="11">
                  <c:v>44.066002386451721</c:v>
                </c:pt>
                <c:pt idx="12">
                  <c:v>43.663160259344359</c:v>
                </c:pt>
                <c:pt idx="13">
                  <c:v>43.260395189754576</c:v>
                </c:pt>
                <c:pt idx="14">
                  <c:v>42.857706179961056</c:v>
                </c:pt>
                <c:pt idx="15">
                  <c:v>42.455092232242421</c:v>
                </c:pt>
                <c:pt idx="16">
                  <c:v>42.052552348877327</c:v>
                </c:pt>
                <c:pt idx="17">
                  <c:v>41.650085532144423</c:v>
                </c:pt>
                <c:pt idx="18">
                  <c:v>41.247690784322337</c:v>
                </c:pt>
                <c:pt idx="19">
                  <c:v>40.845367107689725</c:v>
                </c:pt>
                <c:pt idx="20">
                  <c:v>40.443113504525236</c:v>
                </c:pt>
                <c:pt idx="21">
                  <c:v>40.040928977107527</c:v>
                </c:pt>
                <c:pt idx="22">
                  <c:v>39.638812527715224</c:v>
                </c:pt>
                <c:pt idx="23">
                  <c:v>39.236763158626978</c:v>
                </c:pt>
                <c:pt idx="24">
                  <c:v>38.83477987212143</c:v>
                </c:pt>
                <c:pt idx="25">
                  <c:v>38.432861670477244</c:v>
                </c:pt>
                <c:pt idx="26">
                  <c:v>38.031007555973048</c:v>
                </c:pt>
                <c:pt idx="27">
                  <c:v>37.629216530887504</c:v>
                </c:pt>
                <c:pt idx="28">
                  <c:v>37.227487597499234</c:v>
                </c:pt>
                <c:pt idx="29">
                  <c:v>36.825819758086901</c:v>
                </c:pt>
                <c:pt idx="30">
                  <c:v>36.424212014929154</c:v>
                </c:pt>
                <c:pt idx="31">
                  <c:v>36.022663370304628</c:v>
                </c:pt>
                <c:pt idx="32">
                  <c:v>35.621172826491971</c:v>
                </c:pt>
                <c:pt idx="33">
                  <c:v>35.219739385769834</c:v>
                </c:pt>
                <c:pt idx="34">
                  <c:v>34.818362050416866</c:v>
                </c:pt>
                <c:pt idx="35">
                  <c:v>34.417039822711708</c:v>
                </c:pt>
                <c:pt idx="36">
                  <c:v>34.015771704933002</c:v>
                </c:pt>
                <c:pt idx="37">
                  <c:v>33.614556699359383</c:v>
                </c:pt>
                <c:pt idx="38">
                  <c:v>33.213393808269522</c:v>
                </c:pt>
                <c:pt idx="39">
                  <c:v>32.812282033942054</c:v>
                </c:pt>
                <c:pt idx="40">
                  <c:v>32.411220378655628</c:v>
                </c:pt>
                <c:pt idx="41">
                  <c:v>32.010207844688878</c:v>
                </c:pt>
                <c:pt idx="42">
                  <c:v>31.609243434320458</c:v>
                </c:pt>
                <c:pt idx="43">
                  <c:v>31.208326149829023</c:v>
                </c:pt>
                <c:pt idx="44">
                  <c:v>30.807454993493199</c:v>
                </c:pt>
                <c:pt idx="45">
                  <c:v>30.406628967591651</c:v>
                </c:pt>
                <c:pt idx="46">
                  <c:v>30.005847074403004</c:v>
                </c:pt>
                <c:pt idx="47">
                  <c:v>29.605108316205918</c:v>
                </c:pt>
                <c:pt idx="48">
                  <c:v>29.204411695279045</c:v>
                </c:pt>
                <c:pt idx="49">
                  <c:v>28.803756213901018</c:v>
                </c:pt>
                <c:pt idx="50">
                  <c:v>28.403140874350488</c:v>
                </c:pt>
                <c:pt idx="51">
                  <c:v>28.002564678906101</c:v>
                </c:pt>
                <c:pt idx="52">
                  <c:v>27.602026629846506</c:v>
                </c:pt>
                <c:pt idx="53">
                  <c:v>27.201525729450342</c:v>
                </c:pt>
                <c:pt idx="54">
                  <c:v>26.801060979996254</c:v>
                </c:pt>
                <c:pt idx="55">
                  <c:v>26.400631383762885</c:v>
                </c:pt>
                <c:pt idx="56">
                  <c:v>26.000235943028901</c:v>
                </c:pt>
                <c:pt idx="57">
                  <c:v>25.599873660072934</c:v>
                </c:pt>
                <c:pt idx="58">
                  <c:v>25.199543537173625</c:v>
                </c:pt>
                <c:pt idx="59">
                  <c:v>24.79924457660962</c:v>
                </c:pt>
                <c:pt idx="60">
                  <c:v>24.398975780659576</c:v>
                </c:pt>
                <c:pt idx="61">
                  <c:v>23.998736151602138</c:v>
                </c:pt>
                <c:pt idx="62">
                  <c:v>24.096637796715939</c:v>
                </c:pt>
                <c:pt idx="63">
                  <c:v>23.688010913279633</c:v>
                </c:pt>
                <c:pt idx="64">
                  <c:v>23.279410203571864</c:v>
                </c:pt>
                <c:pt idx="65">
                  <c:v>22.870834669871286</c:v>
                </c:pt>
                <c:pt idx="66">
                  <c:v>22.462283314456528</c:v>
                </c:pt>
                <c:pt idx="67">
                  <c:v>22.053755139606256</c:v>
                </c:pt>
                <c:pt idx="68">
                  <c:v>21.645249147599092</c:v>
                </c:pt>
                <c:pt idx="69">
                  <c:v>21.236764340713705</c:v>
                </c:pt>
                <c:pt idx="70">
                  <c:v>20.828299721228728</c:v>
                </c:pt>
                <c:pt idx="71">
                  <c:v>20.419854291422816</c:v>
                </c:pt>
                <c:pt idx="72">
                  <c:v>20.0114270535746</c:v>
                </c:pt>
                <c:pt idx="73">
                  <c:v>19.603017009962738</c:v>
                </c:pt>
                <c:pt idx="74">
                  <c:v>19.194623162865874</c:v>
                </c:pt>
                <c:pt idx="75">
                  <c:v>18.78624451456265</c:v>
                </c:pt>
                <c:pt idx="76">
                  <c:v>18.377880067331716</c:v>
                </c:pt>
                <c:pt idx="77">
                  <c:v>17.969528823451711</c:v>
                </c:pt>
                <c:pt idx="78">
                  <c:v>17.561189785201293</c:v>
                </c:pt>
                <c:pt idx="79">
                  <c:v>17.152861954859098</c:v>
                </c:pt>
                <c:pt idx="80">
                  <c:v>16.744544334703775</c:v>
                </c:pt>
                <c:pt idx="81">
                  <c:v>16.336235927013963</c:v>
                </c:pt>
                <c:pt idx="82">
                  <c:v>15.927935734068321</c:v>
                </c:pt>
                <c:pt idx="83">
                  <c:v>15.518739476010387</c:v>
                </c:pt>
                <c:pt idx="84">
                  <c:v>1.4248457811182578</c:v>
                </c:pt>
                <c:pt idx="85">
                  <c:v>3.3932933889000831</c:v>
                </c:pt>
                <c:pt idx="86">
                  <c:v>4.8912581931261512</c:v>
                </c:pt>
                <c:pt idx="87">
                  <c:v>3.7214264487478514</c:v>
                </c:pt>
                <c:pt idx="88">
                  <c:v>3.3333415706590954</c:v>
                </c:pt>
                <c:pt idx="89">
                  <c:v>3.4201321054605183</c:v>
                </c:pt>
                <c:pt idx="90">
                  <c:v>3.5075353728294614</c:v>
                </c:pt>
                <c:pt idx="91">
                  <c:v>3.5955593545367699</c:v>
                </c:pt>
                <c:pt idx="92">
                  <c:v>3.6842120323532752</c:v>
                </c:pt>
                <c:pt idx="93">
                  <c:v>3.7735013880498109</c:v>
                </c:pt>
                <c:pt idx="94">
                  <c:v>3.8634354033972045</c:v>
                </c:pt>
                <c:pt idx="95">
                  <c:v>3.9540220601662934</c:v>
                </c:pt>
                <c:pt idx="96">
                  <c:v>4.0452693401279118</c:v>
                </c:pt>
                <c:pt idx="97">
                  <c:v>4.1371852250528915</c:v>
                </c:pt>
                <c:pt idx="98">
                  <c:v>4.229777696712067</c:v>
                </c:pt>
                <c:pt idx="99">
                  <c:v>4.3230547368762684</c:v>
                </c:pt>
                <c:pt idx="100">
                  <c:v>4.4170243273163443</c:v>
                </c:pt>
                <c:pt idx="101">
                  <c:v>4.5116944498030991</c:v>
                </c:pt>
                <c:pt idx="102">
                  <c:v>4.6070730861073868</c:v>
                </c:pt>
                <c:pt idx="103">
                  <c:v>4.7031682180000374</c:v>
                </c:pt>
                <c:pt idx="104">
                  <c:v>4.7999878272518837</c:v>
                </c:pt>
                <c:pt idx="105">
                  <c:v>4.8975398956337477</c:v>
                </c:pt>
                <c:pt idx="106">
                  <c:v>4.9958324049164942</c:v>
                </c:pt>
                <c:pt idx="107">
                  <c:v>5.0948733368709354</c:v>
                </c:pt>
                <c:pt idx="108">
                  <c:v>5.1946706732678996</c:v>
                </c:pt>
                <c:pt idx="109">
                  <c:v>5.2952323958782017</c:v>
                </c:pt>
                <c:pt idx="110">
                  <c:v>5.3965664864727465</c:v>
                </c:pt>
                <c:pt idx="111">
                  <c:v>5.4986809268222929</c:v>
                </c:pt>
                <c:pt idx="112">
                  <c:v>5.601583698697703</c:v>
                </c:pt>
                <c:pt idx="113">
                  <c:v>5.7052827838697944</c:v>
                </c:pt>
                <c:pt idx="114">
                  <c:v>5.8097861641094255</c:v>
                </c:pt>
                <c:pt idx="115">
                  <c:v>5.9151018211874149</c:v>
                </c:pt>
                <c:pt idx="116">
                  <c:v>-43.59792442684644</c:v>
                </c:pt>
                <c:pt idx="117">
                  <c:v>-44.180115300830899</c:v>
                </c:pt>
                <c:pt idx="118">
                  <c:v>-44.761469952664527</c:v>
                </c:pt>
                <c:pt idx="119">
                  <c:v>-45.341980400576404</c:v>
                </c:pt>
                <c:pt idx="120">
                  <c:v>-45.921638662795793</c:v>
                </c:pt>
                <c:pt idx="121">
                  <c:v>-46.500436757551789</c:v>
                </c:pt>
                <c:pt idx="122">
                  <c:v>-47.078366703073605</c:v>
                </c:pt>
                <c:pt idx="123">
                  <c:v>-47.655420517590443</c:v>
                </c:pt>
                <c:pt idx="124">
                  <c:v>-48.231590219331352</c:v>
                </c:pt>
                <c:pt idx="125">
                  <c:v>-48.806867826525597</c:v>
                </c:pt>
                <c:pt idx="126">
                  <c:v>-49.3812453574023</c:v>
                </c:pt>
                <c:pt idx="127">
                  <c:v>-49.954714830190646</c:v>
                </c:pt>
                <c:pt idx="128">
                  <c:v>-50.527268263119758</c:v>
                </c:pt>
                <c:pt idx="129">
                  <c:v>-42.487450774418917</c:v>
                </c:pt>
                <c:pt idx="130">
                  <c:v>-42.956837042317176</c:v>
                </c:pt>
                <c:pt idx="131">
                  <c:v>-43.42528332504375</c:v>
                </c:pt>
                <c:pt idx="132">
                  <c:v>-43.892781640827771</c:v>
                </c:pt>
                <c:pt idx="133">
                  <c:v>-44.359324007898408</c:v>
                </c:pt>
                <c:pt idx="134">
                  <c:v>-44.824902444484898</c:v>
                </c:pt>
                <c:pt idx="135">
                  <c:v>-45.289508968816349</c:v>
                </c:pt>
                <c:pt idx="136">
                  <c:v>-45.753135599121954</c:v>
                </c:pt>
                <c:pt idx="137">
                  <c:v>-46.215774353630806</c:v>
                </c:pt>
                <c:pt idx="138">
                  <c:v>-46.677417250572198</c:v>
                </c:pt>
                <c:pt idx="139">
                  <c:v>-47.138056308175202</c:v>
                </c:pt>
                <c:pt idx="140">
                  <c:v>-47.597683544668989</c:v>
                </c:pt>
                <c:pt idx="141">
                  <c:v>-48.05938990158247</c:v>
                </c:pt>
                <c:pt idx="142">
                  <c:v>-48.896914647666541</c:v>
                </c:pt>
                <c:pt idx="143">
                  <c:v>-49.494629193714914</c:v>
                </c:pt>
                <c:pt idx="144">
                  <c:v>-49.494629193714914</c:v>
                </c:pt>
                <c:pt idx="145">
                  <c:v>-49.494629193714914</c:v>
                </c:pt>
                <c:pt idx="146">
                  <c:v>-49.494629193714914</c:v>
                </c:pt>
                <c:pt idx="147">
                  <c:v>-49.494629193714914</c:v>
                </c:pt>
                <c:pt idx="148">
                  <c:v>-49.494629193714914</c:v>
                </c:pt>
                <c:pt idx="149">
                  <c:v>-49.494629193714914</c:v>
                </c:pt>
                <c:pt idx="150">
                  <c:v>-49.494629193714914</c:v>
                </c:pt>
                <c:pt idx="151">
                  <c:v>-49.494629193714914</c:v>
                </c:pt>
                <c:pt idx="152">
                  <c:v>-49.494629193714914</c:v>
                </c:pt>
                <c:pt idx="153">
                  <c:v>-49.494629193714914</c:v>
                </c:pt>
                <c:pt idx="154">
                  <c:v>-49.494629193714914</c:v>
                </c:pt>
                <c:pt idx="155">
                  <c:v>-49.494629193714914</c:v>
                </c:pt>
                <c:pt idx="156">
                  <c:v>-49.494629193714914</c:v>
                </c:pt>
                <c:pt idx="157">
                  <c:v>-49.494629193714914</c:v>
                </c:pt>
                <c:pt idx="158">
                  <c:v>17.695229616203822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96C-4092-9CD1-2D91E84D782B}"/>
            </c:ext>
          </c:extLst>
        </c:ser>
        <c:ser>
          <c:idx val="2"/>
          <c:order val="2"/>
          <c:tx>
            <c:v>EV Motor Power</c:v>
          </c:tx>
          <c:spPr>
            <a:ln w="19050" cap="rnd">
              <a:solidFill>
                <a:srgbClr val="FFFF00"/>
              </a:solidFill>
              <a:round/>
            </a:ln>
            <a:effectLst/>
          </c:spPr>
          <c:marker>
            <c:symbol val="none"/>
          </c:marker>
          <c:xVal>
            <c:numRef>
              <c:f>Data!$I$7:$I$165</c:f>
              <c:numCache>
                <c:formatCode>0.00</c:formatCode>
                <c:ptCount val="159"/>
                <c:pt idx="0">
                  <c:v>0</c:v>
                </c:pt>
                <c:pt idx="1">
                  <c:v>1.5845973832571001</c:v>
                </c:pt>
                <c:pt idx="2">
                  <c:v>3.1826235578977355</c:v>
                </c:pt>
                <c:pt idx="3">
                  <c:v>4.7874498439198199</c:v>
                </c:pt>
                <c:pt idx="4">
                  <c:v>6.406051462869133</c:v>
                </c:pt>
                <c:pt idx="5">
                  <c:v>8.0386669486491762</c:v>
                </c:pt>
                <c:pt idx="6">
                  <c:v>9.6855410849600485</c:v>
                </c:pt>
                <c:pt idx="7">
                  <c:v>11.346925125555599</c:v>
                </c:pt>
                <c:pt idx="8">
                  <c:v>13.023077024289776</c:v>
                </c:pt>
                <c:pt idx="9">
                  <c:v>14.714261675478969</c:v>
                </c:pt>
                <c:pt idx="10">
                  <c:v>16.420751165140462</c:v>
                </c:pt>
                <c:pt idx="11">
                  <c:v>18.142825033702973</c:v>
                </c:pt>
                <c:pt idx="12">
                  <c:v>19.880770550823662</c:v>
                </c:pt>
                <c:pt idx="13">
                  <c:v>21.634883002987337</c:v>
                </c:pt>
                <c:pt idx="14">
                  <c:v>23.405465994607948</c:v>
                </c:pt>
                <c:pt idx="15">
                  <c:v>25.192831763400317</c:v>
                </c:pt>
                <c:pt idx="16">
                  <c:v>26.997301510841417</c:v>
                </c:pt>
                <c:pt idx="17">
                  <c:v>28.819205748595959</c:v>
                </c:pt>
                <c:pt idx="18">
                  <c:v>30.658884661840787</c:v>
                </c:pt>
                <c:pt idx="19">
                  <c:v>32.516688490487049</c:v>
                </c:pt>
                <c:pt idx="20">
                  <c:v>34.392977929368591</c:v>
                </c:pt>
                <c:pt idx="21">
                  <c:v>36.288124548540402</c:v>
                </c:pt>
                <c:pt idx="22">
                  <c:v>38.202511234911924</c:v>
                </c:pt>
                <c:pt idx="23">
                  <c:v>40.136532656528281</c:v>
                </c:pt>
                <c:pt idx="24">
                  <c:v>42.090595750907504</c:v>
                </c:pt>
                <c:pt idx="25">
                  <c:v>44.065120238945148</c:v>
                </c:pt>
                <c:pt idx="26">
                  <c:v>46.060539166009647</c:v>
                </c:pt>
                <c:pt idx="27">
                  <c:v>48.077299471973227</c:v>
                </c:pt>
                <c:pt idx="28">
                  <c:v>50.115862592055336</c:v>
                </c:pt>
                <c:pt idx="29">
                  <c:v>52.176705090498999</c:v>
                </c:pt>
                <c:pt idx="30">
                  <c:v>54.260319329256951</c:v>
                </c:pt>
                <c:pt idx="31">
                  <c:v>56.367214174034551</c:v>
                </c:pt>
                <c:pt idx="32">
                  <c:v>58.497915740222062</c:v>
                </c:pt>
                <c:pt idx="33">
                  <c:v>60.652968181451719</c:v>
                </c:pt>
                <c:pt idx="34">
                  <c:v>62.83293452373605</c:v>
                </c:pt>
                <c:pt idx="35">
                  <c:v>65.038397548386286</c:v>
                </c:pt>
                <c:pt idx="36">
                  <c:v>67.269960727174393</c:v>
                </c:pt>
                <c:pt idx="37">
                  <c:v>69.528249213492899</c:v>
                </c:pt>
                <c:pt idx="38">
                  <c:v>71.813910893584961</c:v>
                </c:pt>
                <c:pt idx="39">
                  <c:v>74.127617502267114</c:v>
                </c:pt>
                <c:pt idx="40">
                  <c:v>76.470065807951528</c:v>
                </c:pt>
                <c:pt idx="41">
                  <c:v>78.841978872198013</c:v>
                </c:pt>
                <c:pt idx="42">
                  <c:v>81.244107389492228</c:v>
                </c:pt>
                <c:pt idx="43">
                  <c:v>83.677231113461204</c:v>
                </c:pt>
                <c:pt idx="44">
                  <c:v>86.142160376305597</c:v>
                </c:pt>
                <c:pt idx="45">
                  <c:v>88.639737708856529</c:v>
                </c:pt>
                <c:pt idx="46">
                  <c:v>91.170839569361164</c:v>
                </c:pt>
                <c:pt idx="47">
                  <c:v>93.736378189872667</c:v>
                </c:pt>
                <c:pt idx="48">
                  <c:v>96.337303549977435</c:v>
                </c:pt>
                <c:pt idx="49">
                  <c:v>98.974605488545208</c:v>
                </c:pt>
                <c:pt idx="50">
                  <c:v>101.64931596524869</c:v>
                </c:pt>
                <c:pt idx="51">
                  <c:v>104.36251148478244</c:v>
                </c:pt>
                <c:pt idx="52">
                  <c:v>107.11531569803202</c:v>
                </c:pt>
                <c:pt idx="53">
                  <c:v>109.90890219592232</c:v>
                </c:pt>
                <c:pt idx="54">
                  <c:v>112.74449751332978</c:v>
                </c:pt>
                <c:pt idx="55">
                  <c:v>115.6233843623007</c:v>
                </c:pt>
                <c:pt idx="56">
                  <c:v>118.54690511590684</c:v>
                </c:pt>
                <c:pt idx="57">
                  <c:v>121.51646556642015</c:v>
                </c:pt>
                <c:pt idx="58">
                  <c:v>124.53353898414169</c:v>
                </c:pt>
                <c:pt idx="59">
                  <c:v>127.59967050621641</c:v>
                </c:pt>
                <c:pt idx="60">
                  <c:v>130.71648188816013</c:v>
                </c:pt>
                <c:pt idx="61">
                  <c:v>133.88567665467434</c:v>
                </c:pt>
                <c:pt idx="62">
                  <c:v>137.10904569070161</c:v>
                </c:pt>
                <c:pt idx="63">
                  <c:v>140.38847331865981</c:v>
                </c:pt>
                <c:pt idx="64">
                  <c:v>143.72594391348451</c:v>
                </c:pt>
                <c:pt idx="65">
                  <c:v>147.12354911362138</c:v>
                </c:pt>
                <c:pt idx="66">
                  <c:v>150.58349569357728</c:v>
                </c:pt>
                <c:pt idx="67">
                  <c:v>154.10811417222394</c:v>
                </c:pt>
                <c:pt idx="68">
                  <c:v>157.69986824094005</c:v>
                </c:pt>
                <c:pt idx="69">
                  <c:v>161.36136510710696</c:v>
                </c:pt>
                <c:pt idx="70">
                  <c:v>165.09536686171282</c:v>
                </c:pt>
                <c:pt idx="71">
                  <c:v>168.90480299519959</c:v>
                </c:pt>
                <c:pt idx="72">
                  <c:v>172.79278420360362</c:v>
                </c:pt>
                <c:pt idx="73">
                  <c:v>176.76261764797405</c:v>
                </c:pt>
                <c:pt idx="74">
                  <c:v>180.81782385458902</c:v>
                </c:pt>
                <c:pt idx="75">
                  <c:v>184.96215547233837</c:v>
                </c:pt>
                <c:pt idx="76">
                  <c:v>189.19961813767759</c:v>
                </c:pt>
                <c:pt idx="77">
                  <c:v>193.53449373785222</c:v>
                </c:pt>
                <c:pt idx="78">
                  <c:v>197.97136641097208</c:v>
                </c:pt>
                <c:pt idx="79">
                  <c:v>202.51515167862499</c:v>
                </c:pt>
                <c:pt idx="80">
                  <c:v>207.17112917510883</c:v>
                </c:pt>
                <c:pt idx="81">
                  <c:v>211.94497951960491</c:v>
                </c:pt>
                <c:pt idx="82">
                  <c:v>216.84282597694505</c:v>
                </c:pt>
                <c:pt idx="83">
                  <c:v>221.67787953098596</c:v>
                </c:pt>
                <c:pt idx="84">
                  <c:v>225.44922130313788</c:v>
                </c:pt>
                <c:pt idx="85">
                  <c:v>228.14303685467496</c:v>
                </c:pt>
                <c:pt idx="86">
                  <c:v>230.41492948850143</c:v>
                </c:pt>
                <c:pt idx="87">
                  <c:v>232.58236728858873</c:v>
                </c:pt>
                <c:pt idx="88">
                  <c:v>234.70109862125835</c:v>
                </c:pt>
                <c:pt idx="89">
                  <c:v>236.77326443013303</c:v>
                </c:pt>
                <c:pt idx="90">
                  <c:v>238.80086753344051</c:v>
                </c:pt>
                <c:pt idx="91">
                  <c:v>240.78578425562574</c:v>
                </c:pt>
                <c:pt idx="92">
                  <c:v>242.72977485982776</c:v>
                </c:pt>
                <c:pt idx="93">
                  <c:v>244.63449292657114</c:v>
                </c:pt>
                <c:pt idx="94">
                  <c:v>246.50149380387407</c:v>
                </c:pt>
                <c:pt idx="95">
                  <c:v>248.33224223695751</c:v>
                </c:pt>
                <c:pt idx="96">
                  <c:v>250.12811927131557</c:v>
                </c:pt>
                <c:pt idx="97">
                  <c:v>251.89042851063888</c:v>
                </c:pt>
                <c:pt idx="98">
                  <c:v>253.62040180061683</c:v>
                </c:pt>
                <c:pt idx="99">
                  <c:v>255.31920440068527</c:v>
                </c:pt>
                <c:pt idx="100">
                  <c:v>256.98793969809759</c:v>
                </c:pt>
                <c:pt idx="101">
                  <c:v>258.62765351207668</c:v>
                </c:pt>
                <c:pt idx="102">
                  <c:v>260.23933803009032</c:v>
                </c:pt>
                <c:pt idx="103">
                  <c:v>261.82393541334744</c:v>
                </c:pt>
                <c:pt idx="104">
                  <c:v>263.38234110431932</c:v>
                </c:pt>
                <c:pt idx="105">
                  <c:v>264.91540686535672</c:v>
                </c:pt>
                <c:pt idx="106">
                  <c:v>266.4239435742175</c:v>
                </c:pt>
                <c:pt idx="107">
                  <c:v>267.90872379947416</c:v>
                </c:pt>
                <c:pt idx="108">
                  <c:v>269.37048417627722</c:v>
                </c:pt>
                <c:pt idx="109">
                  <c:v>270.80992760076271</c:v>
                </c:pt>
                <c:pt idx="110">
                  <c:v>272.22772525946641</c:v>
                </c:pt>
                <c:pt idx="111">
                  <c:v>273.62451850841154</c:v>
                </c:pt>
                <c:pt idx="112">
                  <c:v>275.00092061503631</c:v>
                </c:pt>
                <c:pt idx="113">
                  <c:v>276.35751837480319</c:v>
                </c:pt>
                <c:pt idx="114">
                  <c:v>277.69487361315493</c:v>
                </c:pt>
                <c:pt idx="115">
                  <c:v>279.01352458243883</c:v>
                </c:pt>
                <c:pt idx="116">
                  <c:v>280.3139872624912</c:v>
                </c:pt>
                <c:pt idx="117">
                  <c:v>281.59675657274693</c:v>
                </c:pt>
                <c:pt idx="118">
                  <c:v>282.86230750299927</c:v>
                </c:pt>
                <c:pt idx="119">
                  <c:v>284.11109616927473</c:v>
                </c:pt>
                <c:pt idx="120">
                  <c:v>285.34356080069693</c:v>
                </c:pt>
                <c:pt idx="121">
                  <c:v>286.56012266268141</c:v>
                </c:pt>
                <c:pt idx="122">
                  <c:v>287.76118692132849</c:v>
                </c:pt>
                <c:pt idx="123">
                  <c:v>288.94714345345176</c:v>
                </c:pt>
                <c:pt idx="124">
                  <c:v>290.11836760629399</c:v>
                </c:pt>
                <c:pt idx="125">
                  <c:v>291.27522091063508</c:v>
                </c:pt>
                <c:pt idx="126">
                  <c:v>292.41805175068112</c:v>
                </c:pt>
                <c:pt idx="127">
                  <c:v>293.54719599384038</c:v>
                </c:pt>
                <c:pt idx="128">
                  <c:v>294.66297758323441</c:v>
                </c:pt>
                <c:pt idx="129">
                  <c:v>295.76570909555954</c:v>
                </c:pt>
                <c:pt idx="130">
                  <c:v>296.85569226670174</c:v>
                </c:pt>
                <c:pt idx="131">
                  <c:v>297.93321848731659</c:v>
                </c:pt>
                <c:pt idx="132">
                  <c:v>298.99856927041037</c:v>
                </c:pt>
                <c:pt idx="133">
                  <c:v>300.05201669279916</c:v>
                </c:pt>
                <c:pt idx="134">
                  <c:v>301.09382381217813</c:v>
                </c:pt>
                <c:pt idx="135">
                  <c:v>302.12424506139996</c:v>
                </c:pt>
                <c:pt idx="136">
                  <c:v>303.14352662144103</c:v>
                </c:pt>
                <c:pt idx="137">
                  <c:v>304.1519067744228</c:v>
                </c:pt>
                <c:pt idx="138">
                  <c:v>305.14961623795506</c:v>
                </c:pt>
                <c:pt idx="139">
                  <c:v>306.13687848197389</c:v>
                </c:pt>
                <c:pt idx="140">
                  <c:v>307.11391002916349</c:v>
                </c:pt>
                <c:pt idx="141">
                  <c:v>308.08342656733186</c:v>
                </c:pt>
                <c:pt idx="142">
                  <c:v>309.05047695200199</c:v>
                </c:pt>
                <c:pt idx="143">
                  <c:v>310.01752733667212</c:v>
                </c:pt>
                <c:pt idx="144">
                  <c:v>310.98457772134225</c:v>
                </c:pt>
                <c:pt idx="145">
                  <c:v>311.95162810601238</c:v>
                </c:pt>
                <c:pt idx="146">
                  <c:v>312.91867849068251</c:v>
                </c:pt>
                <c:pt idx="147">
                  <c:v>313.88572887535264</c:v>
                </c:pt>
                <c:pt idx="148">
                  <c:v>314.85277926002277</c:v>
                </c:pt>
                <c:pt idx="149">
                  <c:v>315.8198296446929</c:v>
                </c:pt>
                <c:pt idx="150">
                  <c:v>316.78688002936303</c:v>
                </c:pt>
                <c:pt idx="151">
                  <c:v>317.75393041403316</c:v>
                </c:pt>
                <c:pt idx="152">
                  <c:v>318.72098079870329</c:v>
                </c:pt>
                <c:pt idx="153">
                  <c:v>319.68803118337343</c:v>
                </c:pt>
                <c:pt idx="154">
                  <c:v>320.65508156804356</c:v>
                </c:pt>
                <c:pt idx="155">
                  <c:v>321.62213195271369</c:v>
                </c:pt>
                <c:pt idx="156">
                  <c:v>322.58918233738376</c:v>
                </c:pt>
                <c:pt idx="157">
                  <c:v>323.55623272205384</c:v>
                </c:pt>
                <c:pt idx="158">
                  <c:v>325.19623272205382</c:v>
                </c:pt>
              </c:numCache>
            </c:numRef>
          </c:xVal>
          <c:yVal>
            <c:numRef>
              <c:f>Data!$W$7:$W$165</c:f>
              <c:numCache>
                <c:formatCode>0.00</c:formatCode>
                <c:ptCount val="159"/>
                <c:pt idx="0">
                  <c:v>42.126128088417033</c:v>
                </c:pt>
                <c:pt idx="1">
                  <c:v>42.126128088417033</c:v>
                </c:pt>
                <c:pt idx="2">
                  <c:v>40.87004383041684</c:v>
                </c:pt>
                <c:pt idx="3">
                  <c:v>41.311352618106604</c:v>
                </c:pt>
                <c:pt idx="4">
                  <c:v>40.688138695289908</c:v>
                </c:pt>
                <c:pt idx="5">
                  <c:v>40.28472922936141</c:v>
                </c:pt>
                <c:pt idx="6">
                  <c:v>39.881403804999991</c:v>
                </c:pt>
                <c:pt idx="7">
                  <c:v>39.478161424484298</c:v>
                </c:pt>
                <c:pt idx="8">
                  <c:v>39.075001090092996</c:v>
                </c:pt>
                <c:pt idx="9">
                  <c:v>38.671921804104691</c:v>
                </c:pt>
                <c:pt idx="10">
                  <c:v>38.268922568798047</c:v>
                </c:pt>
                <c:pt idx="11">
                  <c:v>37.866002386451719</c:v>
                </c:pt>
                <c:pt idx="12">
                  <c:v>37.463160259344356</c:v>
                </c:pt>
                <c:pt idx="13">
                  <c:v>37.060395189754573</c:v>
                </c:pt>
                <c:pt idx="14">
                  <c:v>36.657706179961053</c:v>
                </c:pt>
                <c:pt idx="15">
                  <c:v>36.255092232242419</c:v>
                </c:pt>
                <c:pt idx="16">
                  <c:v>35.852552348877325</c:v>
                </c:pt>
                <c:pt idx="17">
                  <c:v>35.450085532144421</c:v>
                </c:pt>
                <c:pt idx="18">
                  <c:v>35.047690784322334</c:v>
                </c:pt>
                <c:pt idx="19">
                  <c:v>34.645367107689722</c:v>
                </c:pt>
                <c:pt idx="20">
                  <c:v>34.243113504525233</c:v>
                </c:pt>
                <c:pt idx="21">
                  <c:v>33.840928977107524</c:v>
                </c:pt>
                <c:pt idx="22">
                  <c:v>33.438812527715221</c:v>
                </c:pt>
                <c:pt idx="23">
                  <c:v>33.036763158626975</c:v>
                </c:pt>
                <c:pt idx="24">
                  <c:v>32.634779872121428</c:v>
                </c:pt>
                <c:pt idx="25">
                  <c:v>32.232861670477241</c:v>
                </c:pt>
                <c:pt idx="26">
                  <c:v>31.831007555973049</c:v>
                </c:pt>
                <c:pt idx="27">
                  <c:v>31.429216530887505</c:v>
                </c:pt>
                <c:pt idx="28">
                  <c:v>31.027487597499235</c:v>
                </c:pt>
                <c:pt idx="29">
                  <c:v>30.625819758086902</c:v>
                </c:pt>
                <c:pt idx="30">
                  <c:v>30.224212014929154</c:v>
                </c:pt>
                <c:pt idx="31">
                  <c:v>29.822663370304628</c:v>
                </c:pt>
                <c:pt idx="32">
                  <c:v>29.421172826491972</c:v>
                </c:pt>
                <c:pt idx="33">
                  <c:v>29.019739385769835</c:v>
                </c:pt>
                <c:pt idx="34">
                  <c:v>28.618362050416867</c:v>
                </c:pt>
                <c:pt idx="35">
                  <c:v>28.217039822711708</c:v>
                </c:pt>
                <c:pt idx="36">
                  <c:v>27.815771704933002</c:v>
                </c:pt>
                <c:pt idx="37">
                  <c:v>27.414556699359384</c:v>
                </c:pt>
                <c:pt idx="38">
                  <c:v>27.013393808269523</c:v>
                </c:pt>
                <c:pt idx="39">
                  <c:v>26.612282033942055</c:v>
                </c:pt>
                <c:pt idx="40">
                  <c:v>26.211220378655629</c:v>
                </c:pt>
                <c:pt idx="41">
                  <c:v>25.810207844688879</c:v>
                </c:pt>
                <c:pt idx="42">
                  <c:v>25.409243434320459</c:v>
                </c:pt>
                <c:pt idx="43">
                  <c:v>25.008326149829024</c:v>
                </c:pt>
                <c:pt idx="44">
                  <c:v>24.607454993493199</c:v>
                </c:pt>
                <c:pt idx="45">
                  <c:v>24.206628967591652</c:v>
                </c:pt>
                <c:pt idx="46">
                  <c:v>23.805847074403005</c:v>
                </c:pt>
                <c:pt idx="47">
                  <c:v>23.405108316205919</c:v>
                </c:pt>
                <c:pt idx="48">
                  <c:v>23.004411695279046</c:v>
                </c:pt>
                <c:pt idx="49">
                  <c:v>22.603756213901018</c:v>
                </c:pt>
                <c:pt idx="50">
                  <c:v>22.203140874350488</c:v>
                </c:pt>
                <c:pt idx="51">
                  <c:v>21.802564678906101</c:v>
                </c:pt>
                <c:pt idx="52">
                  <c:v>21.402026629846507</c:v>
                </c:pt>
                <c:pt idx="53">
                  <c:v>21.001525729450343</c:v>
                </c:pt>
                <c:pt idx="54">
                  <c:v>20.601060979996255</c:v>
                </c:pt>
                <c:pt idx="55">
                  <c:v>20.200631383762886</c:v>
                </c:pt>
                <c:pt idx="56">
                  <c:v>19.800235943028902</c:v>
                </c:pt>
                <c:pt idx="57">
                  <c:v>19.399873660072934</c:v>
                </c:pt>
                <c:pt idx="58">
                  <c:v>18.999543537173626</c:v>
                </c:pt>
                <c:pt idx="59">
                  <c:v>18.599244576609621</c:v>
                </c:pt>
                <c:pt idx="60">
                  <c:v>18.198975780659577</c:v>
                </c:pt>
                <c:pt idx="61">
                  <c:v>17.798736151602139</c:v>
                </c:pt>
                <c:pt idx="62">
                  <c:v>17.89663779671594</c:v>
                </c:pt>
                <c:pt idx="63">
                  <c:v>17.488010913279634</c:v>
                </c:pt>
                <c:pt idx="64">
                  <c:v>17.079410203571864</c:v>
                </c:pt>
                <c:pt idx="65">
                  <c:v>16.670834669871287</c:v>
                </c:pt>
                <c:pt idx="66">
                  <c:v>16.262283314456528</c:v>
                </c:pt>
                <c:pt idx="67">
                  <c:v>15.853755139606257</c:v>
                </c:pt>
                <c:pt idx="68">
                  <c:v>15.445249147599093</c:v>
                </c:pt>
                <c:pt idx="69">
                  <c:v>15.036764340713706</c:v>
                </c:pt>
                <c:pt idx="70">
                  <c:v>14.628299721228728</c:v>
                </c:pt>
                <c:pt idx="71">
                  <c:v>14.219854291422816</c:v>
                </c:pt>
                <c:pt idx="72">
                  <c:v>13.811427053574601</c:v>
                </c:pt>
                <c:pt idx="73">
                  <c:v>13.403017009962738</c:v>
                </c:pt>
                <c:pt idx="74">
                  <c:v>12.994623162865874</c:v>
                </c:pt>
                <c:pt idx="75">
                  <c:v>12.586244514562651</c:v>
                </c:pt>
                <c:pt idx="76">
                  <c:v>12.177880067331717</c:v>
                </c:pt>
                <c:pt idx="77">
                  <c:v>11.769528823451711</c:v>
                </c:pt>
                <c:pt idx="78">
                  <c:v>11.361189785201294</c:v>
                </c:pt>
                <c:pt idx="79">
                  <c:v>10.952861954859099</c:v>
                </c:pt>
                <c:pt idx="80">
                  <c:v>10.544544334703776</c:v>
                </c:pt>
                <c:pt idx="81">
                  <c:v>10.136235927013963</c:v>
                </c:pt>
                <c:pt idx="82">
                  <c:v>9.7279357340683212</c:v>
                </c:pt>
                <c:pt idx="83">
                  <c:v>9.3187394760103857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-43.385151818983367</c:v>
                </c:pt>
                <c:pt idx="117">
                  <c:v>-43.964432175229938</c:v>
                </c:pt>
                <c:pt idx="118">
                  <c:v>-44.542877532815297</c:v>
                </c:pt>
                <c:pt idx="119">
                  <c:v>-45.12047990996853</c:v>
                </c:pt>
                <c:pt idx="120">
                  <c:v>-45.69723132491891</c:v>
                </c:pt>
                <c:pt idx="121">
                  <c:v>-46.273123795895515</c:v>
                </c:pt>
                <c:pt idx="122">
                  <c:v>-46.848149341127559</c:v>
                </c:pt>
                <c:pt idx="123">
                  <c:v>-47.422299978844258</c:v>
                </c:pt>
                <c:pt idx="124">
                  <c:v>-47.995567727274647</c:v>
                </c:pt>
                <c:pt idx="125">
                  <c:v>-48.567944604647991</c:v>
                </c:pt>
                <c:pt idx="126">
                  <c:v>-49.139422629193419</c:v>
                </c:pt>
                <c:pt idx="127">
                  <c:v>-49.709993819140131</c:v>
                </c:pt>
                <c:pt idx="128">
                  <c:v>-50.279650192717234</c:v>
                </c:pt>
                <c:pt idx="129">
                  <c:v>-42.278490393153994</c:v>
                </c:pt>
                <c:pt idx="130">
                  <c:v>-42.745470913679483</c:v>
                </c:pt>
                <c:pt idx="131">
                  <c:v>-43.211512672522922</c:v>
                </c:pt>
                <c:pt idx="132">
                  <c:v>-43.676607687913418</c:v>
                </c:pt>
                <c:pt idx="133">
                  <c:v>-44.140747978080171</c:v>
                </c:pt>
                <c:pt idx="134">
                  <c:v>-44.603925561252389</c:v>
                </c:pt>
                <c:pt idx="135">
                  <c:v>-45.066132455659201</c:v>
                </c:pt>
                <c:pt idx="136">
                  <c:v>-45.527360679529792</c:v>
                </c:pt>
                <c:pt idx="137">
                  <c:v>-45.987602251093243</c:v>
                </c:pt>
                <c:pt idx="138">
                  <c:v>-46.446849188578874</c:v>
                </c:pt>
                <c:pt idx="139">
                  <c:v>-46.905093510215735</c:v>
                </c:pt>
                <c:pt idx="140">
                  <c:v>-47.362327234233</c:v>
                </c:pt>
                <c:pt idx="141">
                  <c:v>-47.82162634866939</c:v>
                </c:pt>
                <c:pt idx="142">
                  <c:v>-48.655019384820058</c:v>
                </c:pt>
                <c:pt idx="143">
                  <c:v>-49.249849729569803</c:v>
                </c:pt>
                <c:pt idx="144">
                  <c:v>-49.249849729569803</c:v>
                </c:pt>
                <c:pt idx="145">
                  <c:v>-49.249849729569803</c:v>
                </c:pt>
                <c:pt idx="146">
                  <c:v>-49.249849729569803</c:v>
                </c:pt>
                <c:pt idx="147">
                  <c:v>-49.249849729569803</c:v>
                </c:pt>
                <c:pt idx="148">
                  <c:v>-49.249849729569803</c:v>
                </c:pt>
                <c:pt idx="149">
                  <c:v>-49.249849729569803</c:v>
                </c:pt>
                <c:pt idx="150">
                  <c:v>-49.249849729569803</c:v>
                </c:pt>
                <c:pt idx="151">
                  <c:v>-49.249849729569803</c:v>
                </c:pt>
                <c:pt idx="152">
                  <c:v>-49.249849729569803</c:v>
                </c:pt>
                <c:pt idx="153">
                  <c:v>-49.249849729569803</c:v>
                </c:pt>
                <c:pt idx="154">
                  <c:v>-49.249849729569803</c:v>
                </c:pt>
                <c:pt idx="155">
                  <c:v>-49.249849729569803</c:v>
                </c:pt>
                <c:pt idx="156">
                  <c:v>-49.249849729569803</c:v>
                </c:pt>
                <c:pt idx="157">
                  <c:v>-49.249849729569803</c:v>
                </c:pt>
                <c:pt idx="158">
                  <c:v>11.495229616203822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96C-4092-9CD1-2D91E84D78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Fuel</a:t>
            </a:r>
            <a:r>
              <a:rPr lang="en-US" baseline="0"/>
              <a:t> Usage </a:t>
            </a:r>
            <a:r>
              <a:rPr lang="en-US"/>
              <a:t>(Per</a:t>
            </a:r>
            <a:r>
              <a:rPr lang="en-US" baseline="0"/>
              <a:t> Lap</a:t>
            </a:r>
            <a:r>
              <a:rPr lang="en-US"/>
              <a:t>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Velocity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Data!$I$7:$I$165</c:f>
              <c:numCache>
                <c:formatCode>0.00</c:formatCode>
                <c:ptCount val="159"/>
                <c:pt idx="0">
                  <c:v>0</c:v>
                </c:pt>
                <c:pt idx="1">
                  <c:v>1.5845973832571001</c:v>
                </c:pt>
                <c:pt idx="2">
                  <c:v>3.1826235578977355</c:v>
                </c:pt>
                <c:pt idx="3">
                  <c:v>4.7874498439198199</c:v>
                </c:pt>
                <c:pt idx="4">
                  <c:v>6.406051462869133</c:v>
                </c:pt>
                <c:pt idx="5">
                  <c:v>8.0386669486491762</c:v>
                </c:pt>
                <c:pt idx="6">
                  <c:v>9.6855410849600485</c:v>
                </c:pt>
                <c:pt idx="7">
                  <c:v>11.346925125555599</c:v>
                </c:pt>
                <c:pt idx="8">
                  <c:v>13.023077024289776</c:v>
                </c:pt>
                <c:pt idx="9">
                  <c:v>14.714261675478969</c:v>
                </c:pt>
                <c:pt idx="10">
                  <c:v>16.420751165140462</c:v>
                </c:pt>
                <c:pt idx="11">
                  <c:v>18.142825033702973</c:v>
                </c:pt>
                <c:pt idx="12">
                  <c:v>19.880770550823662</c:v>
                </c:pt>
                <c:pt idx="13">
                  <c:v>21.634883002987337</c:v>
                </c:pt>
                <c:pt idx="14">
                  <c:v>23.405465994607948</c:v>
                </c:pt>
                <c:pt idx="15">
                  <c:v>25.192831763400317</c:v>
                </c:pt>
                <c:pt idx="16">
                  <c:v>26.997301510841417</c:v>
                </c:pt>
                <c:pt idx="17">
                  <c:v>28.819205748595959</c:v>
                </c:pt>
                <c:pt idx="18">
                  <c:v>30.658884661840787</c:v>
                </c:pt>
                <c:pt idx="19">
                  <c:v>32.516688490487049</c:v>
                </c:pt>
                <c:pt idx="20">
                  <c:v>34.392977929368591</c:v>
                </c:pt>
                <c:pt idx="21">
                  <c:v>36.288124548540402</c:v>
                </c:pt>
                <c:pt idx="22">
                  <c:v>38.202511234911924</c:v>
                </c:pt>
                <c:pt idx="23">
                  <c:v>40.136532656528281</c:v>
                </c:pt>
                <c:pt idx="24">
                  <c:v>42.090595750907504</c:v>
                </c:pt>
                <c:pt idx="25">
                  <c:v>44.065120238945148</c:v>
                </c:pt>
                <c:pt idx="26">
                  <c:v>46.060539166009647</c:v>
                </c:pt>
                <c:pt idx="27">
                  <c:v>48.077299471973227</c:v>
                </c:pt>
                <c:pt idx="28">
                  <c:v>50.115862592055336</c:v>
                </c:pt>
                <c:pt idx="29">
                  <c:v>52.176705090498999</c:v>
                </c:pt>
                <c:pt idx="30">
                  <c:v>54.260319329256951</c:v>
                </c:pt>
                <c:pt idx="31">
                  <c:v>56.367214174034551</c:v>
                </c:pt>
                <c:pt idx="32">
                  <c:v>58.497915740222062</c:v>
                </c:pt>
                <c:pt idx="33">
                  <c:v>60.652968181451719</c:v>
                </c:pt>
                <c:pt idx="34">
                  <c:v>62.83293452373605</c:v>
                </c:pt>
                <c:pt idx="35">
                  <c:v>65.038397548386286</c:v>
                </c:pt>
                <c:pt idx="36">
                  <c:v>67.269960727174393</c:v>
                </c:pt>
                <c:pt idx="37">
                  <c:v>69.528249213492899</c:v>
                </c:pt>
                <c:pt idx="38">
                  <c:v>71.813910893584961</c:v>
                </c:pt>
                <c:pt idx="39">
                  <c:v>74.127617502267114</c:v>
                </c:pt>
                <c:pt idx="40">
                  <c:v>76.470065807951528</c:v>
                </c:pt>
                <c:pt idx="41">
                  <c:v>78.841978872198013</c:v>
                </c:pt>
                <c:pt idx="42">
                  <c:v>81.244107389492228</c:v>
                </c:pt>
                <c:pt idx="43">
                  <c:v>83.677231113461204</c:v>
                </c:pt>
                <c:pt idx="44">
                  <c:v>86.142160376305597</c:v>
                </c:pt>
                <c:pt idx="45">
                  <c:v>88.639737708856529</c:v>
                </c:pt>
                <c:pt idx="46">
                  <c:v>91.170839569361164</c:v>
                </c:pt>
                <c:pt idx="47">
                  <c:v>93.736378189872667</c:v>
                </c:pt>
                <c:pt idx="48">
                  <c:v>96.337303549977435</c:v>
                </c:pt>
                <c:pt idx="49">
                  <c:v>98.974605488545208</c:v>
                </c:pt>
                <c:pt idx="50">
                  <c:v>101.64931596524869</c:v>
                </c:pt>
                <c:pt idx="51">
                  <c:v>104.36251148478244</c:v>
                </c:pt>
                <c:pt idx="52">
                  <c:v>107.11531569803202</c:v>
                </c:pt>
                <c:pt idx="53">
                  <c:v>109.90890219592232</c:v>
                </c:pt>
                <c:pt idx="54">
                  <c:v>112.74449751332978</c:v>
                </c:pt>
                <c:pt idx="55">
                  <c:v>115.6233843623007</c:v>
                </c:pt>
                <c:pt idx="56">
                  <c:v>118.54690511590684</c:v>
                </c:pt>
                <c:pt idx="57">
                  <c:v>121.51646556642015</c:v>
                </c:pt>
                <c:pt idx="58">
                  <c:v>124.53353898414169</c:v>
                </c:pt>
                <c:pt idx="59">
                  <c:v>127.59967050621641</c:v>
                </c:pt>
                <c:pt idx="60">
                  <c:v>130.71648188816013</c:v>
                </c:pt>
                <c:pt idx="61">
                  <c:v>133.88567665467434</c:v>
                </c:pt>
                <c:pt idx="62">
                  <c:v>137.10904569070161</c:v>
                </c:pt>
                <c:pt idx="63">
                  <c:v>140.38847331865981</c:v>
                </c:pt>
                <c:pt idx="64">
                  <c:v>143.72594391348451</c:v>
                </c:pt>
                <c:pt idx="65">
                  <c:v>147.12354911362138</c:v>
                </c:pt>
                <c:pt idx="66">
                  <c:v>150.58349569357728</c:v>
                </c:pt>
                <c:pt idx="67">
                  <c:v>154.10811417222394</c:v>
                </c:pt>
                <c:pt idx="68">
                  <c:v>157.69986824094005</c:v>
                </c:pt>
                <c:pt idx="69">
                  <c:v>161.36136510710696</c:v>
                </c:pt>
                <c:pt idx="70">
                  <c:v>165.09536686171282</c:v>
                </c:pt>
                <c:pt idx="71">
                  <c:v>168.90480299519959</c:v>
                </c:pt>
                <c:pt idx="72">
                  <c:v>172.79278420360362</c:v>
                </c:pt>
                <c:pt idx="73">
                  <c:v>176.76261764797405</c:v>
                </c:pt>
                <c:pt idx="74">
                  <c:v>180.81782385458902</c:v>
                </c:pt>
                <c:pt idx="75">
                  <c:v>184.96215547233837</c:v>
                </c:pt>
                <c:pt idx="76">
                  <c:v>189.19961813767759</c:v>
                </c:pt>
                <c:pt idx="77">
                  <c:v>193.53449373785222</c:v>
                </c:pt>
                <c:pt idx="78">
                  <c:v>197.97136641097208</c:v>
                </c:pt>
                <c:pt idx="79">
                  <c:v>202.51515167862499</c:v>
                </c:pt>
                <c:pt idx="80">
                  <c:v>207.17112917510883</c:v>
                </c:pt>
                <c:pt idx="81">
                  <c:v>211.94497951960491</c:v>
                </c:pt>
                <c:pt idx="82">
                  <c:v>216.84282597694505</c:v>
                </c:pt>
                <c:pt idx="83">
                  <c:v>221.67787953098596</c:v>
                </c:pt>
                <c:pt idx="84">
                  <c:v>225.44922130313788</c:v>
                </c:pt>
                <c:pt idx="85">
                  <c:v>228.14303685467496</c:v>
                </c:pt>
                <c:pt idx="86">
                  <c:v>230.41492948850143</c:v>
                </c:pt>
                <c:pt idx="87">
                  <c:v>232.58236728858873</c:v>
                </c:pt>
                <c:pt idx="88">
                  <c:v>234.70109862125835</c:v>
                </c:pt>
                <c:pt idx="89">
                  <c:v>236.77326443013303</c:v>
                </c:pt>
                <c:pt idx="90">
                  <c:v>238.80086753344051</c:v>
                </c:pt>
                <c:pt idx="91">
                  <c:v>240.78578425562574</c:v>
                </c:pt>
                <c:pt idx="92">
                  <c:v>242.72977485982776</c:v>
                </c:pt>
                <c:pt idx="93">
                  <c:v>244.63449292657114</c:v>
                </c:pt>
                <c:pt idx="94">
                  <c:v>246.50149380387407</c:v>
                </c:pt>
                <c:pt idx="95">
                  <c:v>248.33224223695751</c:v>
                </c:pt>
                <c:pt idx="96">
                  <c:v>250.12811927131557</c:v>
                </c:pt>
                <c:pt idx="97">
                  <c:v>251.89042851063888</c:v>
                </c:pt>
                <c:pt idx="98">
                  <c:v>253.62040180061683</c:v>
                </c:pt>
                <c:pt idx="99">
                  <c:v>255.31920440068527</c:v>
                </c:pt>
                <c:pt idx="100">
                  <c:v>256.98793969809759</c:v>
                </c:pt>
                <c:pt idx="101">
                  <c:v>258.62765351207668</c:v>
                </c:pt>
                <c:pt idx="102">
                  <c:v>260.23933803009032</c:v>
                </c:pt>
                <c:pt idx="103">
                  <c:v>261.82393541334744</c:v>
                </c:pt>
                <c:pt idx="104">
                  <c:v>263.38234110431932</c:v>
                </c:pt>
                <c:pt idx="105">
                  <c:v>264.91540686535672</c:v>
                </c:pt>
                <c:pt idx="106">
                  <c:v>266.4239435742175</c:v>
                </c:pt>
                <c:pt idx="107">
                  <c:v>267.90872379947416</c:v>
                </c:pt>
                <c:pt idx="108">
                  <c:v>269.37048417627722</c:v>
                </c:pt>
                <c:pt idx="109">
                  <c:v>270.80992760076271</c:v>
                </c:pt>
                <c:pt idx="110">
                  <c:v>272.22772525946641</c:v>
                </c:pt>
                <c:pt idx="111">
                  <c:v>273.62451850841154</c:v>
                </c:pt>
                <c:pt idx="112">
                  <c:v>275.00092061503631</c:v>
                </c:pt>
                <c:pt idx="113">
                  <c:v>276.35751837480319</c:v>
                </c:pt>
                <c:pt idx="114">
                  <c:v>277.69487361315493</c:v>
                </c:pt>
                <c:pt idx="115">
                  <c:v>279.01352458243883</c:v>
                </c:pt>
                <c:pt idx="116">
                  <c:v>280.3139872624912</c:v>
                </c:pt>
                <c:pt idx="117">
                  <c:v>281.59675657274693</c:v>
                </c:pt>
                <c:pt idx="118">
                  <c:v>282.86230750299927</c:v>
                </c:pt>
                <c:pt idx="119">
                  <c:v>284.11109616927473</c:v>
                </c:pt>
                <c:pt idx="120">
                  <c:v>285.34356080069693</c:v>
                </c:pt>
                <c:pt idx="121">
                  <c:v>286.56012266268141</c:v>
                </c:pt>
                <c:pt idx="122">
                  <c:v>287.76118692132849</c:v>
                </c:pt>
                <c:pt idx="123">
                  <c:v>288.94714345345176</c:v>
                </c:pt>
                <c:pt idx="124">
                  <c:v>290.11836760629399</c:v>
                </c:pt>
                <c:pt idx="125">
                  <c:v>291.27522091063508</c:v>
                </c:pt>
                <c:pt idx="126">
                  <c:v>292.41805175068112</c:v>
                </c:pt>
                <c:pt idx="127">
                  <c:v>293.54719599384038</c:v>
                </c:pt>
                <c:pt idx="128">
                  <c:v>294.66297758323441</c:v>
                </c:pt>
                <c:pt idx="129">
                  <c:v>295.76570909555954</c:v>
                </c:pt>
                <c:pt idx="130">
                  <c:v>296.85569226670174</c:v>
                </c:pt>
                <c:pt idx="131">
                  <c:v>297.93321848731659</c:v>
                </c:pt>
                <c:pt idx="132">
                  <c:v>298.99856927041037</c:v>
                </c:pt>
                <c:pt idx="133">
                  <c:v>300.05201669279916</c:v>
                </c:pt>
                <c:pt idx="134">
                  <c:v>301.09382381217813</c:v>
                </c:pt>
                <c:pt idx="135">
                  <c:v>302.12424506139996</c:v>
                </c:pt>
                <c:pt idx="136">
                  <c:v>303.14352662144103</c:v>
                </c:pt>
                <c:pt idx="137">
                  <c:v>304.1519067744228</c:v>
                </c:pt>
                <c:pt idx="138">
                  <c:v>305.14961623795506</c:v>
                </c:pt>
                <c:pt idx="139">
                  <c:v>306.13687848197389</c:v>
                </c:pt>
                <c:pt idx="140">
                  <c:v>307.11391002916349</c:v>
                </c:pt>
                <c:pt idx="141">
                  <c:v>308.08342656733186</c:v>
                </c:pt>
                <c:pt idx="142">
                  <c:v>309.05047695200199</c:v>
                </c:pt>
                <c:pt idx="143">
                  <c:v>310.01752733667212</c:v>
                </c:pt>
                <c:pt idx="144">
                  <c:v>310.98457772134225</c:v>
                </c:pt>
                <c:pt idx="145">
                  <c:v>311.95162810601238</c:v>
                </c:pt>
                <c:pt idx="146">
                  <c:v>312.91867849068251</c:v>
                </c:pt>
                <c:pt idx="147">
                  <c:v>313.88572887535264</c:v>
                </c:pt>
                <c:pt idx="148">
                  <c:v>314.85277926002277</c:v>
                </c:pt>
                <c:pt idx="149">
                  <c:v>315.8198296446929</c:v>
                </c:pt>
                <c:pt idx="150">
                  <c:v>316.78688002936303</c:v>
                </c:pt>
                <c:pt idx="151">
                  <c:v>317.75393041403316</c:v>
                </c:pt>
                <c:pt idx="152">
                  <c:v>318.72098079870329</c:v>
                </c:pt>
                <c:pt idx="153">
                  <c:v>319.68803118337343</c:v>
                </c:pt>
                <c:pt idx="154">
                  <c:v>320.65508156804356</c:v>
                </c:pt>
                <c:pt idx="155">
                  <c:v>321.62213195271369</c:v>
                </c:pt>
                <c:pt idx="156">
                  <c:v>322.58918233738376</c:v>
                </c:pt>
                <c:pt idx="157">
                  <c:v>323.55623272205384</c:v>
                </c:pt>
                <c:pt idx="158">
                  <c:v>325.19623272205382</c:v>
                </c:pt>
              </c:numCache>
            </c:numRef>
          </c:xVal>
          <c:yVal>
            <c:numRef>
              <c:f>Data!$AF$7:$AF$165</c:f>
              <c:numCache>
                <c:formatCode>0.0000</c:formatCode>
                <c:ptCount val="159"/>
                <c:pt idx="0">
                  <c:v>7.7046783625730998E-4</c:v>
                </c:pt>
                <c:pt idx="1">
                  <c:v>1.54093567251462E-3</c:v>
                </c:pt>
                <c:pt idx="2">
                  <c:v>2.31140350877193E-3</c:v>
                </c:pt>
                <c:pt idx="3">
                  <c:v>3.0818713450292399E-3</c:v>
                </c:pt>
                <c:pt idx="4">
                  <c:v>3.8523391812865498E-3</c:v>
                </c:pt>
                <c:pt idx="5">
                  <c:v>4.6228070175438601E-3</c:v>
                </c:pt>
                <c:pt idx="6">
                  <c:v>5.3932748538011704E-3</c:v>
                </c:pt>
                <c:pt idx="7">
                  <c:v>6.1637426900584807E-3</c:v>
                </c:pt>
                <c:pt idx="8">
                  <c:v>6.934210526315791E-3</c:v>
                </c:pt>
                <c:pt idx="9">
                  <c:v>7.7046783625731013E-3</c:v>
                </c:pt>
                <c:pt idx="10">
                  <c:v>8.4751461988304116E-3</c:v>
                </c:pt>
                <c:pt idx="11">
                  <c:v>9.2456140350877219E-3</c:v>
                </c:pt>
                <c:pt idx="12">
                  <c:v>1.0016081871345032E-2</c:v>
                </c:pt>
                <c:pt idx="13">
                  <c:v>1.0786549707602342E-2</c:v>
                </c:pt>
                <c:pt idx="14">
                  <c:v>1.1557017543859653E-2</c:v>
                </c:pt>
                <c:pt idx="15">
                  <c:v>1.2327485380116963E-2</c:v>
                </c:pt>
                <c:pt idx="16">
                  <c:v>1.3097953216374273E-2</c:v>
                </c:pt>
                <c:pt idx="17">
                  <c:v>1.3868421052631584E-2</c:v>
                </c:pt>
                <c:pt idx="18">
                  <c:v>1.4638888888888894E-2</c:v>
                </c:pt>
                <c:pt idx="19">
                  <c:v>1.5409356725146204E-2</c:v>
                </c:pt>
                <c:pt idx="20">
                  <c:v>1.6179824561403513E-2</c:v>
                </c:pt>
                <c:pt idx="21">
                  <c:v>1.6950292397660823E-2</c:v>
                </c:pt>
                <c:pt idx="22">
                  <c:v>1.7720760233918133E-2</c:v>
                </c:pt>
                <c:pt idx="23">
                  <c:v>1.8491228070175444E-2</c:v>
                </c:pt>
                <c:pt idx="24">
                  <c:v>1.9261695906432754E-2</c:v>
                </c:pt>
                <c:pt idx="25">
                  <c:v>2.0032163742690064E-2</c:v>
                </c:pt>
                <c:pt idx="26">
                  <c:v>2.0802631578947375E-2</c:v>
                </c:pt>
                <c:pt idx="27">
                  <c:v>2.1573099415204685E-2</c:v>
                </c:pt>
                <c:pt idx="28">
                  <c:v>2.2343567251461995E-2</c:v>
                </c:pt>
                <c:pt idx="29">
                  <c:v>2.3114035087719306E-2</c:v>
                </c:pt>
                <c:pt idx="30">
                  <c:v>2.3884502923976616E-2</c:v>
                </c:pt>
                <c:pt idx="31">
                  <c:v>2.4654970760233926E-2</c:v>
                </c:pt>
                <c:pt idx="32">
                  <c:v>2.5425438596491236E-2</c:v>
                </c:pt>
                <c:pt idx="33">
                  <c:v>2.6195906432748547E-2</c:v>
                </c:pt>
                <c:pt idx="34">
                  <c:v>2.6966374269005857E-2</c:v>
                </c:pt>
                <c:pt idx="35">
                  <c:v>2.7736842105263167E-2</c:v>
                </c:pt>
                <c:pt idx="36">
                  <c:v>2.8507309941520478E-2</c:v>
                </c:pt>
                <c:pt idx="37">
                  <c:v>2.9277777777777788E-2</c:v>
                </c:pt>
                <c:pt idx="38">
                  <c:v>3.0048245614035098E-2</c:v>
                </c:pt>
                <c:pt idx="39">
                  <c:v>3.0818713450292409E-2</c:v>
                </c:pt>
                <c:pt idx="40">
                  <c:v>3.171154970760235E-2</c:v>
                </c:pt>
                <c:pt idx="41">
                  <c:v>3.2604385964912289E-2</c:v>
                </c:pt>
                <c:pt idx="42">
                  <c:v>3.3497222222222227E-2</c:v>
                </c:pt>
                <c:pt idx="43">
                  <c:v>3.4390058479532165E-2</c:v>
                </c:pt>
                <c:pt idx="44">
                  <c:v>3.5282894736842103E-2</c:v>
                </c:pt>
                <c:pt idx="45">
                  <c:v>3.6175730994152042E-2</c:v>
                </c:pt>
                <c:pt idx="46">
                  <c:v>3.706856725146198E-2</c:v>
                </c:pt>
                <c:pt idx="47">
                  <c:v>3.7961403508771918E-2</c:v>
                </c:pt>
                <c:pt idx="48">
                  <c:v>3.8854239766081856E-2</c:v>
                </c:pt>
                <c:pt idx="49">
                  <c:v>3.9747076023391795E-2</c:v>
                </c:pt>
                <c:pt idx="50">
                  <c:v>4.0639912280701733E-2</c:v>
                </c:pt>
                <c:pt idx="51">
                  <c:v>4.1532748538011671E-2</c:v>
                </c:pt>
                <c:pt idx="52">
                  <c:v>4.2425584795321609E-2</c:v>
                </c:pt>
                <c:pt idx="53">
                  <c:v>4.3318421052631548E-2</c:v>
                </c:pt>
                <c:pt idx="54">
                  <c:v>4.4211257309941486E-2</c:v>
                </c:pt>
                <c:pt idx="55">
                  <c:v>4.5104093567251424E-2</c:v>
                </c:pt>
                <c:pt idx="56">
                  <c:v>4.5996929824561363E-2</c:v>
                </c:pt>
                <c:pt idx="57">
                  <c:v>4.6889766081871301E-2</c:v>
                </c:pt>
                <c:pt idx="58">
                  <c:v>4.7782602339181239E-2</c:v>
                </c:pt>
                <c:pt idx="59">
                  <c:v>4.8675438596491177E-2</c:v>
                </c:pt>
                <c:pt idx="60">
                  <c:v>4.9568274853801116E-2</c:v>
                </c:pt>
                <c:pt idx="61">
                  <c:v>5.0461111111111054E-2</c:v>
                </c:pt>
                <c:pt idx="62">
                  <c:v>5.1353947368420992E-2</c:v>
                </c:pt>
                <c:pt idx="63">
                  <c:v>5.224678362573093E-2</c:v>
                </c:pt>
                <c:pt idx="64">
                  <c:v>5.3139619883040869E-2</c:v>
                </c:pt>
                <c:pt idx="65">
                  <c:v>5.4032456140350807E-2</c:v>
                </c:pt>
                <c:pt idx="66">
                  <c:v>5.4925292397660745E-2</c:v>
                </c:pt>
                <c:pt idx="67">
                  <c:v>5.5818128654970683E-2</c:v>
                </c:pt>
                <c:pt idx="68">
                  <c:v>5.6710964912280622E-2</c:v>
                </c:pt>
                <c:pt idx="69">
                  <c:v>5.760380116959056E-2</c:v>
                </c:pt>
                <c:pt idx="70">
                  <c:v>5.8496637426900498E-2</c:v>
                </c:pt>
                <c:pt idx="71">
                  <c:v>5.9389473684210436E-2</c:v>
                </c:pt>
                <c:pt idx="72">
                  <c:v>6.0282309941520375E-2</c:v>
                </c:pt>
                <c:pt idx="73">
                  <c:v>6.1175146198830313E-2</c:v>
                </c:pt>
                <c:pt idx="74">
                  <c:v>6.2067982456140251E-2</c:v>
                </c:pt>
                <c:pt idx="75">
                  <c:v>6.296081871345019E-2</c:v>
                </c:pt>
                <c:pt idx="76">
                  <c:v>6.3853654970760135E-2</c:v>
                </c:pt>
                <c:pt idx="77">
                  <c:v>6.474649122807008E-2</c:v>
                </c:pt>
                <c:pt idx="78">
                  <c:v>6.5639327485380025E-2</c:v>
                </c:pt>
                <c:pt idx="79">
                  <c:v>6.653216374268997E-2</c:v>
                </c:pt>
                <c:pt idx="80">
                  <c:v>6.7424999999999916E-2</c:v>
                </c:pt>
                <c:pt idx="81">
                  <c:v>6.8317836257309861E-2</c:v>
                </c:pt>
                <c:pt idx="82">
                  <c:v>6.9210672514619806E-2</c:v>
                </c:pt>
                <c:pt idx="83">
                  <c:v>7.0103508771929751E-2</c:v>
                </c:pt>
                <c:pt idx="84">
                  <c:v>7.0308694896842244E-2</c:v>
                </c:pt>
                <c:pt idx="85">
                  <c:v>7.079734898866484E-2</c:v>
                </c:pt>
                <c:pt idx="86">
                  <c:v>7.1501718772324085E-2</c:v>
                </c:pt>
                <c:pt idx="87">
                  <c:v>7.2037625943671552E-2</c:v>
                </c:pt>
                <c:pt idx="88">
                  <c:v>7.2517646623072016E-2</c:v>
                </c:pt>
                <c:pt idx="89">
                  <c:v>7.3010165647030875E-2</c:v>
                </c:pt>
                <c:pt idx="90">
                  <c:v>7.3515271252621084E-2</c:v>
                </c:pt>
                <c:pt idx="91">
                  <c:v>7.4033052826337264E-2</c:v>
                </c:pt>
                <c:pt idx="92">
                  <c:v>7.4563600904095736E-2</c:v>
                </c:pt>
                <c:pt idx="93">
                  <c:v>7.5107007171234488E-2</c:v>
                </c:pt>
                <c:pt idx="94">
                  <c:v>7.5663364462513177E-2</c:v>
                </c:pt>
                <c:pt idx="95">
                  <c:v>7.6232766762113144E-2</c:v>
                </c:pt>
                <c:pt idx="96">
                  <c:v>7.6815309203637411E-2</c:v>
                </c:pt>
                <c:pt idx="97">
                  <c:v>7.741108807011067E-2</c:v>
                </c:pt>
                <c:pt idx="98">
                  <c:v>7.8020200793979297E-2</c:v>
                </c:pt>
                <c:pt idx="99">
                  <c:v>7.8642745957111335E-2</c:v>
                </c:pt>
                <c:pt idx="100">
                  <c:v>7.927882329079651E-2</c:v>
                </c:pt>
                <c:pt idx="101">
                  <c:v>7.9928533675746219E-2</c:v>
                </c:pt>
                <c:pt idx="102">
                  <c:v>8.0591979142093553E-2</c:v>
                </c:pt>
                <c:pt idx="103">
                  <c:v>8.1269262869393261E-2</c:v>
                </c:pt>
                <c:pt idx="104">
                  <c:v>8.1960489186621785E-2</c:v>
                </c:pt>
                <c:pt idx="105">
                  <c:v>8.2665763572177225E-2</c:v>
                </c:pt>
                <c:pt idx="106">
                  <c:v>8.3385192653879378E-2</c:v>
                </c:pt>
                <c:pt idx="107">
                  <c:v>8.4118884208969708E-2</c:v>
                </c:pt>
                <c:pt idx="108">
                  <c:v>8.4866947164111362E-2</c:v>
                </c:pt>
                <c:pt idx="109">
                  <c:v>8.5629491595389143E-2</c:v>
                </c:pt>
                <c:pt idx="110">
                  <c:v>8.6406628728309565E-2</c:v>
                </c:pt>
                <c:pt idx="111">
                  <c:v>8.7198470937800782E-2</c:v>
                </c:pt>
                <c:pt idx="112">
                  <c:v>8.8005131748212659E-2</c:v>
                </c:pt>
                <c:pt idx="113">
                  <c:v>8.8826725833316716E-2</c:v>
                </c:pt>
                <c:pt idx="114">
                  <c:v>8.9663369016306158E-2</c:v>
                </c:pt>
                <c:pt idx="115">
                  <c:v>9.0515178269795868E-2</c:v>
                </c:pt>
                <c:pt idx="116">
                  <c:v>9.0515178269795868E-2</c:v>
                </c:pt>
                <c:pt idx="117">
                  <c:v>9.0515178269795868E-2</c:v>
                </c:pt>
                <c:pt idx="118">
                  <c:v>9.0515178269795868E-2</c:v>
                </c:pt>
                <c:pt idx="119">
                  <c:v>9.0515178269795868E-2</c:v>
                </c:pt>
                <c:pt idx="120">
                  <c:v>9.0515178269795868E-2</c:v>
                </c:pt>
                <c:pt idx="121">
                  <c:v>9.0515178269795868E-2</c:v>
                </c:pt>
                <c:pt idx="122">
                  <c:v>9.0515178269795868E-2</c:v>
                </c:pt>
                <c:pt idx="123">
                  <c:v>9.0515178269795868E-2</c:v>
                </c:pt>
                <c:pt idx="124">
                  <c:v>9.0515178269795868E-2</c:v>
                </c:pt>
                <c:pt idx="125">
                  <c:v>9.0515178269795868E-2</c:v>
                </c:pt>
                <c:pt idx="126">
                  <c:v>9.0515178269795868E-2</c:v>
                </c:pt>
                <c:pt idx="127">
                  <c:v>9.0515178269795868E-2</c:v>
                </c:pt>
                <c:pt idx="128">
                  <c:v>9.0515178269795868E-2</c:v>
                </c:pt>
                <c:pt idx="129">
                  <c:v>9.0515178269795868E-2</c:v>
                </c:pt>
                <c:pt idx="130">
                  <c:v>9.0515178269795868E-2</c:v>
                </c:pt>
                <c:pt idx="131">
                  <c:v>9.0515178269795868E-2</c:v>
                </c:pt>
                <c:pt idx="132">
                  <c:v>9.0515178269795868E-2</c:v>
                </c:pt>
                <c:pt idx="133">
                  <c:v>9.0515178269795868E-2</c:v>
                </c:pt>
                <c:pt idx="134">
                  <c:v>9.0515178269795868E-2</c:v>
                </c:pt>
                <c:pt idx="135">
                  <c:v>9.0515178269795868E-2</c:v>
                </c:pt>
                <c:pt idx="136">
                  <c:v>9.0515178269795868E-2</c:v>
                </c:pt>
                <c:pt idx="137">
                  <c:v>9.0515178269795868E-2</c:v>
                </c:pt>
                <c:pt idx="138">
                  <c:v>9.0515178269795868E-2</c:v>
                </c:pt>
                <c:pt idx="139">
                  <c:v>9.0515178269795868E-2</c:v>
                </c:pt>
                <c:pt idx="140">
                  <c:v>9.0515178269795868E-2</c:v>
                </c:pt>
                <c:pt idx="141">
                  <c:v>9.0515178269795868E-2</c:v>
                </c:pt>
                <c:pt idx="142">
                  <c:v>9.0515178269795868E-2</c:v>
                </c:pt>
                <c:pt idx="143">
                  <c:v>9.0515178269795868E-2</c:v>
                </c:pt>
                <c:pt idx="144">
                  <c:v>9.0515178269795868E-2</c:v>
                </c:pt>
                <c:pt idx="145">
                  <c:v>9.0515178269795868E-2</c:v>
                </c:pt>
                <c:pt idx="146">
                  <c:v>9.0515178269795868E-2</c:v>
                </c:pt>
                <c:pt idx="147">
                  <c:v>9.0515178269795868E-2</c:v>
                </c:pt>
                <c:pt idx="148">
                  <c:v>9.0515178269795868E-2</c:v>
                </c:pt>
                <c:pt idx="149">
                  <c:v>9.0515178269795868E-2</c:v>
                </c:pt>
                <c:pt idx="150">
                  <c:v>9.0515178269795868E-2</c:v>
                </c:pt>
                <c:pt idx="151">
                  <c:v>9.0515178269795868E-2</c:v>
                </c:pt>
                <c:pt idx="152">
                  <c:v>9.0515178269795868E-2</c:v>
                </c:pt>
                <c:pt idx="153">
                  <c:v>9.0515178269795868E-2</c:v>
                </c:pt>
                <c:pt idx="154">
                  <c:v>9.0515178269795868E-2</c:v>
                </c:pt>
                <c:pt idx="155">
                  <c:v>9.0515178269795868E-2</c:v>
                </c:pt>
                <c:pt idx="156">
                  <c:v>9.0515178269795868E-2</c:v>
                </c:pt>
                <c:pt idx="157">
                  <c:v>9.0515178269795868E-2</c:v>
                </c:pt>
                <c:pt idx="158">
                  <c:v>9.1408014527105813E-2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DF9-475D-8EB7-6D0F93EE5C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3888208"/>
        <c:axId val="813886896"/>
      </c:scatterChart>
      <c:valAx>
        <c:axId val="813888208"/>
        <c:scaling>
          <c:orientation val="minMax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6896"/>
        <c:crosses val="autoZero"/>
        <c:crossBetween val="midCat"/>
      </c:valAx>
      <c:valAx>
        <c:axId val="813886896"/>
        <c:scaling>
          <c:orientation val="minMax"/>
          <c:max val="0.2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Fuel Usage (L/s)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138882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1817917</xdr:colOff>
      <xdr:row>7</xdr:row>
      <xdr:rowOff>4383</xdr:rowOff>
    </xdr:from>
    <xdr:to>
      <xdr:col>38</xdr:col>
      <xdr:colOff>1344872</xdr:colOff>
      <xdr:row>33</xdr:row>
      <xdr:rowOff>58267</xdr:rowOff>
    </xdr:to>
    <xdr:pic>
      <xdr:nvPicPr>
        <xdr:cNvPr id="4" name="Picture 3" descr="See the source image">
          <a:extLst>
            <a:ext uri="{FF2B5EF4-FFF2-40B4-BE49-F238E27FC236}">
              <a16:creationId xmlns:a16="http://schemas.microsoft.com/office/drawing/2014/main" id="{38D5E910-0730-4EC6-A5FB-B0B4FFAE2A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56717" y="1204533"/>
          <a:ext cx="7032655" cy="45115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34</xdr:col>
      <xdr:colOff>1362</xdr:colOff>
      <xdr:row>34</xdr:row>
      <xdr:rowOff>13605</xdr:rowOff>
    </xdr:from>
    <xdr:to>
      <xdr:col>38</xdr:col>
      <xdr:colOff>1307647</xdr:colOff>
      <xdr:row>56</xdr:row>
      <xdr:rowOff>35376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6B2E623-13A5-4E82-9530-CCDB13187F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34</xdr:col>
      <xdr:colOff>12246</xdr:colOff>
      <xdr:row>65</xdr:row>
      <xdr:rowOff>6804</xdr:rowOff>
    </xdr:from>
    <xdr:to>
      <xdr:col>39</xdr:col>
      <xdr:colOff>538843</xdr:colOff>
      <xdr:row>84</xdr:row>
      <xdr:rowOff>123824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3173D22-8DE7-4C8E-B976-A143DC29B6C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12</xdr:col>
      <xdr:colOff>239486</xdr:colOff>
      <xdr:row>21</xdr:row>
      <xdr:rowOff>160020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6B8759-2729-44C6-A97F-51F808A0D5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67640"/>
          <a:ext cx="7924800" cy="35128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1</xdr:row>
      <xdr:rowOff>12700</xdr:rowOff>
    </xdr:from>
    <xdr:to>
      <xdr:col>8</xdr:col>
      <xdr:colOff>293914</xdr:colOff>
      <xdr:row>17</xdr:row>
      <xdr:rowOff>73660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ED6FF6E-44B9-4EC5-AA8E-92A94FC196F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</xdr:row>
      <xdr:rowOff>0</xdr:rowOff>
    </xdr:from>
    <xdr:to>
      <xdr:col>17</xdr:col>
      <xdr:colOff>65314</xdr:colOff>
      <xdr:row>17</xdr:row>
      <xdr:rowOff>101600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DE077D0-D52C-453E-A7A1-03F74E5747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18</xdr:row>
      <xdr:rowOff>114300</xdr:rowOff>
    </xdr:from>
    <xdr:to>
      <xdr:col>21</xdr:col>
      <xdr:colOff>558800</xdr:colOff>
      <xdr:row>39</xdr:row>
      <xdr:rowOff>127000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C53E76D-1AD1-4761-A903-40086AB9F14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41</xdr:row>
      <xdr:rowOff>80682</xdr:rowOff>
    </xdr:from>
    <xdr:to>
      <xdr:col>22</xdr:col>
      <xdr:colOff>101600</xdr:colOff>
      <xdr:row>60</xdr:row>
      <xdr:rowOff>144182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CB28945-0348-426C-9F27-92BD2005A5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605117</xdr:colOff>
      <xdr:row>1</xdr:row>
      <xdr:rowOff>4764</xdr:rowOff>
    </xdr:from>
    <xdr:to>
      <xdr:col>14</xdr:col>
      <xdr:colOff>52294</xdr:colOff>
      <xdr:row>31</xdr:row>
      <xdr:rowOff>72838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C1FD5A-901F-4C70-A9F5-2A63735BCC9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1463" t="26822" r="15562" b="11070"/>
        <a:stretch/>
      </xdr:blipFill>
      <xdr:spPr>
        <a:xfrm>
          <a:off x="605117" y="169117"/>
          <a:ext cx="8023412" cy="49986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s://www.safeenergyswitch.co.uk/electricity-prices-per-kwh.php" TargetMode="External"/><Relationship Id="rId1" Type="http://schemas.openxmlformats.org/officeDocument/2006/relationships/hyperlink" Target="https://www.rac.co.uk/drive/advice/fuel-watch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://www.wankel-ag.de/seite1_e.html" TargetMode="External"/><Relationship Id="rId2" Type="http://schemas.openxmlformats.org/officeDocument/2006/relationships/hyperlink" Target="https://www.ktm.com/en-gb/models/mx/4-stroke/ktm-450-sx-f-factoryedition2021.html" TargetMode="External"/><Relationship Id="rId1" Type="http://schemas.openxmlformats.org/officeDocument/2006/relationships/hyperlink" Target="https://www.husqvarna-motorcycles.com/en-gb/models/supermoto/701-supermoto-2022.html" TargetMode="External"/><Relationship Id="rId4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481"/>
  <sheetViews>
    <sheetView tabSelected="1" zoomScale="80" zoomScaleNormal="80" workbookViewId="0">
      <pane ySplit="6" topLeftCell="A7" activePane="bottomLeft" state="frozen"/>
      <selection pane="bottomLeft" activeCell="AH9" sqref="AH9"/>
    </sheetView>
  </sheetViews>
  <sheetFormatPr defaultRowHeight="13.2" x14ac:dyDescent="0.25"/>
  <cols>
    <col min="1" max="2" width="8.88671875" style="1"/>
    <col min="3" max="3" width="17.77734375" style="1" bestFit="1" customWidth="1"/>
    <col min="4" max="4" width="11.6640625" style="1" customWidth="1"/>
    <col min="5" max="5" width="17.5546875" style="2" bestFit="1" customWidth="1"/>
    <col min="6" max="6" width="26.44140625" style="1" bestFit="1" customWidth="1"/>
    <col min="7" max="7" width="16" style="1" bestFit="1" customWidth="1"/>
    <col min="8" max="8" width="16" style="2" customWidth="1"/>
    <col min="9" max="9" width="22.21875" style="2" bestFit="1" customWidth="1"/>
    <col min="10" max="10" width="22" style="2" bestFit="1" customWidth="1"/>
    <col min="11" max="11" width="25.5546875" style="2" bestFit="1" customWidth="1"/>
    <col min="12" max="12" width="24.6640625" style="1" bestFit="1" customWidth="1"/>
    <col min="13" max="13" width="19.88671875" style="1" bestFit="1" customWidth="1"/>
    <col min="14" max="14" width="18.21875" style="1" bestFit="1" customWidth="1"/>
    <col min="15" max="17" width="17.33203125" style="1" customWidth="1"/>
    <col min="18" max="18" width="23.88671875" style="1" bestFit="1" customWidth="1"/>
    <col min="19" max="19" width="17.5546875" style="1" bestFit="1" customWidth="1"/>
    <col min="20" max="20" width="21" style="1" bestFit="1" customWidth="1"/>
    <col min="21" max="21" width="16.5546875" style="1" bestFit="1" customWidth="1"/>
    <col min="22" max="22" width="22.21875" style="17" bestFit="1" customWidth="1"/>
    <col min="23" max="23" width="22.21875" style="17" customWidth="1"/>
    <col min="24" max="24" width="17.109375" style="17" customWidth="1"/>
    <col min="25" max="25" width="20.88671875" style="17" bestFit="1" customWidth="1"/>
    <col min="26" max="26" width="24.5546875" style="18" bestFit="1" customWidth="1"/>
    <col min="27" max="27" width="25.44140625" style="18" bestFit="1" customWidth="1"/>
    <col min="28" max="28" width="30.44140625" style="1" customWidth="1"/>
    <col min="29" max="29" width="9.33203125" style="1" customWidth="1"/>
    <col min="30" max="30" width="18.109375" style="1" bestFit="1" customWidth="1"/>
    <col min="31" max="31" width="18.5546875" style="1" bestFit="1" customWidth="1"/>
    <col min="32" max="33" width="23.88671875" style="1" bestFit="1" customWidth="1"/>
    <col min="34" max="34" width="26.6640625" style="11" bestFit="1" customWidth="1"/>
    <col min="35" max="35" width="18.6640625" style="11" bestFit="1" customWidth="1"/>
    <col min="36" max="36" width="23.88671875" style="1" bestFit="1" customWidth="1"/>
    <col min="37" max="37" width="20.109375" style="11" customWidth="1"/>
    <col min="38" max="41" width="20.109375" style="18" customWidth="1"/>
    <col min="42" max="42" width="29.77734375" style="11" customWidth="1"/>
    <col min="43" max="43" width="21.88671875" style="1" bestFit="1" customWidth="1"/>
    <col min="44" max="16384" width="8.88671875" style="1"/>
  </cols>
  <sheetData>
    <row r="1" spans="1:65" x14ac:dyDescent="0.25">
      <c r="A1" s="124" t="s">
        <v>3</v>
      </c>
      <c r="B1" s="125"/>
      <c r="C1" s="126"/>
      <c r="D1" s="10" t="s">
        <v>5</v>
      </c>
      <c r="E1" s="10" t="s">
        <v>6</v>
      </c>
      <c r="F1" s="10" t="s">
        <v>8</v>
      </c>
      <c r="G1" s="10" t="s">
        <v>12</v>
      </c>
      <c r="H1" s="10" t="s">
        <v>13</v>
      </c>
      <c r="I1" s="10" t="s">
        <v>54</v>
      </c>
      <c r="J1" s="33" t="s">
        <v>108</v>
      </c>
      <c r="K1" s="10" t="s">
        <v>53</v>
      </c>
      <c r="L1" s="10" t="s">
        <v>42</v>
      </c>
      <c r="M1" s="10" t="s">
        <v>34</v>
      </c>
      <c r="P1" s="123" t="s">
        <v>57</v>
      </c>
      <c r="Q1" s="123"/>
      <c r="R1" s="123"/>
      <c r="T1" s="123" t="s">
        <v>58</v>
      </c>
      <c r="U1" s="123"/>
      <c r="V1" s="123"/>
      <c r="X1" s="10" t="s">
        <v>43</v>
      </c>
      <c r="Y1" s="10" t="s">
        <v>44</v>
      </c>
      <c r="Z1" s="73" t="s">
        <v>117</v>
      </c>
      <c r="AA1" s="73" t="s">
        <v>118</v>
      </c>
      <c r="AD1" s="106" t="s">
        <v>35</v>
      </c>
      <c r="AE1" s="106"/>
      <c r="AF1" s="106"/>
      <c r="AH1" s="106" t="s">
        <v>56</v>
      </c>
      <c r="AI1" s="106"/>
      <c r="AJ1" s="106"/>
    </row>
    <row r="2" spans="1:65" x14ac:dyDescent="0.25">
      <c r="A2" s="122">
        <f>2069/158</f>
        <v>13.094936708860759</v>
      </c>
      <c r="B2" s="122"/>
      <c r="C2" s="122"/>
      <c r="D2" s="21">
        <v>0.6</v>
      </c>
      <c r="E2" s="21">
        <v>1.35</v>
      </c>
      <c r="F2" s="21">
        <v>1.226</v>
      </c>
      <c r="G2" s="21">
        <v>9.81</v>
      </c>
      <c r="H2" s="21">
        <v>365</v>
      </c>
      <c r="I2" s="21">
        <f>(29*0.8)+5</f>
        <v>28.200000000000003</v>
      </c>
      <c r="J2" s="32">
        <f>12.3+6.7+43.29+2.25+1.9</f>
        <v>66.44</v>
      </c>
      <c r="K2" s="21">
        <v>160</v>
      </c>
      <c r="L2" s="21">
        <f>H2+I2+J2+K2</f>
        <v>619.64</v>
      </c>
      <c r="M2" s="34">
        <v>0.6</v>
      </c>
      <c r="P2" s="10" t="s">
        <v>20</v>
      </c>
      <c r="Q2" s="10" t="s">
        <v>22</v>
      </c>
      <c r="R2" s="10" t="s">
        <v>21</v>
      </c>
      <c r="T2" s="10" t="s">
        <v>27</v>
      </c>
      <c r="U2" s="10" t="s">
        <v>28</v>
      </c>
      <c r="V2" s="10" t="s">
        <v>29</v>
      </c>
      <c r="X2" s="22">
        <f>MAX(Z7:Z165)</f>
        <v>48.326128088417036</v>
      </c>
      <c r="Y2" s="22">
        <f>AVERAGE(Z7:Z165)</f>
        <v>17.869699614590235</v>
      </c>
      <c r="Z2" s="22">
        <f>AVERAGE(V7:V165)</f>
        <v>4.2059242049957151</v>
      </c>
      <c r="AA2" s="22">
        <f>AVERAGE(W7:W165)</f>
        <v>1.1975940444768622</v>
      </c>
      <c r="AD2" s="10" t="s">
        <v>32</v>
      </c>
      <c r="AE2" s="10" t="s">
        <v>31</v>
      </c>
      <c r="AF2" s="10" t="s">
        <v>33</v>
      </c>
      <c r="AH2" s="10" t="s">
        <v>32</v>
      </c>
      <c r="AI2" s="10" t="s">
        <v>31</v>
      </c>
      <c r="AJ2" s="10" t="s">
        <v>33</v>
      </c>
    </row>
    <row r="3" spans="1:65" s="2" customFormat="1" x14ac:dyDescent="0.25">
      <c r="P3" s="21">
        <v>0.06</v>
      </c>
      <c r="Q3" s="21">
        <v>0.08</v>
      </c>
      <c r="R3" s="21">
        <v>0.2</v>
      </c>
      <c r="T3" s="21">
        <v>0.6</v>
      </c>
      <c r="U3" s="21">
        <v>0.68</v>
      </c>
      <c r="V3" s="21">
        <v>0.36</v>
      </c>
      <c r="W3" s="18"/>
      <c r="X3" s="18"/>
      <c r="Y3" s="18"/>
      <c r="AA3" s="18"/>
      <c r="AD3" s="21">
        <f>T3*($L$2*$M$2*9.81)</f>
        <v>2188.320624</v>
      </c>
      <c r="AE3" s="21">
        <f>U3*($L$2*$M$2*9.81)</f>
        <v>2480.0967072000003</v>
      </c>
      <c r="AF3" s="21">
        <f>V3*($L$2*$M$2*9.81)</f>
        <v>1312.9923744</v>
      </c>
      <c r="AH3" s="21">
        <f>AD3/$L$2</f>
        <v>3.5316000000000001</v>
      </c>
      <c r="AI3" s="21">
        <f>AE3/$L$2</f>
        <v>4.0024800000000003</v>
      </c>
      <c r="AJ3" s="21">
        <f>AF3/$L$2</f>
        <v>2.11896</v>
      </c>
      <c r="AK3" s="11"/>
      <c r="AL3" s="18"/>
      <c r="AM3" s="18"/>
      <c r="AN3" s="18"/>
      <c r="AO3" s="18"/>
      <c r="AP3" s="11"/>
    </row>
    <row r="4" spans="1:65" s="18" customFormat="1" x14ac:dyDescent="0.25"/>
    <row r="5" spans="1:65" x14ac:dyDescent="0.25">
      <c r="V5" s="1"/>
      <c r="W5" s="18"/>
      <c r="X5" s="18"/>
      <c r="Y5" s="18"/>
      <c r="AA5" s="127" t="s">
        <v>189</v>
      </c>
      <c r="AB5" s="127"/>
      <c r="AC5" s="127"/>
      <c r="AD5" s="127"/>
      <c r="AE5" s="107"/>
      <c r="AF5" s="107"/>
    </row>
    <row r="6" spans="1:65" x14ac:dyDescent="0.25">
      <c r="A6" s="10" t="s">
        <v>0</v>
      </c>
      <c r="B6" s="10" t="s">
        <v>1</v>
      </c>
      <c r="C6" s="10" t="s">
        <v>10</v>
      </c>
      <c r="D6" s="10" t="s">
        <v>2</v>
      </c>
      <c r="E6" s="10" t="s">
        <v>11</v>
      </c>
      <c r="F6" s="10" t="s">
        <v>4</v>
      </c>
      <c r="G6" s="10" t="s">
        <v>7</v>
      </c>
      <c r="H6" s="10" t="s">
        <v>23</v>
      </c>
      <c r="I6" s="10" t="s">
        <v>24</v>
      </c>
      <c r="J6" s="10" t="s">
        <v>25</v>
      </c>
      <c r="K6" s="10" t="s">
        <v>26</v>
      </c>
      <c r="L6" s="10" t="s">
        <v>9</v>
      </c>
      <c r="M6" s="10" t="s">
        <v>14</v>
      </c>
      <c r="N6" s="10" t="s">
        <v>15</v>
      </c>
      <c r="O6" s="10" t="s">
        <v>16</v>
      </c>
      <c r="P6" s="10" t="s">
        <v>17</v>
      </c>
      <c r="Q6" s="10" t="s">
        <v>18</v>
      </c>
      <c r="R6" s="10" t="s">
        <v>45</v>
      </c>
      <c r="S6" s="10" t="s">
        <v>19</v>
      </c>
      <c r="T6" s="10" t="s">
        <v>55</v>
      </c>
      <c r="U6" s="10" t="s">
        <v>30</v>
      </c>
      <c r="V6" s="10" t="s">
        <v>115</v>
      </c>
      <c r="W6" s="33" t="s">
        <v>116</v>
      </c>
      <c r="X6" s="10" t="s">
        <v>50</v>
      </c>
      <c r="Y6" s="10" t="s">
        <v>51</v>
      </c>
      <c r="Z6" s="10" t="s">
        <v>49</v>
      </c>
      <c r="AA6" s="10" t="s">
        <v>52</v>
      </c>
      <c r="AB6" s="10" t="s">
        <v>46</v>
      </c>
      <c r="AC6" s="10" t="s">
        <v>41</v>
      </c>
      <c r="AD6" s="10" t="s">
        <v>47</v>
      </c>
      <c r="AE6" s="38" t="s">
        <v>48</v>
      </c>
      <c r="AF6" s="38" t="s">
        <v>113</v>
      </c>
      <c r="AG6" s="10" t="s">
        <v>114</v>
      </c>
      <c r="AH6" s="1"/>
      <c r="AI6" s="1"/>
      <c r="AK6" s="1"/>
    </row>
    <row r="7" spans="1:65" x14ac:dyDescent="0.25">
      <c r="A7" s="8">
        <v>53.30997</v>
      </c>
      <c r="B7" s="8">
        <v>-5.9659999999999998E-2</v>
      </c>
      <c r="C7" s="8">
        <v>106</v>
      </c>
      <c r="D7" s="8">
        <v>0</v>
      </c>
      <c r="E7" s="8">
        <v>0</v>
      </c>
      <c r="F7" s="8">
        <v>30</v>
      </c>
      <c r="G7" s="9">
        <f>F7/3.6</f>
        <v>8.3333333333333339</v>
      </c>
      <c r="H7" s="9">
        <v>0</v>
      </c>
      <c r="I7" s="9">
        <f>H7</f>
        <v>0</v>
      </c>
      <c r="J7" s="8">
        <v>0</v>
      </c>
      <c r="K7" s="9">
        <f t="shared" ref="K7:K38" si="0">J7*$L$2</f>
        <v>0</v>
      </c>
      <c r="L7" s="9">
        <f>0.5*1.226*(G7^2)*$D$2*$E$2</f>
        <v>34.481250000000003</v>
      </c>
      <c r="M7" s="9">
        <f t="shared" ref="M7:M38" si="1">($L$2*$G$2*E7)/1000</f>
        <v>0</v>
      </c>
      <c r="N7" s="9">
        <f t="shared" ref="N7:N38" si="2">(0.5*$L$2*(G7^2))/1000</f>
        <v>21.515277777777779</v>
      </c>
      <c r="O7" s="9">
        <f>((E8-E7)/$A$2)</f>
        <v>1.9091348477525374E-2</v>
      </c>
      <c r="P7" s="9">
        <f>ATAN(O7)</f>
        <v>1.9089029515698654E-2</v>
      </c>
      <c r="Q7" s="9">
        <f>P7*(180/PI())</f>
        <v>1.0937208262501907</v>
      </c>
      <c r="R7" s="9">
        <f t="shared" ref="R7:R38" si="3">($L$2*$G$2*SIN(Q7))</f>
        <v>5399.9340166100437</v>
      </c>
      <c r="S7" s="8">
        <f t="shared" ref="S7:S38" si="4" xml:space="preserve"> ($P$3*($L$2*$G$2))</f>
        <v>364.72010399999999</v>
      </c>
      <c r="T7" s="9">
        <f>(S7+R7+L7+K7)/1000</f>
        <v>5.7991353706100437</v>
      </c>
      <c r="U7" s="9">
        <f>(T7*G7)</f>
        <v>48.326128088417036</v>
      </c>
      <c r="V7" s="9">
        <f>IF(U7&gt;6.2,6.2,U7)</f>
        <v>6.2</v>
      </c>
      <c r="W7" s="9">
        <f>U7-V7</f>
        <v>42.126128088417033</v>
      </c>
      <c r="X7" s="29">
        <f>IF(U7&gt;0,0,U7)</f>
        <v>0</v>
      </c>
      <c r="Y7" s="29">
        <f>X7</f>
        <v>0</v>
      </c>
      <c r="Z7" s="30">
        <f>IF(U7&lt;0,0,U7)</f>
        <v>48.326128088417036</v>
      </c>
      <c r="AA7" s="30">
        <f>Z7</f>
        <v>48.326128088417036</v>
      </c>
      <c r="AB7" s="31">
        <v>3000</v>
      </c>
      <c r="AC7" s="8">
        <v>340</v>
      </c>
      <c r="AD7" s="9">
        <f t="shared" ref="AD7:AD38" si="5">IF(V7&lt;0,((V7=0)*AC7/760),V7*AC7/760)</f>
        <v>2.7736842105263158</v>
      </c>
      <c r="AE7" s="30">
        <f>AD7/3600</f>
        <v>7.7046783625730998E-4</v>
      </c>
      <c r="AF7" s="30">
        <f>AE7</f>
        <v>7.7046783625730998E-4</v>
      </c>
      <c r="AG7" s="30">
        <f>(AF7/0.72)*1000</f>
        <v>1.0700942170240417</v>
      </c>
      <c r="AH7" s="1"/>
      <c r="AI7" s="1"/>
      <c r="AK7" s="1"/>
      <c r="AL7" s="19"/>
      <c r="AM7" s="19"/>
      <c r="AN7" s="19"/>
      <c r="AO7" s="19"/>
      <c r="AP7" s="19"/>
    </row>
    <row r="8" spans="1:65" x14ac:dyDescent="0.25">
      <c r="A8" s="8">
        <v>53.309570000000001</v>
      </c>
      <c r="B8" s="8">
        <v>-5.9990000000000002E-2</v>
      </c>
      <c r="C8" s="8">
        <v>104</v>
      </c>
      <c r="D8" s="9">
        <f t="shared" ref="D8:D39" si="6">D7+$A$2</f>
        <v>13.094936708860759</v>
      </c>
      <c r="E8" s="8">
        <v>0.25</v>
      </c>
      <c r="F8" s="8">
        <v>30</v>
      </c>
      <c r="G8" s="9">
        <f t="shared" ref="G8:G71" si="7">F8/3.6</f>
        <v>8.3333333333333339</v>
      </c>
      <c r="H8" s="9">
        <f t="shared" ref="H8:H71" si="8">(2*(D9-D8))/(G9+G8)</f>
        <v>1.5845973832571001</v>
      </c>
      <c r="I8" s="9">
        <f>I7+H8</f>
        <v>1.5845973832571001</v>
      </c>
      <c r="J8" s="9">
        <f>(G8-G7)/(I8-I7)</f>
        <v>0</v>
      </c>
      <c r="K8" s="9">
        <f t="shared" si="0"/>
        <v>0</v>
      </c>
      <c r="L8" s="9">
        <f t="shared" ref="L8:L71" si="9">0.5*1.226*(G8^2)*$D$2*$E$2</f>
        <v>34.481250000000003</v>
      </c>
      <c r="M8" s="9">
        <f t="shared" si="1"/>
        <v>1.5196671000000002</v>
      </c>
      <c r="N8" s="9">
        <f t="shared" si="2"/>
        <v>21.515277777777779</v>
      </c>
      <c r="O8" s="9">
        <f t="shared" ref="O8:O39" si="10">(E9-E8)/$A$2</f>
        <v>1.9091348477525374E-2</v>
      </c>
      <c r="P8" s="9">
        <f t="shared" ref="P8:P71" si="11">ATAN(O8)</f>
        <v>1.9089029515698654E-2</v>
      </c>
      <c r="Q8" s="9">
        <f t="shared" ref="Q8:Q71" si="12">P8*(180/PI())</f>
        <v>1.0937208262501907</v>
      </c>
      <c r="R8" s="9">
        <f t="shared" si="3"/>
        <v>5399.9340166100437</v>
      </c>
      <c r="S8" s="8">
        <f t="shared" si="4"/>
        <v>364.72010399999999</v>
      </c>
      <c r="T8" s="9">
        <f t="shared" ref="T8:T71" si="13">(S8+R8+L8+K8)/1000</f>
        <v>5.7991353706100437</v>
      </c>
      <c r="U8" s="9">
        <f t="shared" ref="U8:U71" si="14">(T8*G8)</f>
        <v>48.326128088417036</v>
      </c>
      <c r="V8" s="9">
        <f t="shared" ref="V8:V71" si="15">IF(U8&gt;6.2,6.2,U8)</f>
        <v>6.2</v>
      </c>
      <c r="W8" s="9">
        <f t="shared" ref="W8:W71" si="16">U8-V8</f>
        <v>42.126128088417033</v>
      </c>
      <c r="X8" s="29">
        <f t="shared" ref="X8:X71" si="17">IF(U8&gt;0,0,U8)</f>
        <v>0</v>
      </c>
      <c r="Y8" s="29">
        <f>Y7+X8</f>
        <v>0</v>
      </c>
      <c r="Z8" s="30">
        <f t="shared" ref="Z8:Z71" si="18">IF(U8&lt;0,0,U8)</f>
        <v>48.326128088417036</v>
      </c>
      <c r="AA8" s="30">
        <f>AA7+Z8</f>
        <v>96.652256176834072</v>
      </c>
      <c r="AB8" s="31">
        <v>3000</v>
      </c>
      <c r="AC8" s="8">
        <v>340</v>
      </c>
      <c r="AD8" s="9">
        <f t="shared" si="5"/>
        <v>2.7736842105263158</v>
      </c>
      <c r="AE8" s="30">
        <f t="shared" ref="AE8:AE71" si="19">AD8/3600</f>
        <v>7.7046783625730998E-4</v>
      </c>
      <c r="AF8" s="30">
        <f>AF7+AE8</f>
        <v>1.54093567251462E-3</v>
      </c>
      <c r="AG8" s="30">
        <f t="shared" ref="AG8:AG71" si="20">(AF8/0.72)*1000</f>
        <v>2.1401884340480835</v>
      </c>
      <c r="AH8" s="1"/>
      <c r="AI8" s="1"/>
      <c r="AK8" s="1"/>
      <c r="AL8" s="19"/>
      <c r="AM8" s="19"/>
      <c r="AN8" s="19"/>
      <c r="AO8" s="19"/>
      <c r="AP8" s="19"/>
    </row>
    <row r="9" spans="1:65" x14ac:dyDescent="0.25">
      <c r="A9" s="8">
        <v>53.309220000000003</v>
      </c>
      <c r="B9" s="8">
        <v>-6.0199999999999997E-2</v>
      </c>
      <c r="C9" s="8">
        <v>109</v>
      </c>
      <c r="D9" s="9">
        <f t="shared" si="6"/>
        <v>26.189873417721518</v>
      </c>
      <c r="E9" s="8">
        <v>0.5</v>
      </c>
      <c r="F9" s="8">
        <v>29.5</v>
      </c>
      <c r="G9" s="9">
        <f t="shared" si="7"/>
        <v>8.1944444444444446</v>
      </c>
      <c r="H9" s="9">
        <f t="shared" si="8"/>
        <v>1.5980261746406352</v>
      </c>
      <c r="I9" s="9">
        <f t="shared" ref="I9:I72" si="21">I8+H9</f>
        <v>3.1826235578977355</v>
      </c>
      <c r="J9" s="9">
        <f t="shared" ref="J9:J72" si="22">(G9-G8)/(I9-I8)</f>
        <v>-8.6912774704783952E-2</v>
      </c>
      <c r="K9" s="9">
        <f t="shared" si="0"/>
        <v>-53.854631718072326</v>
      </c>
      <c r="L9" s="9">
        <f t="shared" si="9"/>
        <v>33.341453125000001</v>
      </c>
      <c r="M9" s="9">
        <f t="shared" si="1"/>
        <v>3.0393342000000003</v>
      </c>
      <c r="N9" s="9">
        <f t="shared" si="2"/>
        <v>20.804078317901233</v>
      </c>
      <c r="O9" s="9">
        <f t="shared" si="10"/>
        <v>1.9091348477525374E-2</v>
      </c>
      <c r="P9" s="9">
        <f t="shared" si="11"/>
        <v>1.9089029515698654E-2</v>
      </c>
      <c r="Q9" s="9">
        <f t="shared" si="12"/>
        <v>1.0937208262501907</v>
      </c>
      <c r="R9" s="9">
        <f t="shared" si="3"/>
        <v>5399.9340166100437</v>
      </c>
      <c r="S9" s="8">
        <f t="shared" si="4"/>
        <v>364.72010399999999</v>
      </c>
      <c r="T9" s="9">
        <f t="shared" si="13"/>
        <v>5.7441409420169709</v>
      </c>
      <c r="U9" s="9">
        <f t="shared" si="14"/>
        <v>47.070043830416843</v>
      </c>
      <c r="V9" s="9">
        <f t="shared" si="15"/>
        <v>6.2</v>
      </c>
      <c r="W9" s="9">
        <f t="shared" si="16"/>
        <v>40.87004383041684</v>
      </c>
      <c r="X9" s="29">
        <f t="shared" si="17"/>
        <v>0</v>
      </c>
      <c r="Y9" s="29">
        <f t="shared" ref="Y9:Y72" si="23">Y8+X9</f>
        <v>0</v>
      </c>
      <c r="Z9" s="30">
        <f t="shared" si="18"/>
        <v>47.070043830416843</v>
      </c>
      <c r="AA9" s="30">
        <f t="shared" ref="AA9:AA72" si="24">AA8+Z9</f>
        <v>143.72230000725091</v>
      </c>
      <c r="AB9" s="31">
        <v>3000</v>
      </c>
      <c r="AC9" s="8">
        <v>340</v>
      </c>
      <c r="AD9" s="9">
        <f t="shared" si="5"/>
        <v>2.7736842105263158</v>
      </c>
      <c r="AE9" s="30">
        <f t="shared" si="19"/>
        <v>7.7046783625730998E-4</v>
      </c>
      <c r="AF9" s="30">
        <f>AF8+AE9</f>
        <v>2.31140350877193E-3</v>
      </c>
      <c r="AG9" s="30">
        <f t="shared" si="20"/>
        <v>3.210282651072125</v>
      </c>
      <c r="AH9" s="1"/>
      <c r="AI9" s="1"/>
      <c r="AK9" s="1"/>
      <c r="AL9" s="19"/>
      <c r="AM9" s="19"/>
      <c r="AN9" s="19"/>
      <c r="AO9" s="19"/>
      <c r="AP9" s="19"/>
    </row>
    <row r="10" spans="1:65" x14ac:dyDescent="0.25">
      <c r="A10" s="8">
        <v>53.30894</v>
      </c>
      <c r="B10" s="8">
        <v>-6.0380000000000003E-2</v>
      </c>
      <c r="C10" s="8">
        <v>115</v>
      </c>
      <c r="D10" s="9">
        <f t="shared" si="6"/>
        <v>39.284810126582279</v>
      </c>
      <c r="E10" s="8">
        <v>0.75</v>
      </c>
      <c r="F10" s="8">
        <v>29.5</v>
      </c>
      <c r="G10" s="9">
        <f t="shared" si="7"/>
        <v>8.1944444444444446</v>
      </c>
      <c r="H10" s="9">
        <f t="shared" si="8"/>
        <v>1.6048262860220845</v>
      </c>
      <c r="I10" s="9">
        <f t="shared" si="21"/>
        <v>4.7874498439198199</v>
      </c>
      <c r="J10" s="9">
        <f t="shared" si="22"/>
        <v>0</v>
      </c>
      <c r="K10" s="9">
        <f t="shared" si="0"/>
        <v>0</v>
      </c>
      <c r="L10" s="9">
        <f t="shared" si="9"/>
        <v>33.341453125000001</v>
      </c>
      <c r="M10" s="9">
        <f t="shared" si="1"/>
        <v>4.5590013000000003</v>
      </c>
      <c r="N10" s="9">
        <f t="shared" si="2"/>
        <v>20.804078317901233</v>
      </c>
      <c r="O10" s="9">
        <f t="shared" si="10"/>
        <v>1.9091348477525374E-2</v>
      </c>
      <c r="P10" s="9">
        <f t="shared" si="11"/>
        <v>1.9089029515698654E-2</v>
      </c>
      <c r="Q10" s="9">
        <f t="shared" si="12"/>
        <v>1.0937208262501907</v>
      </c>
      <c r="R10" s="9">
        <f t="shared" si="3"/>
        <v>5399.9340166100437</v>
      </c>
      <c r="S10" s="8">
        <f t="shared" si="4"/>
        <v>364.72010399999999</v>
      </c>
      <c r="T10" s="9">
        <f t="shared" si="13"/>
        <v>5.7979955737350437</v>
      </c>
      <c r="U10" s="9">
        <f t="shared" si="14"/>
        <v>47.511352618106606</v>
      </c>
      <c r="V10" s="9">
        <f t="shared" si="15"/>
        <v>6.2</v>
      </c>
      <c r="W10" s="9">
        <f t="shared" si="16"/>
        <v>41.311352618106604</v>
      </c>
      <c r="X10" s="29">
        <f t="shared" si="17"/>
        <v>0</v>
      </c>
      <c r="Y10" s="29">
        <f t="shared" si="23"/>
        <v>0</v>
      </c>
      <c r="Z10" s="30">
        <f t="shared" si="18"/>
        <v>47.511352618106606</v>
      </c>
      <c r="AA10" s="30">
        <f t="shared" si="24"/>
        <v>191.23365262535751</v>
      </c>
      <c r="AB10" s="31">
        <v>3000</v>
      </c>
      <c r="AC10" s="8">
        <v>340</v>
      </c>
      <c r="AD10" s="9">
        <f t="shared" si="5"/>
        <v>2.7736842105263158</v>
      </c>
      <c r="AE10" s="30">
        <f t="shared" si="19"/>
        <v>7.7046783625730998E-4</v>
      </c>
      <c r="AF10" s="30">
        <f t="shared" ref="AF10:AF73" si="25">AF9+AE10</f>
        <v>3.0818713450292399E-3</v>
      </c>
      <c r="AG10" s="30">
        <f t="shared" si="20"/>
        <v>4.2803768680961669</v>
      </c>
      <c r="AH10" s="1"/>
      <c r="AI10" s="1"/>
      <c r="AK10" s="1"/>
      <c r="AL10" s="19"/>
      <c r="AM10" s="19"/>
      <c r="AN10" s="19"/>
      <c r="AO10" s="19"/>
      <c r="AP10" s="19"/>
    </row>
    <row r="11" spans="1:65" x14ac:dyDescent="0.25">
      <c r="A11" s="8">
        <v>53.30856</v>
      </c>
      <c r="B11" s="8">
        <v>-6.0539999999999997E-2</v>
      </c>
      <c r="C11" s="8">
        <v>120</v>
      </c>
      <c r="D11" s="9">
        <f t="shared" si="6"/>
        <v>52.379746835443036</v>
      </c>
      <c r="E11" s="8">
        <v>1</v>
      </c>
      <c r="F11" s="8">
        <v>29.25</v>
      </c>
      <c r="G11" s="9">
        <f t="shared" si="7"/>
        <v>8.125</v>
      </c>
      <c r="H11" s="9">
        <f t="shared" si="8"/>
        <v>1.6186016189493133</v>
      </c>
      <c r="I11" s="9">
        <f t="shared" si="21"/>
        <v>6.406051462869133</v>
      </c>
      <c r="J11" s="9">
        <f t="shared" si="22"/>
        <v>-4.2903975648759876E-2</v>
      </c>
      <c r="K11" s="9">
        <f t="shared" si="0"/>
        <v>-26.585019470997569</v>
      </c>
      <c r="L11" s="9">
        <f t="shared" si="9"/>
        <v>32.778738281250007</v>
      </c>
      <c r="M11" s="9">
        <f t="shared" si="1"/>
        <v>6.0786684000000006</v>
      </c>
      <c r="N11" s="9">
        <f t="shared" si="2"/>
        <v>20.452960937499999</v>
      </c>
      <c r="O11" s="9">
        <f t="shared" si="10"/>
        <v>1.9091348477525374E-2</v>
      </c>
      <c r="P11" s="9">
        <f t="shared" si="11"/>
        <v>1.9089029515698654E-2</v>
      </c>
      <c r="Q11" s="9">
        <f t="shared" si="12"/>
        <v>1.0937208262501907</v>
      </c>
      <c r="R11" s="9">
        <f t="shared" si="3"/>
        <v>5399.9340166100437</v>
      </c>
      <c r="S11" s="8">
        <f t="shared" si="4"/>
        <v>364.72010399999999</v>
      </c>
      <c r="T11" s="9">
        <f t="shared" si="13"/>
        <v>5.7708478394202967</v>
      </c>
      <c r="U11" s="9">
        <f t="shared" si="14"/>
        <v>46.888138695289911</v>
      </c>
      <c r="V11" s="9">
        <f t="shared" si="15"/>
        <v>6.2</v>
      </c>
      <c r="W11" s="9">
        <f t="shared" si="16"/>
        <v>40.688138695289908</v>
      </c>
      <c r="X11" s="29">
        <f t="shared" si="17"/>
        <v>0</v>
      </c>
      <c r="Y11" s="29">
        <f t="shared" si="23"/>
        <v>0</v>
      </c>
      <c r="Z11" s="30">
        <f t="shared" si="18"/>
        <v>46.888138695289911</v>
      </c>
      <c r="AA11" s="30">
        <f t="shared" si="24"/>
        <v>238.12179132064742</v>
      </c>
      <c r="AB11" s="31">
        <v>3000</v>
      </c>
      <c r="AC11" s="8">
        <v>340</v>
      </c>
      <c r="AD11" s="9">
        <f t="shared" si="5"/>
        <v>2.7736842105263158</v>
      </c>
      <c r="AE11" s="30">
        <f t="shared" si="19"/>
        <v>7.7046783625730998E-4</v>
      </c>
      <c r="AF11" s="30">
        <f>AF10+AE11</f>
        <v>3.8523391812865498E-3</v>
      </c>
      <c r="AG11" s="30">
        <f t="shared" si="20"/>
        <v>5.3504710851202084</v>
      </c>
      <c r="AH11" s="1"/>
      <c r="AI11" s="1"/>
      <c r="AK11" s="1"/>
      <c r="AL11" s="19"/>
      <c r="AM11" s="19"/>
      <c r="AN11" s="19"/>
      <c r="AO11" s="19"/>
      <c r="AP11" s="19"/>
      <c r="AS11" s="11"/>
    </row>
    <row r="12" spans="1:65" x14ac:dyDescent="0.25">
      <c r="A12" s="8">
        <v>53.30829</v>
      </c>
      <c r="B12" s="8">
        <v>-6.0720000000000003E-2</v>
      </c>
      <c r="C12" s="8">
        <v>123</v>
      </c>
      <c r="D12" s="9">
        <f t="shared" si="6"/>
        <v>65.474683544303801</v>
      </c>
      <c r="E12" s="8">
        <v>1.25</v>
      </c>
      <c r="F12" s="8">
        <v>29</v>
      </c>
      <c r="G12" s="9">
        <f t="shared" si="7"/>
        <v>8.0555555555555554</v>
      </c>
      <c r="H12" s="9">
        <f t="shared" si="8"/>
        <v>1.6326154857800428</v>
      </c>
      <c r="I12" s="9">
        <f t="shared" si="21"/>
        <v>8.0386669486491762</v>
      </c>
      <c r="J12" s="9">
        <f t="shared" si="22"/>
        <v>-4.2535701179671807E-2</v>
      </c>
      <c r="K12" s="9">
        <f t="shared" si="0"/>
        <v>-26.356821878971839</v>
      </c>
      <c r="L12" s="9">
        <f t="shared" si="9"/>
        <v>32.220812500000001</v>
      </c>
      <c r="M12" s="9">
        <f t="shared" si="1"/>
        <v>7.598335500000001</v>
      </c>
      <c r="N12" s="9">
        <f t="shared" si="2"/>
        <v>20.104831790123455</v>
      </c>
      <c r="O12" s="9">
        <f t="shared" si="10"/>
        <v>1.9091348477525374E-2</v>
      </c>
      <c r="P12" s="9">
        <f t="shared" si="11"/>
        <v>1.9089029515698654E-2</v>
      </c>
      <c r="Q12" s="9">
        <f t="shared" si="12"/>
        <v>1.0937208262501907</v>
      </c>
      <c r="R12" s="9">
        <f t="shared" si="3"/>
        <v>5399.9340166100437</v>
      </c>
      <c r="S12" s="8">
        <f t="shared" si="4"/>
        <v>364.72010399999999</v>
      </c>
      <c r="T12" s="9">
        <f t="shared" si="13"/>
        <v>5.7705181112310724</v>
      </c>
      <c r="U12" s="9">
        <f t="shared" si="14"/>
        <v>46.484729229361413</v>
      </c>
      <c r="V12" s="9">
        <f t="shared" si="15"/>
        <v>6.2</v>
      </c>
      <c r="W12" s="9">
        <f t="shared" si="16"/>
        <v>40.28472922936141</v>
      </c>
      <c r="X12" s="29">
        <f t="shared" si="17"/>
        <v>0</v>
      </c>
      <c r="Y12" s="29">
        <f t="shared" si="23"/>
        <v>0</v>
      </c>
      <c r="Z12" s="30">
        <f t="shared" si="18"/>
        <v>46.484729229361413</v>
      </c>
      <c r="AA12" s="30">
        <f t="shared" si="24"/>
        <v>284.60652055000884</v>
      </c>
      <c r="AB12" s="31">
        <v>3000</v>
      </c>
      <c r="AC12" s="8">
        <v>340</v>
      </c>
      <c r="AD12" s="9">
        <f t="shared" si="5"/>
        <v>2.7736842105263158</v>
      </c>
      <c r="AE12" s="30">
        <f t="shared" si="19"/>
        <v>7.7046783625730998E-4</v>
      </c>
      <c r="AF12" s="30">
        <f>AF11+AE12</f>
        <v>4.6228070175438601E-3</v>
      </c>
      <c r="AG12" s="30">
        <f t="shared" si="20"/>
        <v>6.4205653021442499</v>
      </c>
      <c r="AH12" s="1"/>
      <c r="AI12" s="1"/>
      <c r="AK12" s="1"/>
      <c r="AL12" s="19"/>
      <c r="AM12" s="19"/>
      <c r="AN12" s="19"/>
      <c r="AO12" s="19"/>
      <c r="AP12" s="19"/>
    </row>
    <row r="13" spans="1:65" x14ac:dyDescent="0.25">
      <c r="A13" s="8">
        <v>53.308070000000001</v>
      </c>
      <c r="B13" s="8">
        <v>-6.0839999999999998E-2</v>
      </c>
      <c r="C13" s="8">
        <v>122</v>
      </c>
      <c r="D13" s="9">
        <f t="shared" si="6"/>
        <v>78.569620253164558</v>
      </c>
      <c r="E13" s="8">
        <v>1.5</v>
      </c>
      <c r="F13" s="8">
        <v>28.75</v>
      </c>
      <c r="G13" s="9">
        <f t="shared" si="7"/>
        <v>7.9861111111111107</v>
      </c>
      <c r="H13" s="9">
        <f t="shared" si="8"/>
        <v>1.6468741363108725</v>
      </c>
      <c r="I13" s="9">
        <f t="shared" si="21"/>
        <v>9.6855410849600485</v>
      </c>
      <c r="J13" s="9">
        <f t="shared" si="22"/>
        <v>-4.2167426710583759E-2</v>
      </c>
      <c r="K13" s="9">
        <f t="shared" si="0"/>
        <v>-26.12862428694612</v>
      </c>
      <c r="L13" s="9">
        <f t="shared" si="9"/>
        <v>31.667675781249997</v>
      </c>
      <c r="M13" s="9">
        <f t="shared" si="1"/>
        <v>9.1180026000000005</v>
      </c>
      <c r="N13" s="9">
        <f t="shared" si="2"/>
        <v>19.759690875771604</v>
      </c>
      <c r="O13" s="9">
        <f t="shared" si="10"/>
        <v>1.9091348477525374E-2</v>
      </c>
      <c r="P13" s="9">
        <f t="shared" si="11"/>
        <v>1.9089029515698654E-2</v>
      </c>
      <c r="Q13" s="9">
        <f t="shared" si="12"/>
        <v>1.0937208262501907</v>
      </c>
      <c r="R13" s="9">
        <f t="shared" si="3"/>
        <v>5399.9340166100437</v>
      </c>
      <c r="S13" s="8">
        <f t="shared" si="4"/>
        <v>364.72010399999999</v>
      </c>
      <c r="T13" s="9">
        <f t="shared" si="13"/>
        <v>5.7701931721043476</v>
      </c>
      <c r="U13" s="9">
        <f t="shared" si="14"/>
        <v>46.081403804999994</v>
      </c>
      <c r="V13" s="9">
        <f t="shared" si="15"/>
        <v>6.2</v>
      </c>
      <c r="W13" s="9">
        <f t="shared" si="16"/>
        <v>39.881403804999991</v>
      </c>
      <c r="X13" s="29">
        <f t="shared" si="17"/>
        <v>0</v>
      </c>
      <c r="Y13" s="29">
        <f t="shared" si="23"/>
        <v>0</v>
      </c>
      <c r="Z13" s="30">
        <f t="shared" si="18"/>
        <v>46.081403804999994</v>
      </c>
      <c r="AA13" s="30">
        <f t="shared" si="24"/>
        <v>330.68792435500882</v>
      </c>
      <c r="AB13" s="31">
        <v>3000</v>
      </c>
      <c r="AC13" s="8">
        <v>340</v>
      </c>
      <c r="AD13" s="9">
        <f t="shared" si="5"/>
        <v>2.7736842105263158</v>
      </c>
      <c r="AE13" s="30">
        <f t="shared" si="19"/>
        <v>7.7046783625730998E-4</v>
      </c>
      <c r="AF13" s="30">
        <f t="shared" si="25"/>
        <v>5.3932748538011704E-3</v>
      </c>
      <c r="AG13" s="30">
        <f t="shared" si="20"/>
        <v>7.4906595191682932</v>
      </c>
      <c r="AH13" s="1"/>
      <c r="AI13" s="1"/>
      <c r="AK13" s="1"/>
      <c r="AL13" s="19"/>
      <c r="AM13" s="19"/>
      <c r="AN13" s="19"/>
      <c r="AO13" s="19"/>
      <c r="AP13" s="19"/>
    </row>
    <row r="14" spans="1:65" x14ac:dyDescent="0.25">
      <c r="A14" s="8">
        <v>53.307870000000001</v>
      </c>
      <c r="B14" s="8">
        <v>-6.0949999999999997E-2</v>
      </c>
      <c r="C14" s="8">
        <v>121</v>
      </c>
      <c r="D14" s="9">
        <f t="shared" si="6"/>
        <v>91.664556962025316</v>
      </c>
      <c r="E14" s="8">
        <v>1.75</v>
      </c>
      <c r="F14" s="8">
        <v>28.5</v>
      </c>
      <c r="G14" s="9">
        <f t="shared" si="7"/>
        <v>7.9166666666666661</v>
      </c>
      <c r="H14" s="9">
        <f t="shared" si="8"/>
        <v>1.6613840405955498</v>
      </c>
      <c r="I14" s="9">
        <f t="shared" si="21"/>
        <v>11.346925125555599</v>
      </c>
      <c r="J14" s="9">
        <f t="shared" si="22"/>
        <v>-4.1799152241495684E-2</v>
      </c>
      <c r="K14" s="9">
        <f t="shared" si="0"/>
        <v>-25.900426694920384</v>
      </c>
      <c r="L14" s="9">
        <f t="shared" si="9"/>
        <v>31.119328124999996</v>
      </c>
      <c r="M14" s="9">
        <f t="shared" si="1"/>
        <v>10.6376697</v>
      </c>
      <c r="N14" s="9">
        <f t="shared" si="2"/>
        <v>19.417538194444443</v>
      </c>
      <c r="O14" s="9">
        <f t="shared" si="10"/>
        <v>1.9091348477525374E-2</v>
      </c>
      <c r="P14" s="9">
        <f t="shared" si="11"/>
        <v>1.9089029515698654E-2</v>
      </c>
      <c r="Q14" s="9">
        <f t="shared" si="12"/>
        <v>1.0937208262501907</v>
      </c>
      <c r="R14" s="9">
        <f t="shared" si="3"/>
        <v>5399.9340166100437</v>
      </c>
      <c r="S14" s="8">
        <f t="shared" si="4"/>
        <v>364.72010399999999</v>
      </c>
      <c r="T14" s="9">
        <f t="shared" si="13"/>
        <v>5.7698730220401231</v>
      </c>
      <c r="U14" s="9">
        <f t="shared" si="14"/>
        <v>45.678161424484301</v>
      </c>
      <c r="V14" s="9">
        <f t="shared" si="15"/>
        <v>6.2</v>
      </c>
      <c r="W14" s="9">
        <f t="shared" si="16"/>
        <v>39.478161424484298</v>
      </c>
      <c r="X14" s="29">
        <f t="shared" si="17"/>
        <v>0</v>
      </c>
      <c r="Y14" s="29">
        <f t="shared" si="23"/>
        <v>0</v>
      </c>
      <c r="Z14" s="30">
        <f t="shared" si="18"/>
        <v>45.678161424484301</v>
      </c>
      <c r="AA14" s="30">
        <f t="shared" si="24"/>
        <v>376.36608577949312</v>
      </c>
      <c r="AB14" s="31">
        <v>3000</v>
      </c>
      <c r="AC14" s="8">
        <v>340</v>
      </c>
      <c r="AD14" s="9">
        <f t="shared" si="5"/>
        <v>2.7736842105263158</v>
      </c>
      <c r="AE14" s="30">
        <f t="shared" si="19"/>
        <v>7.7046783625730998E-4</v>
      </c>
      <c r="AF14" s="30">
        <f t="shared" si="25"/>
        <v>6.1637426900584807E-3</v>
      </c>
      <c r="AG14" s="30">
        <f t="shared" si="20"/>
        <v>8.5607537361923356</v>
      </c>
      <c r="AH14" s="1"/>
      <c r="AI14" s="1"/>
      <c r="AK14" s="1"/>
      <c r="AL14" s="19"/>
      <c r="AM14" s="19"/>
      <c r="AN14" s="19"/>
      <c r="AO14" s="19"/>
      <c r="AP14" s="19"/>
    </row>
    <row r="15" spans="1:65" x14ac:dyDescent="0.25">
      <c r="A15" s="8">
        <v>53.307600000000001</v>
      </c>
      <c r="B15" s="8">
        <v>-6.1030000000000001E-2</v>
      </c>
      <c r="C15" s="8">
        <v>121</v>
      </c>
      <c r="D15" s="9">
        <f t="shared" si="6"/>
        <v>104.75949367088607</v>
      </c>
      <c r="E15" s="8">
        <v>2</v>
      </c>
      <c r="F15" s="8">
        <v>28.25</v>
      </c>
      <c r="G15" s="9">
        <f t="shared" si="7"/>
        <v>7.8472222222222223</v>
      </c>
      <c r="H15" s="9">
        <f t="shared" si="8"/>
        <v>1.676151898734177</v>
      </c>
      <c r="I15" s="9">
        <f t="shared" si="21"/>
        <v>13.023077024289776</v>
      </c>
      <c r="J15" s="9">
        <f t="shared" si="22"/>
        <v>-4.1430877772407074E-2</v>
      </c>
      <c r="K15" s="9">
        <f t="shared" si="0"/>
        <v>-25.672229102894317</v>
      </c>
      <c r="L15" s="9">
        <f t="shared" si="9"/>
        <v>30.57576953125</v>
      </c>
      <c r="M15" s="9">
        <f t="shared" si="1"/>
        <v>12.157336800000001</v>
      </c>
      <c r="N15" s="9">
        <f t="shared" si="2"/>
        <v>19.078373746141978</v>
      </c>
      <c r="O15" s="9">
        <f t="shared" si="10"/>
        <v>1.9091348477525374E-2</v>
      </c>
      <c r="P15" s="9">
        <f t="shared" si="11"/>
        <v>1.9089029515698654E-2</v>
      </c>
      <c r="Q15" s="9">
        <f t="shared" si="12"/>
        <v>1.0937208262501907</v>
      </c>
      <c r="R15" s="9">
        <f t="shared" si="3"/>
        <v>5399.9340166100437</v>
      </c>
      <c r="S15" s="8">
        <f t="shared" si="4"/>
        <v>364.72010399999999</v>
      </c>
      <c r="T15" s="9">
        <f t="shared" si="13"/>
        <v>5.7695576610383998</v>
      </c>
      <c r="U15" s="9">
        <f t="shared" si="14"/>
        <v>45.275001090092999</v>
      </c>
      <c r="V15" s="9">
        <f t="shared" si="15"/>
        <v>6.2</v>
      </c>
      <c r="W15" s="9">
        <f t="shared" si="16"/>
        <v>39.075001090092996</v>
      </c>
      <c r="X15" s="29">
        <f t="shared" si="17"/>
        <v>0</v>
      </c>
      <c r="Y15" s="29">
        <f t="shared" si="23"/>
        <v>0</v>
      </c>
      <c r="Z15" s="30">
        <f t="shared" si="18"/>
        <v>45.275001090092999</v>
      </c>
      <c r="AA15" s="30">
        <f t="shared" si="24"/>
        <v>421.6410868695861</v>
      </c>
      <c r="AB15" s="31">
        <v>3000</v>
      </c>
      <c r="AC15" s="8">
        <v>340</v>
      </c>
      <c r="AD15" s="9">
        <f t="shared" si="5"/>
        <v>2.7736842105263158</v>
      </c>
      <c r="AE15" s="30">
        <f t="shared" si="19"/>
        <v>7.7046783625730998E-4</v>
      </c>
      <c r="AF15" s="30">
        <f t="shared" si="25"/>
        <v>6.934210526315791E-3</v>
      </c>
      <c r="AG15" s="30">
        <f t="shared" si="20"/>
        <v>9.6308479532163762</v>
      </c>
      <c r="AH15" s="1"/>
      <c r="AI15" s="1"/>
      <c r="AK15" s="1"/>
      <c r="AL15" s="19"/>
      <c r="AM15" s="19"/>
      <c r="AN15" s="19"/>
      <c r="AO15" s="19"/>
      <c r="AP15" s="19"/>
      <c r="BL15" s="18"/>
      <c r="BM15" s="18"/>
    </row>
    <row r="16" spans="1:65" x14ac:dyDescent="0.25">
      <c r="A16" s="8">
        <v>53.307470000000002</v>
      </c>
      <c r="B16" s="8">
        <v>-6.0999999999999999E-2</v>
      </c>
      <c r="C16" s="8">
        <v>121</v>
      </c>
      <c r="D16" s="9">
        <f t="shared" si="6"/>
        <v>117.85443037974683</v>
      </c>
      <c r="E16" s="8">
        <v>2.25</v>
      </c>
      <c r="F16" s="8">
        <v>28</v>
      </c>
      <c r="G16" s="9">
        <f t="shared" si="7"/>
        <v>7.7777777777777777</v>
      </c>
      <c r="H16" s="9">
        <f t="shared" si="8"/>
        <v>1.6911846511891939</v>
      </c>
      <c r="I16" s="9">
        <f t="shared" si="21"/>
        <v>14.714261675478969</v>
      </c>
      <c r="J16" s="9">
        <f t="shared" si="22"/>
        <v>-4.1062603303319525E-2</v>
      </c>
      <c r="K16" s="9">
        <f t="shared" si="0"/>
        <v>-25.444031510868911</v>
      </c>
      <c r="L16" s="9">
        <f t="shared" si="9"/>
        <v>30.036999999999999</v>
      </c>
      <c r="M16" s="9">
        <f t="shared" si="1"/>
        <v>13.677003900000001</v>
      </c>
      <c r="N16" s="9">
        <f t="shared" si="2"/>
        <v>18.742197530864196</v>
      </c>
      <c r="O16" s="9">
        <f t="shared" si="10"/>
        <v>1.9091348477525374E-2</v>
      </c>
      <c r="P16" s="9">
        <f t="shared" si="11"/>
        <v>1.9089029515698654E-2</v>
      </c>
      <c r="Q16" s="9">
        <f t="shared" si="12"/>
        <v>1.0937208262501907</v>
      </c>
      <c r="R16" s="9">
        <f t="shared" si="3"/>
        <v>5399.9340166100437</v>
      </c>
      <c r="S16" s="8">
        <f t="shared" si="4"/>
        <v>364.72010399999999</v>
      </c>
      <c r="T16" s="9">
        <f t="shared" si="13"/>
        <v>5.7692470890991752</v>
      </c>
      <c r="U16" s="9">
        <f t="shared" si="14"/>
        <v>44.871921804104694</v>
      </c>
      <c r="V16" s="9">
        <f t="shared" si="15"/>
        <v>6.2</v>
      </c>
      <c r="W16" s="9">
        <f t="shared" si="16"/>
        <v>38.671921804104691</v>
      </c>
      <c r="X16" s="29">
        <f t="shared" si="17"/>
        <v>0</v>
      </c>
      <c r="Y16" s="29">
        <f t="shared" si="23"/>
        <v>0</v>
      </c>
      <c r="Z16" s="30">
        <f t="shared" si="18"/>
        <v>44.871921804104694</v>
      </c>
      <c r="AA16" s="30">
        <f t="shared" si="24"/>
        <v>466.51300867369082</v>
      </c>
      <c r="AB16" s="31">
        <v>3000</v>
      </c>
      <c r="AC16" s="8">
        <v>340</v>
      </c>
      <c r="AD16" s="9">
        <f t="shared" si="5"/>
        <v>2.7736842105263158</v>
      </c>
      <c r="AE16" s="30">
        <f t="shared" si="19"/>
        <v>7.7046783625730998E-4</v>
      </c>
      <c r="AF16" s="30">
        <f t="shared" si="25"/>
        <v>7.7046783625731013E-3</v>
      </c>
      <c r="AG16" s="30">
        <f t="shared" si="20"/>
        <v>10.700942170240419</v>
      </c>
      <c r="AH16" s="1"/>
      <c r="AI16" s="1"/>
      <c r="AK16" s="1"/>
      <c r="AL16" s="19"/>
      <c r="AM16" s="19"/>
      <c r="AN16" s="19"/>
      <c r="AO16" s="19"/>
      <c r="AP16" s="19"/>
      <c r="BL16" s="18"/>
      <c r="BM16" s="18"/>
    </row>
    <row r="17" spans="1:65" x14ac:dyDescent="0.25">
      <c r="A17" s="8">
        <v>53.307169999999999</v>
      </c>
      <c r="B17" s="8">
        <v>-6.0850000000000001E-2</v>
      </c>
      <c r="C17" s="8">
        <v>123</v>
      </c>
      <c r="D17" s="9">
        <f t="shared" si="6"/>
        <v>130.9493670886076</v>
      </c>
      <c r="E17" s="8">
        <v>2.5</v>
      </c>
      <c r="F17" s="8">
        <v>27.75</v>
      </c>
      <c r="G17" s="9">
        <f t="shared" si="7"/>
        <v>7.708333333333333</v>
      </c>
      <c r="H17" s="9">
        <f t="shared" si="8"/>
        <v>1.7064894896614924</v>
      </c>
      <c r="I17" s="9">
        <f t="shared" si="21"/>
        <v>16.420751165140462</v>
      </c>
      <c r="J17" s="9">
        <f t="shared" si="22"/>
        <v>-4.069432883423147E-2</v>
      </c>
      <c r="K17" s="9">
        <f t="shared" si="0"/>
        <v>-25.215833918843188</v>
      </c>
      <c r="L17" s="9">
        <f t="shared" si="9"/>
        <v>29.503019531250001</v>
      </c>
      <c r="M17" s="9">
        <f t="shared" si="1"/>
        <v>15.196671000000002</v>
      </c>
      <c r="N17" s="9">
        <f t="shared" si="2"/>
        <v>18.40900954861111</v>
      </c>
      <c r="O17" s="9">
        <f t="shared" si="10"/>
        <v>1.9091348477525374E-2</v>
      </c>
      <c r="P17" s="9">
        <f t="shared" si="11"/>
        <v>1.9089029515698654E-2</v>
      </c>
      <c r="Q17" s="9">
        <f t="shared" si="12"/>
        <v>1.0937208262501907</v>
      </c>
      <c r="R17" s="9">
        <f t="shared" si="3"/>
        <v>5399.9340166100437</v>
      </c>
      <c r="S17" s="8">
        <f t="shared" si="4"/>
        <v>364.72010399999999</v>
      </c>
      <c r="T17" s="9">
        <f t="shared" si="13"/>
        <v>5.7689413062224499</v>
      </c>
      <c r="U17" s="9">
        <f t="shared" si="14"/>
        <v>44.46892256879805</v>
      </c>
      <c r="V17" s="9">
        <f t="shared" si="15"/>
        <v>6.2</v>
      </c>
      <c r="W17" s="9">
        <f t="shared" si="16"/>
        <v>38.268922568798047</v>
      </c>
      <c r="X17" s="29">
        <f t="shared" si="17"/>
        <v>0</v>
      </c>
      <c r="Y17" s="29">
        <f t="shared" si="23"/>
        <v>0</v>
      </c>
      <c r="Z17" s="30">
        <f t="shared" si="18"/>
        <v>44.46892256879805</v>
      </c>
      <c r="AA17" s="30">
        <f t="shared" si="24"/>
        <v>510.98193124248888</v>
      </c>
      <c r="AB17" s="31">
        <v>3000</v>
      </c>
      <c r="AC17" s="8">
        <v>340</v>
      </c>
      <c r="AD17" s="9">
        <f t="shared" si="5"/>
        <v>2.7736842105263158</v>
      </c>
      <c r="AE17" s="30">
        <f t="shared" si="19"/>
        <v>7.7046783625730998E-4</v>
      </c>
      <c r="AF17" s="30">
        <f t="shared" si="25"/>
        <v>8.4751461988304116E-3</v>
      </c>
      <c r="AG17" s="30">
        <f t="shared" si="20"/>
        <v>11.771036387264461</v>
      </c>
      <c r="AH17" s="1"/>
      <c r="AI17" s="1"/>
      <c r="AK17" s="1"/>
      <c r="AL17" s="19"/>
      <c r="AM17" s="19"/>
      <c r="AN17" s="19"/>
      <c r="AO17" s="19"/>
      <c r="AP17" s="19"/>
      <c r="BL17" s="18"/>
      <c r="BM17" s="18"/>
    </row>
    <row r="18" spans="1:65" x14ac:dyDescent="0.25">
      <c r="A18" s="8">
        <v>53.306840000000001</v>
      </c>
      <c r="B18" s="8">
        <v>-6.0580000000000002E-2</v>
      </c>
      <c r="C18" s="8">
        <v>124</v>
      </c>
      <c r="D18" s="9">
        <f t="shared" si="6"/>
        <v>144.04430379746836</v>
      </c>
      <c r="E18" s="8">
        <v>2.75</v>
      </c>
      <c r="F18" s="8">
        <v>27.5</v>
      </c>
      <c r="G18" s="9">
        <f t="shared" si="7"/>
        <v>7.6388888888888884</v>
      </c>
      <c r="H18" s="9">
        <f t="shared" si="8"/>
        <v>1.7220738685625108</v>
      </c>
      <c r="I18" s="9">
        <f t="shared" si="21"/>
        <v>18.142825033702973</v>
      </c>
      <c r="J18" s="9">
        <f t="shared" si="22"/>
        <v>-4.0326054365143416E-2</v>
      </c>
      <c r="K18" s="9">
        <f t="shared" si="0"/>
        <v>-24.987636326817466</v>
      </c>
      <c r="L18" s="9">
        <f t="shared" si="9"/>
        <v>28.973828124999997</v>
      </c>
      <c r="M18" s="9">
        <f t="shared" si="1"/>
        <v>16.716338100000002</v>
      </c>
      <c r="N18" s="9">
        <f t="shared" si="2"/>
        <v>18.078809799382714</v>
      </c>
      <c r="O18" s="9">
        <f t="shared" si="10"/>
        <v>1.9091348477525374E-2</v>
      </c>
      <c r="P18" s="9">
        <f t="shared" si="11"/>
        <v>1.9089029515698654E-2</v>
      </c>
      <c r="Q18" s="9">
        <f t="shared" si="12"/>
        <v>1.0937208262501907</v>
      </c>
      <c r="R18" s="9">
        <f t="shared" si="3"/>
        <v>5399.9340166100437</v>
      </c>
      <c r="S18" s="8">
        <f t="shared" si="4"/>
        <v>364.72010399999999</v>
      </c>
      <c r="T18" s="9">
        <f t="shared" si="13"/>
        <v>5.7686403124082259</v>
      </c>
      <c r="U18" s="9">
        <f t="shared" si="14"/>
        <v>44.066002386451721</v>
      </c>
      <c r="V18" s="9">
        <f t="shared" si="15"/>
        <v>6.2</v>
      </c>
      <c r="W18" s="9">
        <f t="shared" si="16"/>
        <v>37.866002386451719</v>
      </c>
      <c r="X18" s="29">
        <f t="shared" si="17"/>
        <v>0</v>
      </c>
      <c r="Y18" s="29">
        <f t="shared" si="23"/>
        <v>0</v>
      </c>
      <c r="Z18" s="30">
        <f t="shared" si="18"/>
        <v>44.066002386451721</v>
      </c>
      <c r="AA18" s="30">
        <f t="shared" si="24"/>
        <v>555.04793362894065</v>
      </c>
      <c r="AB18" s="31">
        <v>3000</v>
      </c>
      <c r="AC18" s="8">
        <v>340</v>
      </c>
      <c r="AD18" s="9">
        <f t="shared" si="5"/>
        <v>2.7736842105263158</v>
      </c>
      <c r="AE18" s="30">
        <f t="shared" si="19"/>
        <v>7.7046783625730998E-4</v>
      </c>
      <c r="AF18" s="30">
        <f t="shared" si="25"/>
        <v>9.2456140350877219E-3</v>
      </c>
      <c r="AG18" s="30">
        <f t="shared" si="20"/>
        <v>12.841130604288503</v>
      </c>
      <c r="AH18" s="1"/>
      <c r="AI18" s="1"/>
      <c r="AK18" s="1"/>
      <c r="AL18" s="19"/>
      <c r="AM18" s="19"/>
      <c r="AN18" s="19"/>
      <c r="AO18" s="19"/>
      <c r="AP18" s="19"/>
      <c r="BL18" s="18"/>
      <c r="BM18" s="18"/>
    </row>
    <row r="19" spans="1:65" x14ac:dyDescent="0.25">
      <c r="A19" s="8">
        <v>53.306570000000001</v>
      </c>
      <c r="B19" s="8">
        <v>-6.0330000000000002E-2</v>
      </c>
      <c r="C19" s="8">
        <v>125</v>
      </c>
      <c r="D19" s="9">
        <f t="shared" si="6"/>
        <v>157.13924050632912</v>
      </c>
      <c r="E19" s="8">
        <v>3</v>
      </c>
      <c r="F19" s="8">
        <v>27.25</v>
      </c>
      <c r="G19" s="9">
        <f t="shared" si="7"/>
        <v>7.5694444444444446</v>
      </c>
      <c r="H19" s="9">
        <f t="shared" si="8"/>
        <v>1.7379455171206903</v>
      </c>
      <c r="I19" s="9">
        <f t="shared" si="21"/>
        <v>19.880770550823662</v>
      </c>
      <c r="J19" s="9">
        <f t="shared" si="22"/>
        <v>-3.9957779896054868E-2</v>
      </c>
      <c r="K19" s="9">
        <f t="shared" si="0"/>
        <v>-24.759438734791438</v>
      </c>
      <c r="L19" s="9">
        <f t="shared" si="9"/>
        <v>28.449425781250003</v>
      </c>
      <c r="M19" s="9">
        <f t="shared" si="1"/>
        <v>18.236005200000001</v>
      </c>
      <c r="N19" s="9">
        <f t="shared" si="2"/>
        <v>17.751598283179014</v>
      </c>
      <c r="O19" s="9">
        <f t="shared" si="10"/>
        <v>1.9091348477525374E-2</v>
      </c>
      <c r="P19" s="9">
        <f t="shared" si="11"/>
        <v>1.9089029515698654E-2</v>
      </c>
      <c r="Q19" s="9">
        <f t="shared" si="12"/>
        <v>1.0937208262501907</v>
      </c>
      <c r="R19" s="9">
        <f t="shared" si="3"/>
        <v>5399.9340166100437</v>
      </c>
      <c r="S19" s="8">
        <f t="shared" si="4"/>
        <v>364.72010399999999</v>
      </c>
      <c r="T19" s="9">
        <f t="shared" si="13"/>
        <v>5.7683441076565023</v>
      </c>
      <c r="U19" s="9">
        <f t="shared" si="14"/>
        <v>43.663160259344359</v>
      </c>
      <c r="V19" s="9">
        <f t="shared" si="15"/>
        <v>6.2</v>
      </c>
      <c r="W19" s="9">
        <f t="shared" si="16"/>
        <v>37.463160259344356</v>
      </c>
      <c r="X19" s="29">
        <f t="shared" si="17"/>
        <v>0</v>
      </c>
      <c r="Y19" s="29">
        <f t="shared" si="23"/>
        <v>0</v>
      </c>
      <c r="Z19" s="30">
        <f t="shared" si="18"/>
        <v>43.663160259344359</v>
      </c>
      <c r="AA19" s="30">
        <f t="shared" si="24"/>
        <v>598.71109388828506</v>
      </c>
      <c r="AB19" s="31">
        <v>3000</v>
      </c>
      <c r="AC19" s="8">
        <v>340</v>
      </c>
      <c r="AD19" s="9">
        <f t="shared" si="5"/>
        <v>2.7736842105263158</v>
      </c>
      <c r="AE19" s="30">
        <f t="shared" si="19"/>
        <v>7.7046783625730998E-4</v>
      </c>
      <c r="AF19" s="30">
        <f t="shared" si="25"/>
        <v>1.0016081871345032E-2</v>
      </c>
      <c r="AG19" s="30">
        <f t="shared" si="20"/>
        <v>13.911224821312546</v>
      </c>
      <c r="AH19" s="1"/>
      <c r="AI19" s="1"/>
      <c r="AK19" s="1"/>
      <c r="AL19" s="19"/>
      <c r="AM19" s="19"/>
      <c r="AN19" s="19"/>
      <c r="AO19" s="19"/>
      <c r="AP19" s="19"/>
      <c r="BL19" s="18"/>
      <c r="BM19" s="18"/>
    </row>
    <row r="20" spans="1:65" x14ac:dyDescent="0.25">
      <c r="A20" s="8">
        <v>53.306350000000002</v>
      </c>
      <c r="B20" s="8">
        <v>-6.0089999999999998E-2</v>
      </c>
      <c r="C20" s="8">
        <v>126</v>
      </c>
      <c r="D20" s="9">
        <f t="shared" si="6"/>
        <v>170.23417721518987</v>
      </c>
      <c r="E20" s="8">
        <v>3.25</v>
      </c>
      <c r="F20" s="8">
        <v>27</v>
      </c>
      <c r="G20" s="9">
        <f t="shared" si="7"/>
        <v>7.5</v>
      </c>
      <c r="H20" s="9">
        <f t="shared" si="8"/>
        <v>1.7541124521636735</v>
      </c>
      <c r="I20" s="9">
        <f t="shared" si="21"/>
        <v>21.634883002987337</v>
      </c>
      <c r="J20" s="9">
        <f t="shared" si="22"/>
        <v>-3.9589505426967257E-2</v>
      </c>
      <c r="K20" s="9">
        <f t="shared" si="0"/>
        <v>-24.531241142765992</v>
      </c>
      <c r="L20" s="9">
        <f t="shared" si="9"/>
        <v>27.929812500000004</v>
      </c>
      <c r="M20" s="9">
        <f t="shared" si="1"/>
        <v>19.755672300000001</v>
      </c>
      <c r="N20" s="9">
        <f t="shared" si="2"/>
        <v>17.427375000000001</v>
      </c>
      <c r="O20" s="9">
        <f t="shared" si="10"/>
        <v>1.9091348477525374E-2</v>
      </c>
      <c r="P20" s="9">
        <f t="shared" si="11"/>
        <v>1.9089029515698654E-2</v>
      </c>
      <c r="Q20" s="9">
        <f t="shared" si="12"/>
        <v>1.0937208262501907</v>
      </c>
      <c r="R20" s="9">
        <f t="shared" si="3"/>
        <v>5399.9340166100437</v>
      </c>
      <c r="S20" s="8">
        <f t="shared" si="4"/>
        <v>364.72010399999999</v>
      </c>
      <c r="T20" s="9">
        <f t="shared" si="13"/>
        <v>5.7680526919672772</v>
      </c>
      <c r="U20" s="9">
        <f t="shared" si="14"/>
        <v>43.260395189754576</v>
      </c>
      <c r="V20" s="9">
        <f t="shared" si="15"/>
        <v>6.2</v>
      </c>
      <c r="W20" s="9">
        <f t="shared" si="16"/>
        <v>37.060395189754573</v>
      </c>
      <c r="X20" s="29">
        <f t="shared" si="17"/>
        <v>0</v>
      </c>
      <c r="Y20" s="29">
        <f t="shared" si="23"/>
        <v>0</v>
      </c>
      <c r="Z20" s="30">
        <f t="shared" si="18"/>
        <v>43.260395189754576</v>
      </c>
      <c r="AA20" s="30">
        <f t="shared" si="24"/>
        <v>641.97148907803967</v>
      </c>
      <c r="AB20" s="31">
        <v>3000</v>
      </c>
      <c r="AC20" s="8">
        <v>340</v>
      </c>
      <c r="AD20" s="9">
        <f t="shared" si="5"/>
        <v>2.7736842105263158</v>
      </c>
      <c r="AE20" s="30">
        <f t="shared" si="19"/>
        <v>7.7046783625730998E-4</v>
      </c>
      <c r="AF20" s="30">
        <f t="shared" si="25"/>
        <v>1.0786549707602342E-2</v>
      </c>
      <c r="AG20" s="30">
        <f t="shared" si="20"/>
        <v>14.981319038336586</v>
      </c>
      <c r="AH20" s="1"/>
      <c r="AI20" s="1"/>
      <c r="AK20" s="1"/>
      <c r="AL20" s="19"/>
      <c r="AM20" s="19"/>
      <c r="AN20" s="19"/>
      <c r="AO20" s="19"/>
      <c r="AP20" s="19"/>
      <c r="BL20" s="18"/>
      <c r="BM20" s="18"/>
    </row>
    <row r="21" spans="1:65" x14ac:dyDescent="0.25">
      <c r="A21" s="8">
        <v>53.306159999999998</v>
      </c>
      <c r="B21" s="8">
        <v>-5.9959999999999999E-2</v>
      </c>
      <c r="C21" s="8">
        <v>128</v>
      </c>
      <c r="D21" s="9">
        <f t="shared" si="6"/>
        <v>183.32911392405063</v>
      </c>
      <c r="E21" s="8">
        <v>3.5</v>
      </c>
      <c r="F21" s="8">
        <v>26.75</v>
      </c>
      <c r="G21" s="9">
        <f t="shared" si="7"/>
        <v>7.4305555555555554</v>
      </c>
      <c r="H21" s="9">
        <f t="shared" si="8"/>
        <v>1.7705829916206095</v>
      </c>
      <c r="I21" s="9">
        <f t="shared" si="21"/>
        <v>23.405465994607948</v>
      </c>
      <c r="J21" s="9">
        <f t="shared" si="22"/>
        <v>-3.9221230957879188E-2</v>
      </c>
      <c r="K21" s="9">
        <f t="shared" si="0"/>
        <v>-24.303043550740259</v>
      </c>
      <c r="L21" s="9">
        <f t="shared" si="9"/>
        <v>27.41498828125</v>
      </c>
      <c r="M21" s="9">
        <f t="shared" si="1"/>
        <v>21.2753394</v>
      </c>
      <c r="N21" s="9">
        <f t="shared" si="2"/>
        <v>17.106139949845677</v>
      </c>
      <c r="O21" s="9">
        <f t="shared" si="10"/>
        <v>1.9091348477525374E-2</v>
      </c>
      <c r="P21" s="9">
        <f t="shared" si="11"/>
        <v>1.9089029515698654E-2</v>
      </c>
      <c r="Q21" s="9">
        <f t="shared" si="12"/>
        <v>1.0937208262501907</v>
      </c>
      <c r="R21" s="9">
        <f t="shared" si="3"/>
        <v>5399.9340166100437</v>
      </c>
      <c r="S21" s="8">
        <f t="shared" si="4"/>
        <v>364.72010399999999</v>
      </c>
      <c r="T21" s="9">
        <f t="shared" si="13"/>
        <v>5.7677660653405534</v>
      </c>
      <c r="U21" s="9">
        <f t="shared" si="14"/>
        <v>42.857706179961056</v>
      </c>
      <c r="V21" s="9">
        <f t="shared" si="15"/>
        <v>6.2</v>
      </c>
      <c r="W21" s="9">
        <f t="shared" si="16"/>
        <v>36.657706179961053</v>
      </c>
      <c r="X21" s="29">
        <f t="shared" si="17"/>
        <v>0</v>
      </c>
      <c r="Y21" s="29">
        <f t="shared" si="23"/>
        <v>0</v>
      </c>
      <c r="Z21" s="30">
        <f t="shared" si="18"/>
        <v>42.857706179961056</v>
      </c>
      <c r="AA21" s="30">
        <f t="shared" si="24"/>
        <v>684.82919525800071</v>
      </c>
      <c r="AB21" s="31">
        <v>3000</v>
      </c>
      <c r="AC21" s="8">
        <v>340</v>
      </c>
      <c r="AD21" s="9">
        <f t="shared" si="5"/>
        <v>2.7736842105263158</v>
      </c>
      <c r="AE21" s="30">
        <f t="shared" si="19"/>
        <v>7.7046783625730998E-4</v>
      </c>
      <c r="AF21" s="30">
        <f t="shared" si="25"/>
        <v>1.1557017543859653E-2</v>
      </c>
      <c r="AG21" s="30">
        <f t="shared" si="20"/>
        <v>16.051413255360629</v>
      </c>
      <c r="AH21" s="1"/>
      <c r="AI21" s="1"/>
      <c r="AK21" s="1"/>
      <c r="AL21" s="19"/>
      <c r="AM21" s="19"/>
      <c r="AN21" s="19"/>
      <c r="AO21" s="19"/>
      <c r="AP21" s="19"/>
      <c r="BL21" s="19"/>
      <c r="BM21" s="18"/>
    </row>
    <row r="22" spans="1:65" x14ac:dyDescent="0.25">
      <c r="A22" s="8">
        <v>53.305979999999998</v>
      </c>
      <c r="B22" s="8">
        <v>-5.994E-2</v>
      </c>
      <c r="C22" s="8">
        <v>130</v>
      </c>
      <c r="D22" s="9">
        <f t="shared" si="6"/>
        <v>196.42405063291139</v>
      </c>
      <c r="E22" s="8">
        <v>3.75</v>
      </c>
      <c r="F22" s="8">
        <v>26.5</v>
      </c>
      <c r="G22" s="9">
        <f t="shared" si="7"/>
        <v>7.3611111111111107</v>
      </c>
      <c r="H22" s="9">
        <f t="shared" si="8"/>
        <v>1.787365768792369</v>
      </c>
      <c r="I22" s="9">
        <f t="shared" si="21"/>
        <v>25.192831763400317</v>
      </c>
      <c r="J22" s="9">
        <f t="shared" si="22"/>
        <v>-3.8852956488791127E-2</v>
      </c>
      <c r="K22" s="9">
        <f t="shared" si="0"/>
        <v>-24.074845958714533</v>
      </c>
      <c r="L22" s="9">
        <f t="shared" si="9"/>
        <v>26.904953124999995</v>
      </c>
      <c r="M22" s="9">
        <f t="shared" si="1"/>
        <v>22.795006500000003</v>
      </c>
      <c r="N22" s="9">
        <f t="shared" si="2"/>
        <v>16.787893132716047</v>
      </c>
      <c r="O22" s="9">
        <f t="shared" si="10"/>
        <v>1.9091348477525374E-2</v>
      </c>
      <c r="P22" s="9">
        <f t="shared" si="11"/>
        <v>1.9089029515698654E-2</v>
      </c>
      <c r="Q22" s="9">
        <f t="shared" si="12"/>
        <v>1.0937208262501907</v>
      </c>
      <c r="R22" s="9">
        <f t="shared" si="3"/>
        <v>5399.9340166100437</v>
      </c>
      <c r="S22" s="8">
        <f t="shared" si="4"/>
        <v>364.72010399999999</v>
      </c>
      <c r="T22" s="9">
        <f t="shared" si="13"/>
        <v>5.767484227776329</v>
      </c>
      <c r="U22" s="9">
        <f t="shared" si="14"/>
        <v>42.455092232242421</v>
      </c>
      <c r="V22" s="9">
        <f t="shared" si="15"/>
        <v>6.2</v>
      </c>
      <c r="W22" s="9">
        <f t="shared" si="16"/>
        <v>36.255092232242419</v>
      </c>
      <c r="X22" s="29">
        <f t="shared" si="17"/>
        <v>0</v>
      </c>
      <c r="Y22" s="29">
        <f t="shared" si="23"/>
        <v>0</v>
      </c>
      <c r="Z22" s="30">
        <f t="shared" si="18"/>
        <v>42.455092232242421</v>
      </c>
      <c r="AA22" s="30">
        <f t="shared" si="24"/>
        <v>727.28428749024317</v>
      </c>
      <c r="AB22" s="31">
        <v>3000</v>
      </c>
      <c r="AC22" s="8">
        <v>340</v>
      </c>
      <c r="AD22" s="9">
        <f t="shared" si="5"/>
        <v>2.7736842105263158</v>
      </c>
      <c r="AE22" s="30">
        <f t="shared" si="19"/>
        <v>7.7046783625730998E-4</v>
      </c>
      <c r="AF22" s="30">
        <f t="shared" si="25"/>
        <v>1.2327485380116963E-2</v>
      </c>
      <c r="AG22" s="30">
        <f t="shared" si="20"/>
        <v>17.121507472384671</v>
      </c>
      <c r="AH22" s="1"/>
      <c r="AI22" s="1"/>
      <c r="AK22" s="1"/>
      <c r="AL22" s="19"/>
      <c r="AM22" s="19"/>
      <c r="AN22" s="19"/>
      <c r="AO22" s="19"/>
      <c r="AP22" s="19"/>
      <c r="BL22" s="18"/>
      <c r="BM22" s="18"/>
    </row>
    <row r="23" spans="1:65" x14ac:dyDescent="0.25">
      <c r="A23" s="8">
        <v>53.305779999999999</v>
      </c>
      <c r="B23" s="8">
        <v>-6.003E-2</v>
      </c>
      <c r="C23" s="8">
        <v>133</v>
      </c>
      <c r="D23" s="9">
        <f t="shared" si="6"/>
        <v>209.51898734177215</v>
      </c>
      <c r="E23" s="8">
        <v>4</v>
      </c>
      <c r="F23" s="8">
        <v>26.25</v>
      </c>
      <c r="G23" s="9">
        <f t="shared" si="7"/>
        <v>7.2916666666666661</v>
      </c>
      <c r="H23" s="9">
        <f t="shared" si="8"/>
        <v>1.8044697474410996</v>
      </c>
      <c r="I23" s="9">
        <f t="shared" si="21"/>
        <v>26.997301510841417</v>
      </c>
      <c r="J23" s="9">
        <f t="shared" si="22"/>
        <v>-3.8484682019703065E-2</v>
      </c>
      <c r="K23" s="9">
        <f t="shared" si="0"/>
        <v>-23.846648366688807</v>
      </c>
      <c r="L23" s="9">
        <f t="shared" si="9"/>
        <v>26.399707031249992</v>
      </c>
      <c r="M23" s="9">
        <f t="shared" si="1"/>
        <v>24.314673600000003</v>
      </c>
      <c r="N23" s="9">
        <f t="shared" si="2"/>
        <v>16.472634548611108</v>
      </c>
      <c r="O23" s="9">
        <f t="shared" si="10"/>
        <v>1.9091348477525374E-2</v>
      </c>
      <c r="P23" s="9">
        <f t="shared" si="11"/>
        <v>1.9089029515698654E-2</v>
      </c>
      <c r="Q23" s="9">
        <f t="shared" si="12"/>
        <v>1.0937208262501907</v>
      </c>
      <c r="R23" s="9">
        <f t="shared" si="3"/>
        <v>5399.9340166100437</v>
      </c>
      <c r="S23" s="8">
        <f t="shared" si="4"/>
        <v>364.72010399999999</v>
      </c>
      <c r="T23" s="9">
        <f t="shared" si="13"/>
        <v>5.7672071792746049</v>
      </c>
      <c r="U23" s="9">
        <f t="shared" si="14"/>
        <v>42.052552348877327</v>
      </c>
      <c r="V23" s="9">
        <f t="shared" si="15"/>
        <v>6.2</v>
      </c>
      <c r="W23" s="9">
        <f t="shared" si="16"/>
        <v>35.852552348877325</v>
      </c>
      <c r="X23" s="29">
        <f t="shared" si="17"/>
        <v>0</v>
      </c>
      <c r="Y23" s="29">
        <f t="shared" si="23"/>
        <v>0</v>
      </c>
      <c r="Z23" s="30">
        <f t="shared" si="18"/>
        <v>42.052552348877327</v>
      </c>
      <c r="AA23" s="30">
        <f t="shared" si="24"/>
        <v>769.33683983912056</v>
      </c>
      <c r="AB23" s="31">
        <v>3000</v>
      </c>
      <c r="AC23" s="8">
        <v>340</v>
      </c>
      <c r="AD23" s="9">
        <f t="shared" si="5"/>
        <v>2.7736842105263158</v>
      </c>
      <c r="AE23" s="30">
        <f t="shared" si="19"/>
        <v>7.7046783625730998E-4</v>
      </c>
      <c r="AF23" s="30">
        <f t="shared" si="25"/>
        <v>1.3097953216374273E-2</v>
      </c>
      <c r="AG23" s="30">
        <f t="shared" si="20"/>
        <v>18.191601689408714</v>
      </c>
      <c r="AH23" s="1"/>
      <c r="AI23" s="1"/>
      <c r="AK23" s="1"/>
      <c r="AL23" s="19"/>
      <c r="AM23" s="19"/>
      <c r="AN23" s="19"/>
      <c r="AO23" s="19"/>
      <c r="AP23" s="19"/>
      <c r="BL23" s="18"/>
      <c r="BM23" s="18"/>
    </row>
    <row r="24" spans="1:65" x14ac:dyDescent="0.25">
      <c r="A24" s="8">
        <v>53.30556</v>
      </c>
      <c r="B24" s="8">
        <v>-6.0170000000000001E-2</v>
      </c>
      <c r="C24" s="8">
        <v>134</v>
      </c>
      <c r="D24" s="9">
        <f t="shared" si="6"/>
        <v>222.6139240506329</v>
      </c>
      <c r="E24" s="8">
        <v>4.25</v>
      </c>
      <c r="F24" s="8">
        <v>26</v>
      </c>
      <c r="G24" s="9">
        <f t="shared" si="7"/>
        <v>7.2222222222222223</v>
      </c>
      <c r="H24" s="9">
        <f t="shared" si="8"/>
        <v>1.8219042377545402</v>
      </c>
      <c r="I24" s="9">
        <f t="shared" si="21"/>
        <v>28.819205748595959</v>
      </c>
      <c r="J24" s="9">
        <f t="shared" si="22"/>
        <v>-3.8116407550614496E-2</v>
      </c>
      <c r="K24" s="9">
        <f t="shared" si="0"/>
        <v>-23.618450774662765</v>
      </c>
      <c r="L24" s="9">
        <f t="shared" si="9"/>
        <v>25.899250000000002</v>
      </c>
      <c r="M24" s="9">
        <f t="shared" si="1"/>
        <v>25.834340700000002</v>
      </c>
      <c r="N24" s="9">
        <f t="shared" si="2"/>
        <v>16.160364197530864</v>
      </c>
      <c r="O24" s="9">
        <f t="shared" si="10"/>
        <v>1.9091348477525374E-2</v>
      </c>
      <c r="P24" s="9">
        <f t="shared" si="11"/>
        <v>1.9089029515698654E-2</v>
      </c>
      <c r="Q24" s="9">
        <f t="shared" si="12"/>
        <v>1.0937208262501907</v>
      </c>
      <c r="R24" s="9">
        <f t="shared" si="3"/>
        <v>5399.9340166100437</v>
      </c>
      <c r="S24" s="8">
        <f t="shared" si="4"/>
        <v>364.72010399999999</v>
      </c>
      <c r="T24" s="9">
        <f t="shared" si="13"/>
        <v>5.7669349198353812</v>
      </c>
      <c r="U24" s="9">
        <f t="shared" si="14"/>
        <v>41.650085532144423</v>
      </c>
      <c r="V24" s="9">
        <f t="shared" si="15"/>
        <v>6.2</v>
      </c>
      <c r="W24" s="9">
        <f t="shared" si="16"/>
        <v>35.450085532144421</v>
      </c>
      <c r="X24" s="29">
        <f t="shared" si="17"/>
        <v>0</v>
      </c>
      <c r="Y24" s="29">
        <f t="shared" si="23"/>
        <v>0</v>
      </c>
      <c r="Z24" s="30">
        <f t="shared" si="18"/>
        <v>41.650085532144423</v>
      </c>
      <c r="AA24" s="30">
        <f t="shared" si="24"/>
        <v>810.98692537126499</v>
      </c>
      <c r="AB24" s="31">
        <v>3000</v>
      </c>
      <c r="AC24" s="8">
        <v>340</v>
      </c>
      <c r="AD24" s="9">
        <f t="shared" si="5"/>
        <v>2.7736842105263158</v>
      </c>
      <c r="AE24" s="30">
        <f t="shared" si="19"/>
        <v>7.7046783625730998E-4</v>
      </c>
      <c r="AF24" s="30">
        <f t="shared" si="25"/>
        <v>1.3868421052631584E-2</v>
      </c>
      <c r="AG24" s="30">
        <f t="shared" si="20"/>
        <v>19.261695906432756</v>
      </c>
      <c r="AH24" s="1"/>
      <c r="AI24" s="1"/>
      <c r="AK24" s="1"/>
      <c r="AL24" s="19"/>
      <c r="AM24" s="19"/>
      <c r="AN24" s="19"/>
      <c r="AO24" s="19"/>
      <c r="AP24" s="19"/>
      <c r="BL24" s="18"/>
      <c r="BM24" s="18"/>
    </row>
    <row r="25" spans="1:65" x14ac:dyDescent="0.25">
      <c r="A25" s="8">
        <v>53.305259999999997</v>
      </c>
      <c r="B25" s="8">
        <v>-6.0470000000000003E-2</v>
      </c>
      <c r="C25" s="8">
        <v>136</v>
      </c>
      <c r="D25" s="9">
        <f t="shared" si="6"/>
        <v>235.70886075949366</v>
      </c>
      <c r="E25" s="8">
        <v>4.5</v>
      </c>
      <c r="F25" s="8">
        <v>25.75</v>
      </c>
      <c r="G25" s="9">
        <f t="shared" si="7"/>
        <v>7.1527777777777777</v>
      </c>
      <c r="H25" s="9">
        <f t="shared" si="8"/>
        <v>1.8396789132448284</v>
      </c>
      <c r="I25" s="9">
        <f t="shared" si="21"/>
        <v>30.658884661840787</v>
      </c>
      <c r="J25" s="9">
        <f t="shared" si="22"/>
        <v>-3.7748133081526941E-2</v>
      </c>
      <c r="K25" s="9">
        <f t="shared" si="0"/>
        <v>-23.390253182637352</v>
      </c>
      <c r="L25" s="9">
        <f t="shared" si="9"/>
        <v>25.40358203125</v>
      </c>
      <c r="M25" s="9">
        <f t="shared" si="1"/>
        <v>27.354007800000002</v>
      </c>
      <c r="N25" s="9">
        <f t="shared" si="2"/>
        <v>15.851082079475308</v>
      </c>
      <c r="O25" s="9">
        <f t="shared" si="10"/>
        <v>1.9091348477525374E-2</v>
      </c>
      <c r="P25" s="9">
        <f t="shared" si="11"/>
        <v>1.9089029515698654E-2</v>
      </c>
      <c r="Q25" s="9">
        <f t="shared" si="12"/>
        <v>1.0937208262501907</v>
      </c>
      <c r="R25" s="9">
        <f t="shared" si="3"/>
        <v>5399.9340166100437</v>
      </c>
      <c r="S25" s="8">
        <f t="shared" si="4"/>
        <v>364.72010399999999</v>
      </c>
      <c r="T25" s="9">
        <f t="shared" si="13"/>
        <v>5.7666674494586569</v>
      </c>
      <c r="U25" s="9">
        <f t="shared" si="14"/>
        <v>41.247690784322337</v>
      </c>
      <c r="V25" s="9">
        <f t="shared" si="15"/>
        <v>6.2</v>
      </c>
      <c r="W25" s="9">
        <f t="shared" si="16"/>
        <v>35.047690784322334</v>
      </c>
      <c r="X25" s="29">
        <f t="shared" si="17"/>
        <v>0</v>
      </c>
      <c r="Y25" s="29">
        <f t="shared" si="23"/>
        <v>0</v>
      </c>
      <c r="Z25" s="30">
        <f t="shared" si="18"/>
        <v>41.247690784322337</v>
      </c>
      <c r="AA25" s="30">
        <f t="shared" si="24"/>
        <v>852.23461615558733</v>
      </c>
      <c r="AB25" s="31">
        <v>3000</v>
      </c>
      <c r="AC25" s="8">
        <v>340</v>
      </c>
      <c r="AD25" s="9">
        <f t="shared" si="5"/>
        <v>2.7736842105263158</v>
      </c>
      <c r="AE25" s="30">
        <f t="shared" si="19"/>
        <v>7.7046783625730998E-4</v>
      </c>
      <c r="AF25" s="30">
        <f t="shared" si="25"/>
        <v>1.4638888888888894E-2</v>
      </c>
      <c r="AG25" s="30">
        <f t="shared" si="20"/>
        <v>20.331790123456798</v>
      </c>
      <c r="AH25" s="1"/>
      <c r="AI25" s="1"/>
      <c r="AK25" s="1"/>
      <c r="AL25" s="19"/>
      <c r="AM25" s="19"/>
      <c r="AN25" s="19"/>
      <c r="AO25" s="19"/>
      <c r="AP25" s="19"/>
      <c r="BL25" s="18"/>
      <c r="BM25" s="18"/>
    </row>
    <row r="26" spans="1:65" x14ac:dyDescent="0.25">
      <c r="A26" s="8">
        <v>53.305030000000002</v>
      </c>
      <c r="B26" s="8">
        <v>-6.0810000000000003E-2</v>
      </c>
      <c r="C26" s="8">
        <v>135</v>
      </c>
      <c r="D26" s="9">
        <f t="shared" si="6"/>
        <v>248.80379746835442</v>
      </c>
      <c r="E26" s="8">
        <v>4.75</v>
      </c>
      <c r="F26" s="8">
        <v>25.5</v>
      </c>
      <c r="G26" s="9">
        <f t="shared" si="7"/>
        <v>7.083333333333333</v>
      </c>
      <c r="H26" s="9">
        <f t="shared" si="8"/>
        <v>1.8578038286462593</v>
      </c>
      <c r="I26" s="9">
        <f t="shared" si="21"/>
        <v>32.516688490487049</v>
      </c>
      <c r="J26" s="9">
        <f t="shared" si="22"/>
        <v>-3.7379858612438747E-2</v>
      </c>
      <c r="K26" s="9">
        <f t="shared" si="0"/>
        <v>-23.162055590611544</v>
      </c>
      <c r="L26" s="9">
        <f t="shared" si="9"/>
        <v>24.912703124999997</v>
      </c>
      <c r="M26" s="9">
        <f t="shared" si="1"/>
        <v>28.873674900000001</v>
      </c>
      <c r="N26" s="9">
        <f t="shared" si="2"/>
        <v>15.544788194444443</v>
      </c>
      <c r="O26" s="9">
        <f t="shared" si="10"/>
        <v>1.9091348477525374E-2</v>
      </c>
      <c r="P26" s="9">
        <f t="shared" si="11"/>
        <v>1.9089029515698654E-2</v>
      </c>
      <c r="Q26" s="9">
        <f t="shared" si="12"/>
        <v>1.0937208262501907</v>
      </c>
      <c r="R26" s="9">
        <f t="shared" si="3"/>
        <v>5399.9340166100437</v>
      </c>
      <c r="S26" s="8">
        <f t="shared" si="4"/>
        <v>364.72010399999999</v>
      </c>
      <c r="T26" s="9">
        <f t="shared" si="13"/>
        <v>5.7664047681444321</v>
      </c>
      <c r="U26" s="9">
        <f t="shared" si="14"/>
        <v>40.845367107689725</v>
      </c>
      <c r="V26" s="9">
        <f t="shared" si="15"/>
        <v>6.2</v>
      </c>
      <c r="W26" s="9">
        <f t="shared" si="16"/>
        <v>34.645367107689722</v>
      </c>
      <c r="X26" s="29">
        <f t="shared" si="17"/>
        <v>0</v>
      </c>
      <c r="Y26" s="29">
        <f t="shared" si="23"/>
        <v>0</v>
      </c>
      <c r="Z26" s="30">
        <f t="shared" si="18"/>
        <v>40.845367107689725</v>
      </c>
      <c r="AA26" s="30">
        <f t="shared" si="24"/>
        <v>893.07998326327709</v>
      </c>
      <c r="AB26" s="31">
        <v>3000</v>
      </c>
      <c r="AC26" s="8">
        <v>340</v>
      </c>
      <c r="AD26" s="9">
        <f t="shared" si="5"/>
        <v>2.7736842105263158</v>
      </c>
      <c r="AE26" s="30">
        <f t="shared" si="19"/>
        <v>7.7046783625730998E-4</v>
      </c>
      <c r="AF26" s="30">
        <f t="shared" si="25"/>
        <v>1.5409356725146204E-2</v>
      </c>
      <c r="AG26" s="30">
        <f t="shared" si="20"/>
        <v>21.401884340480841</v>
      </c>
      <c r="AH26" s="1"/>
      <c r="AI26" s="1"/>
      <c r="AK26" s="1"/>
      <c r="AL26" s="19"/>
      <c r="AM26" s="19"/>
      <c r="AN26" s="19"/>
      <c r="AO26" s="19"/>
      <c r="AP26" s="19"/>
      <c r="BL26" s="18"/>
      <c r="BM26" s="18"/>
    </row>
    <row r="27" spans="1:65" x14ac:dyDescent="0.25">
      <c r="A27" s="8">
        <v>53.304900000000004</v>
      </c>
      <c r="B27" s="8">
        <v>-6.1089999999999998E-2</v>
      </c>
      <c r="C27" s="8">
        <v>135</v>
      </c>
      <c r="D27" s="9">
        <f t="shared" si="6"/>
        <v>261.8987341772152</v>
      </c>
      <c r="E27" s="8">
        <v>5</v>
      </c>
      <c r="F27" s="8">
        <v>25.25</v>
      </c>
      <c r="G27" s="9">
        <f t="shared" si="7"/>
        <v>7.0138888888888884</v>
      </c>
      <c r="H27" s="9">
        <f t="shared" si="8"/>
        <v>1.8762894388815414</v>
      </c>
      <c r="I27" s="9">
        <f t="shared" si="21"/>
        <v>34.392977929368591</v>
      </c>
      <c r="J27" s="9">
        <f t="shared" si="22"/>
        <v>-3.7011584143350783E-2</v>
      </c>
      <c r="K27" s="9">
        <f t="shared" si="0"/>
        <v>-22.933857998585879</v>
      </c>
      <c r="L27" s="9">
        <f t="shared" si="9"/>
        <v>24.426613281249995</v>
      </c>
      <c r="M27" s="9">
        <f t="shared" si="1"/>
        <v>30.393342000000004</v>
      </c>
      <c r="N27" s="9">
        <f t="shared" si="2"/>
        <v>15.241482542438268</v>
      </c>
      <c r="O27" s="9">
        <f t="shared" si="10"/>
        <v>1.9091348477525374E-2</v>
      </c>
      <c r="P27" s="9">
        <f t="shared" si="11"/>
        <v>1.9089029515698654E-2</v>
      </c>
      <c r="Q27" s="9">
        <f t="shared" si="12"/>
        <v>1.0937208262501907</v>
      </c>
      <c r="R27" s="9">
        <f t="shared" si="3"/>
        <v>5399.9340166100437</v>
      </c>
      <c r="S27" s="8">
        <f t="shared" si="4"/>
        <v>364.72010399999999</v>
      </c>
      <c r="T27" s="9">
        <f t="shared" si="13"/>
        <v>5.7661468758927077</v>
      </c>
      <c r="U27" s="9">
        <f t="shared" si="14"/>
        <v>40.443113504525236</v>
      </c>
      <c r="V27" s="9">
        <f t="shared" si="15"/>
        <v>6.2</v>
      </c>
      <c r="W27" s="9">
        <f t="shared" si="16"/>
        <v>34.243113504525233</v>
      </c>
      <c r="X27" s="29">
        <f t="shared" si="17"/>
        <v>0</v>
      </c>
      <c r="Y27" s="29">
        <f t="shared" si="23"/>
        <v>0</v>
      </c>
      <c r="Z27" s="30">
        <f t="shared" si="18"/>
        <v>40.443113504525236</v>
      </c>
      <c r="AA27" s="30">
        <f t="shared" si="24"/>
        <v>933.52309676780237</v>
      </c>
      <c r="AB27" s="31">
        <v>3000</v>
      </c>
      <c r="AC27" s="8">
        <v>340</v>
      </c>
      <c r="AD27" s="9">
        <f t="shared" si="5"/>
        <v>2.7736842105263158</v>
      </c>
      <c r="AE27" s="30">
        <f t="shared" si="19"/>
        <v>7.7046783625730998E-4</v>
      </c>
      <c r="AF27" s="30">
        <f t="shared" si="25"/>
        <v>1.6179824561403513E-2</v>
      </c>
      <c r="AG27" s="30">
        <f t="shared" si="20"/>
        <v>22.47197855750488</v>
      </c>
      <c r="AH27" s="1"/>
      <c r="AI27" s="1"/>
      <c r="AK27" s="1"/>
      <c r="AL27" s="19"/>
      <c r="AM27" s="19"/>
      <c r="AN27" s="19"/>
      <c r="AO27" s="19"/>
      <c r="AP27" s="19"/>
      <c r="BL27" s="18"/>
      <c r="BM27" s="18"/>
    </row>
    <row r="28" spans="1:65" x14ac:dyDescent="0.25">
      <c r="A28" s="8">
        <v>53.304850000000002</v>
      </c>
      <c r="B28" s="8">
        <v>-6.1429999999999998E-2</v>
      </c>
      <c r="C28" s="8">
        <v>132</v>
      </c>
      <c r="D28" s="9">
        <f t="shared" si="6"/>
        <v>274.99367088607596</v>
      </c>
      <c r="E28" s="8">
        <v>5.25</v>
      </c>
      <c r="F28" s="8">
        <v>25</v>
      </c>
      <c r="G28" s="9">
        <f t="shared" si="7"/>
        <v>6.9444444444444446</v>
      </c>
      <c r="H28" s="9">
        <f t="shared" si="8"/>
        <v>1.895146619171808</v>
      </c>
      <c r="I28" s="9">
        <f t="shared" si="21"/>
        <v>36.288124548540402</v>
      </c>
      <c r="J28" s="9">
        <f t="shared" si="22"/>
        <v>-3.6643309674262214E-2</v>
      </c>
      <c r="K28" s="9">
        <f t="shared" si="0"/>
        <v>-22.705660406559836</v>
      </c>
      <c r="L28" s="9">
        <f t="shared" si="9"/>
        <v>23.945312500000004</v>
      </c>
      <c r="M28" s="9">
        <f t="shared" si="1"/>
        <v>31.913009100000004</v>
      </c>
      <c r="N28" s="9">
        <f t="shared" si="2"/>
        <v>14.941165123456791</v>
      </c>
      <c r="O28" s="9">
        <f t="shared" si="10"/>
        <v>1.9091348477525374E-2</v>
      </c>
      <c r="P28" s="9">
        <f t="shared" si="11"/>
        <v>1.9089029515698654E-2</v>
      </c>
      <c r="Q28" s="9">
        <f t="shared" si="12"/>
        <v>1.0937208262501907</v>
      </c>
      <c r="R28" s="9">
        <f t="shared" si="3"/>
        <v>5399.9340166100437</v>
      </c>
      <c r="S28" s="8">
        <f t="shared" si="4"/>
        <v>364.72010399999999</v>
      </c>
      <c r="T28" s="9">
        <f t="shared" si="13"/>
        <v>5.7658937727034836</v>
      </c>
      <c r="U28" s="9">
        <f t="shared" si="14"/>
        <v>40.040928977107527</v>
      </c>
      <c r="V28" s="9">
        <f t="shared" si="15"/>
        <v>6.2</v>
      </c>
      <c r="W28" s="9">
        <f t="shared" si="16"/>
        <v>33.840928977107524</v>
      </c>
      <c r="X28" s="29">
        <f t="shared" si="17"/>
        <v>0</v>
      </c>
      <c r="Y28" s="29">
        <f t="shared" si="23"/>
        <v>0</v>
      </c>
      <c r="Z28" s="30">
        <f t="shared" si="18"/>
        <v>40.040928977107527</v>
      </c>
      <c r="AA28" s="30">
        <f t="shared" si="24"/>
        <v>973.56402574490994</v>
      </c>
      <c r="AB28" s="31">
        <v>3000</v>
      </c>
      <c r="AC28" s="8">
        <v>340</v>
      </c>
      <c r="AD28" s="9">
        <f t="shared" si="5"/>
        <v>2.7736842105263158</v>
      </c>
      <c r="AE28" s="30">
        <f t="shared" si="19"/>
        <v>7.7046783625730998E-4</v>
      </c>
      <c r="AF28" s="30">
        <f t="shared" si="25"/>
        <v>1.6950292397660823E-2</v>
      </c>
      <c r="AG28" s="30">
        <f t="shared" si="20"/>
        <v>23.542072774528922</v>
      </c>
      <c r="AH28" s="1"/>
      <c r="AI28" s="1"/>
      <c r="AK28" s="1"/>
      <c r="AL28" s="19"/>
      <c r="AM28" s="19"/>
      <c r="AN28" s="19"/>
      <c r="AO28" s="19"/>
      <c r="AP28" s="19"/>
      <c r="BL28" s="18"/>
      <c r="BM28" s="18"/>
    </row>
    <row r="29" spans="1:65" x14ac:dyDescent="0.25">
      <c r="A29" s="8">
        <v>53.304859999999998</v>
      </c>
      <c r="B29" s="8">
        <v>-6.173E-2</v>
      </c>
      <c r="C29" s="8">
        <v>131</v>
      </c>
      <c r="D29" s="9">
        <f t="shared" si="6"/>
        <v>288.08860759493672</v>
      </c>
      <c r="E29" s="8">
        <v>5.5</v>
      </c>
      <c r="F29" s="8">
        <v>24.75</v>
      </c>
      <c r="G29" s="9">
        <f t="shared" si="7"/>
        <v>6.875</v>
      </c>
      <c r="H29" s="9">
        <f t="shared" si="8"/>
        <v>1.914386686371522</v>
      </c>
      <c r="I29" s="9">
        <f t="shared" si="21"/>
        <v>38.202511234911924</v>
      </c>
      <c r="J29" s="9">
        <f t="shared" si="22"/>
        <v>-3.6275035205174673E-2</v>
      </c>
      <c r="K29" s="9">
        <f t="shared" si="0"/>
        <v>-22.477462814534434</v>
      </c>
      <c r="L29" s="9">
        <f t="shared" si="9"/>
        <v>23.468800781250003</v>
      </c>
      <c r="M29" s="9">
        <f t="shared" si="1"/>
        <v>33.432676200000003</v>
      </c>
      <c r="N29" s="9">
        <f t="shared" si="2"/>
        <v>14.6438359375</v>
      </c>
      <c r="O29" s="9">
        <f t="shared" si="10"/>
        <v>1.9091348477525374E-2</v>
      </c>
      <c r="P29" s="9">
        <f t="shared" si="11"/>
        <v>1.9089029515698654E-2</v>
      </c>
      <c r="Q29" s="9">
        <f t="shared" si="12"/>
        <v>1.0937208262501907</v>
      </c>
      <c r="R29" s="9">
        <f t="shared" si="3"/>
        <v>5399.9340166100437</v>
      </c>
      <c r="S29" s="8">
        <f t="shared" si="4"/>
        <v>364.72010399999999</v>
      </c>
      <c r="T29" s="9">
        <f t="shared" si="13"/>
        <v>5.7656454585767598</v>
      </c>
      <c r="U29" s="9">
        <f t="shared" si="14"/>
        <v>39.638812527715224</v>
      </c>
      <c r="V29" s="9">
        <f t="shared" si="15"/>
        <v>6.2</v>
      </c>
      <c r="W29" s="9">
        <f t="shared" si="16"/>
        <v>33.438812527715221</v>
      </c>
      <c r="X29" s="29">
        <f t="shared" si="17"/>
        <v>0</v>
      </c>
      <c r="Y29" s="29">
        <f t="shared" si="23"/>
        <v>0</v>
      </c>
      <c r="Z29" s="30">
        <f t="shared" si="18"/>
        <v>39.638812527715224</v>
      </c>
      <c r="AA29" s="30">
        <f t="shared" si="24"/>
        <v>1013.2028382726252</v>
      </c>
      <c r="AB29" s="31">
        <v>3000</v>
      </c>
      <c r="AC29" s="8">
        <v>340</v>
      </c>
      <c r="AD29" s="9">
        <f t="shared" si="5"/>
        <v>2.7736842105263158</v>
      </c>
      <c r="AE29" s="30">
        <f t="shared" si="19"/>
        <v>7.7046783625730998E-4</v>
      </c>
      <c r="AF29" s="30">
        <f t="shared" si="25"/>
        <v>1.7720760233918133E-2</v>
      </c>
      <c r="AG29" s="30">
        <f t="shared" si="20"/>
        <v>24.612166991552961</v>
      </c>
      <c r="AH29" s="1"/>
      <c r="AI29" s="1"/>
      <c r="AK29" s="1"/>
      <c r="AL29" s="19"/>
      <c r="AM29" s="19"/>
      <c r="AN29" s="19"/>
      <c r="AO29" s="19"/>
      <c r="AP29" s="19"/>
      <c r="BL29" s="18"/>
      <c r="BM29" s="18"/>
    </row>
    <row r="30" spans="1:65" x14ac:dyDescent="0.25">
      <c r="A30" s="8">
        <v>53.304920000000003</v>
      </c>
      <c r="B30" s="8">
        <v>-6.2050000000000001E-2</v>
      </c>
      <c r="C30" s="8">
        <v>130</v>
      </c>
      <c r="D30" s="9">
        <f t="shared" si="6"/>
        <v>301.18354430379748</v>
      </c>
      <c r="E30" s="8">
        <v>5.75</v>
      </c>
      <c r="F30" s="8">
        <v>24.5</v>
      </c>
      <c r="G30" s="9">
        <f t="shared" si="7"/>
        <v>6.8055555555555554</v>
      </c>
      <c r="H30" s="9">
        <f t="shared" si="8"/>
        <v>1.934021421616358</v>
      </c>
      <c r="I30" s="9">
        <f t="shared" si="21"/>
        <v>40.136532656528281</v>
      </c>
      <c r="J30" s="9">
        <f t="shared" si="22"/>
        <v>-3.5906760736086618E-2</v>
      </c>
      <c r="K30" s="9">
        <f t="shared" si="0"/>
        <v>-22.249265222508711</v>
      </c>
      <c r="L30" s="9">
        <f t="shared" si="9"/>
        <v>22.997078124999998</v>
      </c>
      <c r="M30" s="9">
        <f t="shared" si="1"/>
        <v>34.952343300000003</v>
      </c>
      <c r="N30" s="9">
        <f t="shared" si="2"/>
        <v>14.349494984567901</v>
      </c>
      <c r="O30" s="9">
        <f t="shared" si="10"/>
        <v>1.9091348477525374E-2</v>
      </c>
      <c r="P30" s="9">
        <f t="shared" si="11"/>
        <v>1.9089029515698654E-2</v>
      </c>
      <c r="Q30" s="9">
        <f t="shared" si="12"/>
        <v>1.0937208262501907</v>
      </c>
      <c r="R30" s="9">
        <f t="shared" si="3"/>
        <v>5399.9340166100437</v>
      </c>
      <c r="S30" s="8">
        <f t="shared" si="4"/>
        <v>364.72010399999999</v>
      </c>
      <c r="T30" s="9">
        <f t="shared" si="13"/>
        <v>5.7654019335125355</v>
      </c>
      <c r="U30" s="9">
        <f t="shared" si="14"/>
        <v>39.236763158626978</v>
      </c>
      <c r="V30" s="9">
        <f t="shared" si="15"/>
        <v>6.2</v>
      </c>
      <c r="W30" s="9">
        <f t="shared" si="16"/>
        <v>33.036763158626975</v>
      </c>
      <c r="X30" s="29">
        <f t="shared" si="17"/>
        <v>0</v>
      </c>
      <c r="Y30" s="29">
        <f t="shared" si="23"/>
        <v>0</v>
      </c>
      <c r="Z30" s="30">
        <f t="shared" si="18"/>
        <v>39.236763158626978</v>
      </c>
      <c r="AA30" s="30">
        <f t="shared" si="24"/>
        <v>1052.4396014312522</v>
      </c>
      <c r="AB30" s="31">
        <v>3000</v>
      </c>
      <c r="AC30" s="8">
        <v>340</v>
      </c>
      <c r="AD30" s="9">
        <f t="shared" si="5"/>
        <v>2.7736842105263158</v>
      </c>
      <c r="AE30" s="30">
        <f t="shared" si="19"/>
        <v>7.7046783625730998E-4</v>
      </c>
      <c r="AF30" s="30">
        <f t="shared" si="25"/>
        <v>1.8491228070175444E-2</v>
      </c>
      <c r="AG30" s="30">
        <f t="shared" si="20"/>
        <v>25.682261208577007</v>
      </c>
      <c r="AH30" s="1"/>
      <c r="AI30" s="1"/>
      <c r="AK30" s="1"/>
      <c r="AL30" s="19"/>
      <c r="AM30" s="19"/>
      <c r="AN30" s="19"/>
      <c r="AO30" s="19"/>
      <c r="AP30" s="19"/>
      <c r="BL30" s="18"/>
      <c r="BM30" s="18"/>
    </row>
    <row r="31" spans="1:65" x14ac:dyDescent="0.25">
      <c r="A31" s="8">
        <v>53.305160000000001</v>
      </c>
      <c r="B31" s="8">
        <v>-6.2659999999999993E-2</v>
      </c>
      <c r="C31" s="8">
        <v>129</v>
      </c>
      <c r="D31" s="9">
        <f t="shared" si="6"/>
        <v>314.27848101265823</v>
      </c>
      <c r="E31" s="8">
        <v>6</v>
      </c>
      <c r="F31" s="8">
        <v>24.25</v>
      </c>
      <c r="G31" s="9">
        <f t="shared" si="7"/>
        <v>6.7361111111111107</v>
      </c>
      <c r="H31" s="9">
        <f t="shared" si="8"/>
        <v>1.9540630943792219</v>
      </c>
      <c r="I31" s="9">
        <f t="shared" si="21"/>
        <v>42.090595750907504</v>
      </c>
      <c r="J31" s="9">
        <f t="shared" si="22"/>
        <v>-3.5538486266998529E-2</v>
      </c>
      <c r="K31" s="9">
        <f t="shared" si="0"/>
        <v>-22.021067630482968</v>
      </c>
      <c r="L31" s="9">
        <f t="shared" si="9"/>
        <v>22.530144531249999</v>
      </c>
      <c r="M31" s="9">
        <f t="shared" si="1"/>
        <v>36.472010400000002</v>
      </c>
      <c r="N31" s="9">
        <f t="shared" si="2"/>
        <v>14.058142264660491</v>
      </c>
      <c r="O31" s="9">
        <f t="shared" si="10"/>
        <v>1.9091348477525374E-2</v>
      </c>
      <c r="P31" s="9">
        <f t="shared" si="11"/>
        <v>1.9089029515698654E-2</v>
      </c>
      <c r="Q31" s="9">
        <f t="shared" si="12"/>
        <v>1.0937208262501907</v>
      </c>
      <c r="R31" s="9">
        <f t="shared" si="3"/>
        <v>5399.9340166100437</v>
      </c>
      <c r="S31" s="8">
        <f t="shared" si="4"/>
        <v>364.72010399999999</v>
      </c>
      <c r="T31" s="9">
        <f t="shared" si="13"/>
        <v>5.7651631975108106</v>
      </c>
      <c r="U31" s="9">
        <f t="shared" si="14"/>
        <v>38.83477987212143</v>
      </c>
      <c r="V31" s="9">
        <f t="shared" si="15"/>
        <v>6.2</v>
      </c>
      <c r="W31" s="9">
        <f t="shared" si="16"/>
        <v>32.634779872121428</v>
      </c>
      <c r="X31" s="29">
        <f t="shared" si="17"/>
        <v>0</v>
      </c>
      <c r="Y31" s="29">
        <f t="shared" si="23"/>
        <v>0</v>
      </c>
      <c r="Z31" s="30">
        <f t="shared" si="18"/>
        <v>38.83477987212143</v>
      </c>
      <c r="AA31" s="30">
        <f t="shared" si="24"/>
        <v>1091.2743813033735</v>
      </c>
      <c r="AB31" s="31">
        <v>3000</v>
      </c>
      <c r="AC31" s="8">
        <v>340</v>
      </c>
      <c r="AD31" s="9">
        <f t="shared" si="5"/>
        <v>2.7736842105263158</v>
      </c>
      <c r="AE31" s="30">
        <f t="shared" si="19"/>
        <v>7.7046783625730998E-4</v>
      </c>
      <c r="AF31" s="30">
        <f t="shared" si="25"/>
        <v>1.9261695906432754E-2</v>
      </c>
      <c r="AG31" s="30">
        <f t="shared" si="20"/>
        <v>26.752355425601049</v>
      </c>
      <c r="AH31" s="1"/>
      <c r="AI31" s="1"/>
      <c r="AK31" s="1"/>
      <c r="AL31" s="19"/>
      <c r="AM31" s="19"/>
      <c r="AN31" s="19"/>
      <c r="AO31" s="19"/>
      <c r="AP31" s="19"/>
      <c r="BL31" s="18"/>
      <c r="BM31" s="18"/>
    </row>
    <row r="32" spans="1:65" x14ac:dyDescent="0.25">
      <c r="A32" s="8">
        <v>53.305300000000003</v>
      </c>
      <c r="B32" s="8">
        <v>-6.2969999999999998E-2</v>
      </c>
      <c r="C32" s="8">
        <v>128</v>
      </c>
      <c r="D32" s="9">
        <f t="shared" si="6"/>
        <v>327.37341772151899</v>
      </c>
      <c r="E32" s="8">
        <v>6.25</v>
      </c>
      <c r="F32" s="8">
        <v>24</v>
      </c>
      <c r="G32" s="9">
        <f t="shared" si="7"/>
        <v>6.6666666666666661</v>
      </c>
      <c r="H32" s="9">
        <f t="shared" si="8"/>
        <v>1.9745244880376429</v>
      </c>
      <c r="I32" s="9">
        <f t="shared" si="21"/>
        <v>44.065120238945148</v>
      </c>
      <c r="J32" s="9">
        <f t="shared" si="22"/>
        <v>-3.5170211797910439E-2</v>
      </c>
      <c r="K32" s="9">
        <f t="shared" si="0"/>
        <v>-21.792870038457224</v>
      </c>
      <c r="L32" s="9">
        <f t="shared" si="9"/>
        <v>22.067999999999998</v>
      </c>
      <c r="M32" s="9">
        <f t="shared" si="1"/>
        <v>37.991677500000009</v>
      </c>
      <c r="N32" s="9">
        <f t="shared" si="2"/>
        <v>13.769777777777776</v>
      </c>
      <c r="O32" s="9">
        <f t="shared" si="10"/>
        <v>1.9091348477525374E-2</v>
      </c>
      <c r="P32" s="9">
        <f t="shared" si="11"/>
        <v>1.9089029515698654E-2</v>
      </c>
      <c r="Q32" s="9">
        <f t="shared" si="12"/>
        <v>1.0937208262501907</v>
      </c>
      <c r="R32" s="9">
        <f t="shared" si="3"/>
        <v>5399.9340166100437</v>
      </c>
      <c r="S32" s="8">
        <f t="shared" si="4"/>
        <v>364.72010399999999</v>
      </c>
      <c r="T32" s="9">
        <f t="shared" si="13"/>
        <v>5.764929250571587</v>
      </c>
      <c r="U32" s="9">
        <f t="shared" si="14"/>
        <v>38.432861670477244</v>
      </c>
      <c r="V32" s="9">
        <f t="shared" si="15"/>
        <v>6.2</v>
      </c>
      <c r="W32" s="9">
        <f t="shared" si="16"/>
        <v>32.232861670477241</v>
      </c>
      <c r="X32" s="29">
        <f t="shared" si="17"/>
        <v>0</v>
      </c>
      <c r="Y32" s="29">
        <f t="shared" si="23"/>
        <v>0</v>
      </c>
      <c r="Z32" s="30">
        <f t="shared" si="18"/>
        <v>38.432861670477244</v>
      </c>
      <c r="AA32" s="30">
        <f t="shared" si="24"/>
        <v>1129.7072429738507</v>
      </c>
      <c r="AB32" s="31">
        <v>3000</v>
      </c>
      <c r="AC32" s="8">
        <v>340</v>
      </c>
      <c r="AD32" s="9">
        <f t="shared" si="5"/>
        <v>2.7736842105263158</v>
      </c>
      <c r="AE32" s="30">
        <f t="shared" si="19"/>
        <v>7.7046783625730998E-4</v>
      </c>
      <c r="AF32" s="30">
        <f t="shared" si="25"/>
        <v>2.0032163742690064E-2</v>
      </c>
      <c r="AG32" s="30">
        <f t="shared" si="20"/>
        <v>27.822449642625092</v>
      </c>
      <c r="AH32" s="1"/>
      <c r="AI32" s="1"/>
      <c r="AK32" s="1"/>
      <c r="AL32" s="19"/>
      <c r="AM32" s="19"/>
      <c r="AN32" s="19"/>
      <c r="AO32" s="19"/>
      <c r="AP32" s="19"/>
      <c r="BL32" s="18"/>
      <c r="BM32" s="18"/>
    </row>
    <row r="33" spans="1:65" x14ac:dyDescent="0.25">
      <c r="A33" s="8">
        <v>53.305509999999998</v>
      </c>
      <c r="B33" s="8">
        <v>-6.3479999999999995E-2</v>
      </c>
      <c r="C33" s="8">
        <v>127</v>
      </c>
      <c r="D33" s="9">
        <f t="shared" si="6"/>
        <v>340.46835443037975</v>
      </c>
      <c r="E33" s="8">
        <v>6.5</v>
      </c>
      <c r="F33" s="8">
        <v>23.75</v>
      </c>
      <c r="G33" s="9">
        <f t="shared" si="7"/>
        <v>6.5972222222222223</v>
      </c>
      <c r="H33" s="9">
        <f t="shared" si="8"/>
        <v>1.9954189270644964</v>
      </c>
      <c r="I33" s="9">
        <f t="shared" si="21"/>
        <v>46.060539166009647</v>
      </c>
      <c r="J33" s="9">
        <f t="shared" si="22"/>
        <v>-3.4801937328821912E-2</v>
      </c>
      <c r="K33" s="9">
        <f t="shared" si="0"/>
        <v>-21.56467244643121</v>
      </c>
      <c r="L33" s="9">
        <f t="shared" si="9"/>
        <v>21.610644531249999</v>
      </c>
      <c r="M33" s="9">
        <f t="shared" si="1"/>
        <v>39.511344600000001</v>
      </c>
      <c r="N33" s="9">
        <f t="shared" si="2"/>
        <v>13.484401523919752</v>
      </c>
      <c r="O33" s="9">
        <f t="shared" si="10"/>
        <v>1.9091348477525374E-2</v>
      </c>
      <c r="P33" s="9">
        <f t="shared" si="11"/>
        <v>1.9089029515698654E-2</v>
      </c>
      <c r="Q33" s="9">
        <f t="shared" si="12"/>
        <v>1.0937208262501907</v>
      </c>
      <c r="R33" s="9">
        <f t="shared" si="3"/>
        <v>5399.9340166100437</v>
      </c>
      <c r="S33" s="8">
        <f t="shared" si="4"/>
        <v>364.72010399999999</v>
      </c>
      <c r="T33" s="9">
        <f t="shared" si="13"/>
        <v>5.7647000926948619</v>
      </c>
      <c r="U33" s="9">
        <f t="shared" si="14"/>
        <v>38.031007555973048</v>
      </c>
      <c r="V33" s="9">
        <f t="shared" si="15"/>
        <v>6.2</v>
      </c>
      <c r="W33" s="9">
        <f t="shared" si="16"/>
        <v>31.831007555973049</v>
      </c>
      <c r="X33" s="29">
        <f t="shared" si="17"/>
        <v>0</v>
      </c>
      <c r="Y33" s="29">
        <f t="shared" si="23"/>
        <v>0</v>
      </c>
      <c r="Z33" s="30">
        <f t="shared" si="18"/>
        <v>38.031007555973048</v>
      </c>
      <c r="AA33" s="30">
        <f t="shared" si="24"/>
        <v>1167.7382505298237</v>
      </c>
      <c r="AB33" s="31">
        <v>3000</v>
      </c>
      <c r="AC33" s="8">
        <v>340</v>
      </c>
      <c r="AD33" s="9">
        <f t="shared" si="5"/>
        <v>2.7736842105263158</v>
      </c>
      <c r="AE33" s="30">
        <f t="shared" si="19"/>
        <v>7.7046783625730998E-4</v>
      </c>
      <c r="AF33" s="30">
        <f t="shared" si="25"/>
        <v>2.0802631578947375E-2</v>
      </c>
      <c r="AG33" s="30">
        <f t="shared" si="20"/>
        <v>28.892543859649134</v>
      </c>
      <c r="AH33" s="1"/>
      <c r="AI33" s="1"/>
      <c r="AK33" s="1"/>
      <c r="AL33" s="19"/>
      <c r="AM33" s="19"/>
      <c r="AN33" s="19"/>
      <c r="AO33" s="19"/>
      <c r="AP33" s="19"/>
      <c r="BL33" s="18"/>
      <c r="BM33" s="18"/>
    </row>
    <row r="34" spans="1:65" x14ac:dyDescent="0.25">
      <c r="A34" s="8">
        <v>53.30574</v>
      </c>
      <c r="B34" s="8">
        <v>-6.3880000000000006E-2</v>
      </c>
      <c r="C34" s="8">
        <v>126</v>
      </c>
      <c r="D34" s="9">
        <f t="shared" si="6"/>
        <v>353.5632911392405</v>
      </c>
      <c r="E34" s="8">
        <v>6.75</v>
      </c>
      <c r="F34" s="8">
        <v>23.5</v>
      </c>
      <c r="G34" s="9">
        <f t="shared" si="7"/>
        <v>6.5277777777777777</v>
      </c>
      <c r="H34" s="9">
        <f t="shared" si="8"/>
        <v>2.0167603059635821</v>
      </c>
      <c r="I34" s="9">
        <f t="shared" si="21"/>
        <v>48.077299471973227</v>
      </c>
      <c r="J34" s="9">
        <f t="shared" si="22"/>
        <v>-3.4433662859734378E-2</v>
      </c>
      <c r="K34" s="9">
        <f t="shared" si="0"/>
        <v>-21.336474854405811</v>
      </c>
      <c r="L34" s="9">
        <f t="shared" si="9"/>
        <v>21.158078124999999</v>
      </c>
      <c r="M34" s="9">
        <f t="shared" si="1"/>
        <v>41.031011700000001</v>
      </c>
      <c r="N34" s="9">
        <f t="shared" si="2"/>
        <v>13.202013503086418</v>
      </c>
      <c r="O34" s="9">
        <f t="shared" si="10"/>
        <v>1.9091348477525374E-2</v>
      </c>
      <c r="P34" s="9">
        <f t="shared" si="11"/>
        <v>1.9089029515698654E-2</v>
      </c>
      <c r="Q34" s="9">
        <f t="shared" si="12"/>
        <v>1.0937208262501907</v>
      </c>
      <c r="R34" s="9">
        <f t="shared" si="3"/>
        <v>5399.9340166100437</v>
      </c>
      <c r="S34" s="8">
        <f t="shared" si="4"/>
        <v>364.72010399999999</v>
      </c>
      <c r="T34" s="9">
        <f t="shared" si="13"/>
        <v>5.764475723880639</v>
      </c>
      <c r="U34" s="9">
        <f t="shared" si="14"/>
        <v>37.629216530887504</v>
      </c>
      <c r="V34" s="9">
        <f t="shared" si="15"/>
        <v>6.2</v>
      </c>
      <c r="W34" s="9">
        <f t="shared" si="16"/>
        <v>31.429216530887505</v>
      </c>
      <c r="X34" s="29">
        <f t="shared" si="17"/>
        <v>0</v>
      </c>
      <c r="Y34" s="29">
        <f t="shared" si="23"/>
        <v>0</v>
      </c>
      <c r="Z34" s="30">
        <f t="shared" si="18"/>
        <v>37.629216530887504</v>
      </c>
      <c r="AA34" s="30">
        <f t="shared" si="24"/>
        <v>1205.3674670607113</v>
      </c>
      <c r="AB34" s="31">
        <v>3000</v>
      </c>
      <c r="AC34" s="8">
        <v>340</v>
      </c>
      <c r="AD34" s="9">
        <f t="shared" si="5"/>
        <v>2.7736842105263158</v>
      </c>
      <c r="AE34" s="30">
        <f t="shared" si="19"/>
        <v>7.7046783625730998E-4</v>
      </c>
      <c r="AF34" s="30">
        <f t="shared" si="25"/>
        <v>2.1573099415204685E-2</v>
      </c>
      <c r="AG34" s="30">
        <f t="shared" si="20"/>
        <v>29.962638076673173</v>
      </c>
      <c r="AH34" s="1"/>
      <c r="AI34" s="1"/>
      <c r="AK34" s="1"/>
      <c r="AL34" s="19"/>
      <c r="AM34" s="19"/>
      <c r="AN34" s="19"/>
      <c r="AO34" s="19"/>
      <c r="AP34" s="19"/>
      <c r="BL34" s="18"/>
      <c r="BM34" s="18"/>
    </row>
    <row r="35" spans="1:65" x14ac:dyDescent="0.25">
      <c r="A35" s="8">
        <v>53.305950000000003</v>
      </c>
      <c r="B35" s="8">
        <v>-6.4219999999999999E-2</v>
      </c>
      <c r="C35" s="8">
        <v>125</v>
      </c>
      <c r="D35" s="9">
        <f t="shared" si="6"/>
        <v>366.65822784810126</v>
      </c>
      <c r="E35" s="8">
        <v>7</v>
      </c>
      <c r="F35" s="8">
        <v>23.25</v>
      </c>
      <c r="G35" s="9">
        <f t="shared" si="7"/>
        <v>6.458333333333333</v>
      </c>
      <c r="H35" s="9">
        <f t="shared" si="8"/>
        <v>2.0385631200821073</v>
      </c>
      <c r="I35" s="9">
        <f t="shared" si="21"/>
        <v>50.115862592055336</v>
      </c>
      <c r="J35" s="9">
        <f t="shared" si="22"/>
        <v>-3.4065388390646226E-2</v>
      </c>
      <c r="K35" s="9">
        <f t="shared" si="0"/>
        <v>-21.108277262380028</v>
      </c>
      <c r="L35" s="9">
        <f t="shared" si="9"/>
        <v>20.710300781249998</v>
      </c>
      <c r="M35" s="9">
        <f t="shared" si="1"/>
        <v>42.5506788</v>
      </c>
      <c r="N35" s="9">
        <f t="shared" si="2"/>
        <v>12.922613715277777</v>
      </c>
      <c r="O35" s="9">
        <f t="shared" si="10"/>
        <v>1.9091348477525374E-2</v>
      </c>
      <c r="P35" s="9">
        <f t="shared" si="11"/>
        <v>1.9089029515698654E-2</v>
      </c>
      <c r="Q35" s="9">
        <f t="shared" si="12"/>
        <v>1.0937208262501907</v>
      </c>
      <c r="R35" s="9">
        <f t="shared" si="3"/>
        <v>5399.9340166100437</v>
      </c>
      <c r="S35" s="8">
        <f t="shared" si="4"/>
        <v>364.72010399999999</v>
      </c>
      <c r="T35" s="9">
        <f t="shared" si="13"/>
        <v>5.7642561441289137</v>
      </c>
      <c r="U35" s="9">
        <f t="shared" si="14"/>
        <v>37.227487597499234</v>
      </c>
      <c r="V35" s="9">
        <f t="shared" si="15"/>
        <v>6.2</v>
      </c>
      <c r="W35" s="9">
        <f t="shared" si="16"/>
        <v>31.027487597499235</v>
      </c>
      <c r="X35" s="29">
        <f t="shared" si="17"/>
        <v>0</v>
      </c>
      <c r="Y35" s="29">
        <f t="shared" si="23"/>
        <v>0</v>
      </c>
      <c r="Z35" s="30">
        <f t="shared" si="18"/>
        <v>37.227487597499234</v>
      </c>
      <c r="AA35" s="30">
        <f t="shared" si="24"/>
        <v>1242.5949546582106</v>
      </c>
      <c r="AB35" s="31">
        <v>3000</v>
      </c>
      <c r="AC35" s="8">
        <v>340</v>
      </c>
      <c r="AD35" s="9">
        <f t="shared" si="5"/>
        <v>2.7736842105263158</v>
      </c>
      <c r="AE35" s="30">
        <f t="shared" si="19"/>
        <v>7.7046783625730998E-4</v>
      </c>
      <c r="AF35" s="30">
        <f t="shared" si="25"/>
        <v>2.2343567251461995E-2</v>
      </c>
      <c r="AG35" s="30">
        <f t="shared" si="20"/>
        <v>31.032732293697215</v>
      </c>
      <c r="AH35" s="1"/>
      <c r="AI35" s="1"/>
      <c r="AK35" s="1"/>
      <c r="AL35" s="19"/>
      <c r="AM35" s="19"/>
      <c r="AN35" s="19"/>
      <c r="AO35" s="19"/>
      <c r="AP35" s="19"/>
      <c r="BL35" s="3"/>
      <c r="BM35" s="18"/>
    </row>
    <row r="36" spans="1:65" x14ac:dyDescent="0.25">
      <c r="A36" s="8">
        <v>53.306100000000001</v>
      </c>
      <c r="B36" s="8">
        <v>-6.4500000000000002E-2</v>
      </c>
      <c r="C36" s="8">
        <v>124</v>
      </c>
      <c r="D36" s="9">
        <f t="shared" si="6"/>
        <v>379.75316455696202</v>
      </c>
      <c r="E36" s="8">
        <v>7.25</v>
      </c>
      <c r="F36" s="8">
        <v>23</v>
      </c>
      <c r="G36" s="9">
        <f t="shared" si="7"/>
        <v>6.3888888888888884</v>
      </c>
      <c r="H36" s="9">
        <f t="shared" si="8"/>
        <v>2.0608424984436602</v>
      </c>
      <c r="I36" s="9">
        <f t="shared" si="21"/>
        <v>52.176705090498999</v>
      </c>
      <c r="J36" s="9">
        <f t="shared" si="22"/>
        <v>-3.3697113921558164E-2</v>
      </c>
      <c r="K36" s="9">
        <f t="shared" si="0"/>
        <v>-20.880079670354299</v>
      </c>
      <c r="L36" s="9">
        <f t="shared" si="9"/>
        <v>20.267312499999999</v>
      </c>
      <c r="M36" s="9">
        <f t="shared" si="1"/>
        <v>44.0703459</v>
      </c>
      <c r="N36" s="9">
        <f t="shared" si="2"/>
        <v>12.646202160493825</v>
      </c>
      <c r="O36" s="9">
        <f t="shared" si="10"/>
        <v>1.9091348477525374E-2</v>
      </c>
      <c r="P36" s="9">
        <f t="shared" si="11"/>
        <v>1.9089029515698654E-2</v>
      </c>
      <c r="Q36" s="9">
        <f t="shared" si="12"/>
        <v>1.0937208262501907</v>
      </c>
      <c r="R36" s="9">
        <f t="shared" si="3"/>
        <v>5399.9340166100437</v>
      </c>
      <c r="S36" s="8">
        <f t="shared" si="4"/>
        <v>364.72010399999999</v>
      </c>
      <c r="T36" s="9">
        <f t="shared" si="13"/>
        <v>5.7640413534396897</v>
      </c>
      <c r="U36" s="9">
        <f t="shared" si="14"/>
        <v>36.825819758086901</v>
      </c>
      <c r="V36" s="9">
        <f t="shared" si="15"/>
        <v>6.2</v>
      </c>
      <c r="W36" s="9">
        <f t="shared" si="16"/>
        <v>30.625819758086902</v>
      </c>
      <c r="X36" s="29">
        <f t="shared" si="17"/>
        <v>0</v>
      </c>
      <c r="Y36" s="29">
        <f t="shared" si="23"/>
        <v>0</v>
      </c>
      <c r="Z36" s="30">
        <f t="shared" si="18"/>
        <v>36.825819758086901</v>
      </c>
      <c r="AA36" s="30">
        <f t="shared" si="24"/>
        <v>1279.4207744162975</v>
      </c>
      <c r="AB36" s="31">
        <v>3000</v>
      </c>
      <c r="AC36" s="8">
        <v>340</v>
      </c>
      <c r="AD36" s="9">
        <f t="shared" si="5"/>
        <v>2.7736842105263158</v>
      </c>
      <c r="AE36" s="30">
        <f t="shared" si="19"/>
        <v>7.7046783625730998E-4</v>
      </c>
      <c r="AF36" s="30">
        <f t="shared" si="25"/>
        <v>2.3114035087719306E-2</v>
      </c>
      <c r="AG36" s="30">
        <f t="shared" si="20"/>
        <v>32.102826510721258</v>
      </c>
      <c r="AH36" s="1"/>
      <c r="AI36" s="1"/>
      <c r="AK36" s="1"/>
      <c r="AL36" s="19"/>
      <c r="AM36" s="19"/>
      <c r="AN36" s="19"/>
      <c r="AO36" s="19"/>
      <c r="AP36" s="19"/>
      <c r="BL36" s="3"/>
      <c r="BM36" s="18"/>
    </row>
    <row r="37" spans="1:65" x14ac:dyDescent="0.25">
      <c r="A37" s="8">
        <v>53.306370000000001</v>
      </c>
      <c r="B37" s="8">
        <v>-6.4930000000000002E-2</v>
      </c>
      <c r="C37" s="8">
        <v>122</v>
      </c>
      <c r="D37" s="9">
        <f t="shared" si="6"/>
        <v>392.84810126582278</v>
      </c>
      <c r="E37" s="8">
        <v>7.5</v>
      </c>
      <c r="F37" s="8">
        <v>22.75</v>
      </c>
      <c r="G37" s="9">
        <f t="shared" si="7"/>
        <v>6.3194444444444446</v>
      </c>
      <c r="H37" s="9">
        <f t="shared" si="8"/>
        <v>2.0836142387579546</v>
      </c>
      <c r="I37" s="9">
        <f t="shared" si="21"/>
        <v>54.260319329256951</v>
      </c>
      <c r="J37" s="9">
        <f t="shared" si="22"/>
        <v>-3.3328839452469734E-2</v>
      </c>
      <c r="K37" s="9">
        <f t="shared" si="0"/>
        <v>-20.651882078328345</v>
      </c>
      <c r="L37" s="9">
        <f t="shared" si="9"/>
        <v>19.829113281249999</v>
      </c>
      <c r="M37" s="9">
        <f t="shared" si="1"/>
        <v>45.590013000000006</v>
      </c>
      <c r="N37" s="9">
        <f t="shared" si="2"/>
        <v>12.372778838734568</v>
      </c>
      <c r="O37" s="9">
        <f t="shared" si="10"/>
        <v>1.9091348477525374E-2</v>
      </c>
      <c r="P37" s="9">
        <f t="shared" si="11"/>
        <v>1.9089029515698654E-2</v>
      </c>
      <c r="Q37" s="9">
        <f t="shared" si="12"/>
        <v>1.0937208262501907</v>
      </c>
      <c r="R37" s="9">
        <f t="shared" si="3"/>
        <v>5399.9340166100437</v>
      </c>
      <c r="S37" s="8">
        <f t="shared" si="4"/>
        <v>364.72010399999999</v>
      </c>
      <c r="T37" s="9">
        <f t="shared" si="13"/>
        <v>5.7638313518129651</v>
      </c>
      <c r="U37" s="9">
        <f t="shared" si="14"/>
        <v>36.424212014929154</v>
      </c>
      <c r="V37" s="9">
        <f t="shared" si="15"/>
        <v>6.2</v>
      </c>
      <c r="W37" s="9">
        <f t="shared" si="16"/>
        <v>30.224212014929154</v>
      </c>
      <c r="X37" s="29">
        <f t="shared" si="17"/>
        <v>0</v>
      </c>
      <c r="Y37" s="29">
        <f t="shared" si="23"/>
        <v>0</v>
      </c>
      <c r="Z37" s="30">
        <f t="shared" si="18"/>
        <v>36.424212014929154</v>
      </c>
      <c r="AA37" s="30">
        <f t="shared" si="24"/>
        <v>1315.8449864312267</v>
      </c>
      <c r="AB37" s="31">
        <v>3000</v>
      </c>
      <c r="AC37" s="8">
        <v>340</v>
      </c>
      <c r="AD37" s="9">
        <f t="shared" si="5"/>
        <v>2.7736842105263158</v>
      </c>
      <c r="AE37" s="30">
        <f t="shared" si="19"/>
        <v>7.7046783625730998E-4</v>
      </c>
      <c r="AF37" s="30">
        <f t="shared" si="25"/>
        <v>2.3884502923976616E-2</v>
      </c>
      <c r="AG37" s="30">
        <f t="shared" si="20"/>
        <v>33.1729207277453</v>
      </c>
      <c r="AH37" s="1"/>
      <c r="AI37" s="1"/>
      <c r="AK37" s="1"/>
      <c r="AL37" s="19"/>
      <c r="AM37" s="19"/>
      <c r="AN37" s="19"/>
      <c r="AO37" s="19"/>
      <c r="AP37" s="19"/>
      <c r="BL37" s="3"/>
      <c r="BM37" s="18"/>
    </row>
    <row r="38" spans="1:65" x14ac:dyDescent="0.25">
      <c r="A38" s="8">
        <v>53.306629999999998</v>
      </c>
      <c r="B38" s="8">
        <v>-6.5360000000000001E-2</v>
      </c>
      <c r="C38" s="8">
        <v>123</v>
      </c>
      <c r="D38" s="9">
        <f t="shared" si="6"/>
        <v>405.94303797468353</v>
      </c>
      <c r="E38" s="8">
        <v>7.75</v>
      </c>
      <c r="F38" s="8">
        <v>22.5</v>
      </c>
      <c r="G38" s="9">
        <f t="shared" si="7"/>
        <v>6.25</v>
      </c>
      <c r="H38" s="9">
        <f t="shared" si="8"/>
        <v>2.1068948447775968</v>
      </c>
      <c r="I38" s="9">
        <f t="shared" si="21"/>
        <v>56.367214174034551</v>
      </c>
      <c r="J38" s="9">
        <f t="shared" si="22"/>
        <v>-3.2960564983382019E-2</v>
      </c>
      <c r="K38" s="9">
        <f t="shared" si="0"/>
        <v>-20.423684486302832</v>
      </c>
      <c r="L38" s="9">
        <f t="shared" si="9"/>
        <v>19.395703125000001</v>
      </c>
      <c r="M38" s="9">
        <f t="shared" si="1"/>
        <v>47.109680100000006</v>
      </c>
      <c r="N38" s="9">
        <f t="shared" si="2"/>
        <v>12.102343749999999</v>
      </c>
      <c r="O38" s="9">
        <f t="shared" si="10"/>
        <v>1.9091348477525374E-2</v>
      </c>
      <c r="P38" s="9">
        <f t="shared" si="11"/>
        <v>1.9089029515698654E-2</v>
      </c>
      <c r="Q38" s="9">
        <f t="shared" si="12"/>
        <v>1.0937208262501907</v>
      </c>
      <c r="R38" s="9">
        <f t="shared" si="3"/>
        <v>5399.9340166100437</v>
      </c>
      <c r="S38" s="8">
        <f t="shared" si="4"/>
        <v>364.72010399999999</v>
      </c>
      <c r="T38" s="9">
        <f t="shared" si="13"/>
        <v>5.7636261392487409</v>
      </c>
      <c r="U38" s="9">
        <f t="shared" si="14"/>
        <v>36.022663370304628</v>
      </c>
      <c r="V38" s="9">
        <f t="shared" si="15"/>
        <v>6.2</v>
      </c>
      <c r="W38" s="9">
        <f t="shared" si="16"/>
        <v>29.822663370304628</v>
      </c>
      <c r="X38" s="29">
        <f t="shared" si="17"/>
        <v>0</v>
      </c>
      <c r="Y38" s="29">
        <f t="shared" si="23"/>
        <v>0</v>
      </c>
      <c r="Z38" s="30">
        <f t="shared" si="18"/>
        <v>36.022663370304628</v>
      </c>
      <c r="AA38" s="30">
        <f t="shared" si="24"/>
        <v>1351.8676498015313</v>
      </c>
      <c r="AB38" s="31">
        <v>3000</v>
      </c>
      <c r="AC38" s="8">
        <v>340</v>
      </c>
      <c r="AD38" s="9">
        <f t="shared" si="5"/>
        <v>2.7736842105263158</v>
      </c>
      <c r="AE38" s="30">
        <f t="shared" si="19"/>
        <v>7.7046783625730998E-4</v>
      </c>
      <c r="AF38" s="30">
        <f t="shared" si="25"/>
        <v>2.4654970760233926E-2</v>
      </c>
      <c r="AG38" s="30">
        <f t="shared" si="20"/>
        <v>34.243014944769342</v>
      </c>
      <c r="AH38" s="1"/>
      <c r="AI38" s="1"/>
      <c r="AK38" s="1"/>
      <c r="AL38" s="19"/>
      <c r="AM38" s="19"/>
      <c r="AN38" s="19"/>
      <c r="AO38" s="19"/>
      <c r="AP38" s="19"/>
      <c r="BL38" s="3"/>
      <c r="BM38" s="18"/>
    </row>
    <row r="39" spans="1:65" x14ac:dyDescent="0.25">
      <c r="A39" s="8">
        <v>53.306829999999998</v>
      </c>
      <c r="B39" s="8">
        <v>-6.5759999999999999E-2</v>
      </c>
      <c r="C39" s="8">
        <v>125</v>
      </c>
      <c r="D39" s="9">
        <f t="shared" si="6"/>
        <v>419.03797468354429</v>
      </c>
      <c r="E39" s="8">
        <v>8</v>
      </c>
      <c r="F39" s="8">
        <v>22.25</v>
      </c>
      <c r="G39" s="9">
        <f t="shared" si="7"/>
        <v>6.1805555555555554</v>
      </c>
      <c r="H39" s="9">
        <f t="shared" si="8"/>
        <v>2.1307015661875131</v>
      </c>
      <c r="I39" s="9">
        <f t="shared" si="21"/>
        <v>58.497915740222062</v>
      </c>
      <c r="J39" s="9">
        <f t="shared" si="22"/>
        <v>-3.259229051429402E-2</v>
      </c>
      <c r="K39" s="9">
        <f t="shared" ref="K39:K70" si="26">J39*$L$2</f>
        <v>-20.195486894277145</v>
      </c>
      <c r="L39" s="9">
        <f t="shared" si="9"/>
        <v>18.967082031250001</v>
      </c>
      <c r="M39" s="9">
        <f t="shared" ref="M39:M70" si="27">($L$2*$G$2*E39)/1000</f>
        <v>48.629347200000005</v>
      </c>
      <c r="N39" s="9">
        <f t="shared" ref="N39:N70" si="28">(0.5*$L$2*(G39^2))/1000</f>
        <v>11.834896894290123</v>
      </c>
      <c r="O39" s="9">
        <f t="shared" si="10"/>
        <v>1.9091348477525374E-2</v>
      </c>
      <c r="P39" s="9">
        <f t="shared" si="11"/>
        <v>1.9089029515698654E-2</v>
      </c>
      <c r="Q39" s="9">
        <f t="shared" si="12"/>
        <v>1.0937208262501907</v>
      </c>
      <c r="R39" s="9">
        <f t="shared" ref="R39:R70" si="29">($L$2*$G$2*SIN(Q39))</f>
        <v>5399.9340166100437</v>
      </c>
      <c r="S39" s="8">
        <f t="shared" ref="S39:S68" si="30" xml:space="preserve"> ($P$3*($L$2*$G$2))</f>
        <v>364.72010399999999</v>
      </c>
      <c r="T39" s="9">
        <f t="shared" si="13"/>
        <v>5.7634257157470161</v>
      </c>
      <c r="U39" s="9">
        <f t="shared" si="14"/>
        <v>35.621172826491971</v>
      </c>
      <c r="V39" s="9">
        <f t="shared" si="15"/>
        <v>6.2</v>
      </c>
      <c r="W39" s="9">
        <f t="shared" si="16"/>
        <v>29.421172826491972</v>
      </c>
      <c r="X39" s="29">
        <f t="shared" si="17"/>
        <v>0</v>
      </c>
      <c r="Y39" s="29">
        <f t="shared" si="23"/>
        <v>0</v>
      </c>
      <c r="Z39" s="30">
        <f t="shared" si="18"/>
        <v>35.621172826491971</v>
      </c>
      <c r="AA39" s="30">
        <f t="shared" si="24"/>
        <v>1387.4888226280234</v>
      </c>
      <c r="AB39" s="31">
        <v>3000</v>
      </c>
      <c r="AC39" s="8">
        <v>340</v>
      </c>
      <c r="AD39" s="9">
        <f t="shared" ref="AD39:AD70" si="31">IF(V39&lt;0,((V39=0)*AC39/760),V39*AC39/760)</f>
        <v>2.7736842105263158</v>
      </c>
      <c r="AE39" s="30">
        <f t="shared" si="19"/>
        <v>7.7046783625730998E-4</v>
      </c>
      <c r="AF39" s="30">
        <f t="shared" si="25"/>
        <v>2.5425438596491236E-2</v>
      </c>
      <c r="AG39" s="30">
        <f t="shared" si="20"/>
        <v>35.313109161793385</v>
      </c>
      <c r="AH39" s="1"/>
      <c r="AI39" s="1"/>
      <c r="AK39" s="1"/>
      <c r="AL39" s="19"/>
      <c r="AM39" s="19"/>
      <c r="AN39" s="19"/>
      <c r="AO39" s="19"/>
      <c r="AP39" s="19"/>
      <c r="BL39" s="3"/>
      <c r="BM39" s="18"/>
    </row>
    <row r="40" spans="1:65" x14ac:dyDescent="0.25">
      <c r="A40" s="8">
        <v>53.30706</v>
      </c>
      <c r="B40" s="8">
        <v>-6.6239999999999993E-2</v>
      </c>
      <c r="C40" s="8">
        <v>130</v>
      </c>
      <c r="D40" s="9">
        <f t="shared" ref="D40:D71" si="32">D39+$A$2</f>
        <v>432.13291139240505</v>
      </c>
      <c r="E40" s="8">
        <v>8.25</v>
      </c>
      <c r="F40" s="8">
        <v>22</v>
      </c>
      <c r="G40" s="9">
        <f t="shared" si="7"/>
        <v>6.1111111111111107</v>
      </c>
      <c r="H40" s="9">
        <f t="shared" si="8"/>
        <v>2.1550524412296563</v>
      </c>
      <c r="I40" s="9">
        <f t="shared" si="21"/>
        <v>60.652968181451719</v>
      </c>
      <c r="J40" s="9">
        <f t="shared" si="22"/>
        <v>-3.2224016045205917E-2</v>
      </c>
      <c r="K40" s="9">
        <f t="shared" si="26"/>
        <v>-19.967289302251395</v>
      </c>
      <c r="L40" s="9">
        <f t="shared" si="9"/>
        <v>18.54325</v>
      </c>
      <c r="M40" s="9">
        <f t="shared" si="27"/>
        <v>50.149014300000005</v>
      </c>
      <c r="N40" s="9">
        <f t="shared" si="28"/>
        <v>11.570438271604937</v>
      </c>
      <c r="O40" s="9">
        <f t="shared" ref="O40:O71" si="33">(E41-E40)/$A$2</f>
        <v>1.9091348477525374E-2</v>
      </c>
      <c r="P40" s="9">
        <f t="shared" si="11"/>
        <v>1.9089029515698654E-2</v>
      </c>
      <c r="Q40" s="9">
        <f t="shared" si="12"/>
        <v>1.0937208262501907</v>
      </c>
      <c r="R40" s="9">
        <f t="shared" si="29"/>
        <v>5399.9340166100437</v>
      </c>
      <c r="S40" s="8">
        <f t="shared" si="30"/>
        <v>364.72010399999999</v>
      </c>
      <c r="T40" s="9">
        <f t="shared" si="13"/>
        <v>5.7632300813077917</v>
      </c>
      <c r="U40" s="9">
        <f t="shared" si="14"/>
        <v>35.219739385769834</v>
      </c>
      <c r="V40" s="9">
        <f t="shared" si="15"/>
        <v>6.2</v>
      </c>
      <c r="W40" s="9">
        <f t="shared" si="16"/>
        <v>29.019739385769835</v>
      </c>
      <c r="X40" s="29">
        <f t="shared" si="17"/>
        <v>0</v>
      </c>
      <c r="Y40" s="29">
        <f t="shared" si="23"/>
        <v>0</v>
      </c>
      <c r="Z40" s="30">
        <f t="shared" si="18"/>
        <v>35.219739385769834</v>
      </c>
      <c r="AA40" s="30">
        <f t="shared" si="24"/>
        <v>1422.7085620137932</v>
      </c>
      <c r="AB40" s="31">
        <v>3000</v>
      </c>
      <c r="AC40" s="8">
        <v>340</v>
      </c>
      <c r="AD40" s="9">
        <f t="shared" si="31"/>
        <v>2.7736842105263158</v>
      </c>
      <c r="AE40" s="30">
        <f t="shared" si="19"/>
        <v>7.7046783625730998E-4</v>
      </c>
      <c r="AF40" s="30">
        <f t="shared" si="25"/>
        <v>2.6195906432748547E-2</v>
      </c>
      <c r="AG40" s="30">
        <f t="shared" si="20"/>
        <v>36.383203378817427</v>
      </c>
      <c r="AH40" s="1"/>
      <c r="AI40" s="1"/>
      <c r="AK40" s="1"/>
      <c r="AL40" s="19"/>
      <c r="AM40" s="19"/>
      <c r="AN40" s="19"/>
      <c r="AO40" s="19"/>
      <c r="AP40" s="19"/>
      <c r="BL40" s="3"/>
      <c r="BM40" s="18"/>
    </row>
    <row r="41" spans="1:65" x14ac:dyDescent="0.25">
      <c r="A41" s="8">
        <v>53.307250000000003</v>
      </c>
      <c r="B41" s="8">
        <v>-6.6669999999999993E-2</v>
      </c>
      <c r="C41" s="8">
        <v>135</v>
      </c>
      <c r="D41" s="9">
        <f t="shared" si="32"/>
        <v>445.22784810126581</v>
      </c>
      <c r="E41" s="8">
        <v>8.5</v>
      </c>
      <c r="F41" s="8">
        <v>21.75</v>
      </c>
      <c r="G41" s="9">
        <f t="shared" si="7"/>
        <v>6.0416666666666661</v>
      </c>
      <c r="H41" s="9">
        <f t="shared" si="8"/>
        <v>2.1799663422843341</v>
      </c>
      <c r="I41" s="9">
        <f t="shared" si="21"/>
        <v>62.83293452373605</v>
      </c>
      <c r="J41" s="9">
        <f t="shared" si="22"/>
        <v>-3.185574157611791E-2</v>
      </c>
      <c r="K41" s="9">
        <f t="shared" si="26"/>
        <v>-19.739091710225701</v>
      </c>
      <c r="L41" s="9">
        <f t="shared" si="9"/>
        <v>18.124207031249998</v>
      </c>
      <c r="M41" s="9">
        <f t="shared" si="27"/>
        <v>51.668681400000004</v>
      </c>
      <c r="N41" s="9">
        <f t="shared" si="28"/>
        <v>11.308967881944444</v>
      </c>
      <c r="O41" s="9">
        <f t="shared" si="33"/>
        <v>1.9091348477525374E-2</v>
      </c>
      <c r="P41" s="9">
        <f t="shared" si="11"/>
        <v>1.9089029515698654E-2</v>
      </c>
      <c r="Q41" s="9">
        <f t="shared" si="12"/>
        <v>1.0937208262501907</v>
      </c>
      <c r="R41" s="9">
        <f t="shared" si="29"/>
        <v>5399.9340166100437</v>
      </c>
      <c r="S41" s="8">
        <f t="shared" si="30"/>
        <v>364.72010399999999</v>
      </c>
      <c r="T41" s="9">
        <f t="shared" si="13"/>
        <v>5.7630392359310685</v>
      </c>
      <c r="U41" s="9">
        <f t="shared" si="14"/>
        <v>34.818362050416866</v>
      </c>
      <c r="V41" s="9">
        <f t="shared" si="15"/>
        <v>6.2</v>
      </c>
      <c r="W41" s="9">
        <f t="shared" si="16"/>
        <v>28.618362050416867</v>
      </c>
      <c r="X41" s="29">
        <f t="shared" si="17"/>
        <v>0</v>
      </c>
      <c r="Y41" s="29">
        <f t="shared" si="23"/>
        <v>0</v>
      </c>
      <c r="Z41" s="30">
        <f t="shared" si="18"/>
        <v>34.818362050416866</v>
      </c>
      <c r="AA41" s="30">
        <f t="shared" si="24"/>
        <v>1457.5269240642101</v>
      </c>
      <c r="AB41" s="31">
        <v>3000</v>
      </c>
      <c r="AC41" s="8">
        <v>340</v>
      </c>
      <c r="AD41" s="9">
        <f t="shared" si="31"/>
        <v>2.7736842105263158</v>
      </c>
      <c r="AE41" s="30">
        <f t="shared" si="19"/>
        <v>7.7046783625730998E-4</v>
      </c>
      <c r="AF41" s="30">
        <f t="shared" si="25"/>
        <v>2.6966374269005857E-2</v>
      </c>
      <c r="AG41" s="30">
        <f t="shared" si="20"/>
        <v>37.45329759584147</v>
      </c>
      <c r="AH41" s="1"/>
      <c r="AI41" s="1"/>
      <c r="AK41" s="1"/>
      <c r="AL41" s="19"/>
      <c r="AM41" s="19"/>
      <c r="AN41" s="19"/>
      <c r="AO41" s="19"/>
      <c r="AP41" s="19"/>
      <c r="BL41" s="3"/>
      <c r="BM41" s="108"/>
    </row>
    <row r="42" spans="1:65" x14ac:dyDescent="0.25">
      <c r="A42" s="8">
        <v>53.307450000000003</v>
      </c>
      <c r="B42" s="8">
        <v>-6.7159999999999997E-2</v>
      </c>
      <c r="C42" s="8">
        <v>135</v>
      </c>
      <c r="D42" s="9">
        <f t="shared" si="32"/>
        <v>458.32278481012656</v>
      </c>
      <c r="E42" s="8">
        <v>8.75</v>
      </c>
      <c r="F42" s="8">
        <v>21.5</v>
      </c>
      <c r="G42" s="9">
        <f t="shared" si="7"/>
        <v>5.9722222222222223</v>
      </c>
      <c r="H42" s="9">
        <f t="shared" si="8"/>
        <v>2.2054630246502329</v>
      </c>
      <c r="I42" s="9">
        <f t="shared" si="21"/>
        <v>65.038397548386286</v>
      </c>
      <c r="J42" s="9">
        <f t="shared" si="22"/>
        <v>-3.1487467107029349E-2</v>
      </c>
      <c r="K42" s="9">
        <f t="shared" si="26"/>
        <v>-19.510894118199666</v>
      </c>
      <c r="L42" s="9">
        <f t="shared" si="9"/>
        <v>17.709953125000002</v>
      </c>
      <c r="M42" s="9">
        <f t="shared" si="27"/>
        <v>53.188348500000011</v>
      </c>
      <c r="N42" s="9">
        <f t="shared" si="28"/>
        <v>11.050485725308642</v>
      </c>
      <c r="O42" s="9">
        <f t="shared" si="33"/>
        <v>1.9091348477525374E-2</v>
      </c>
      <c r="P42" s="9">
        <f t="shared" si="11"/>
        <v>1.9089029515698654E-2</v>
      </c>
      <c r="Q42" s="9">
        <f t="shared" si="12"/>
        <v>1.0937208262501907</v>
      </c>
      <c r="R42" s="9">
        <f t="shared" si="29"/>
        <v>5399.9340166100437</v>
      </c>
      <c r="S42" s="8">
        <f t="shared" si="30"/>
        <v>364.72010399999999</v>
      </c>
      <c r="T42" s="9">
        <f t="shared" si="13"/>
        <v>5.7628531796168438</v>
      </c>
      <c r="U42" s="9">
        <f t="shared" si="14"/>
        <v>34.417039822711708</v>
      </c>
      <c r="V42" s="9">
        <f t="shared" si="15"/>
        <v>6.2</v>
      </c>
      <c r="W42" s="9">
        <f t="shared" si="16"/>
        <v>28.217039822711708</v>
      </c>
      <c r="X42" s="29">
        <f t="shared" si="17"/>
        <v>0</v>
      </c>
      <c r="Y42" s="29">
        <f t="shared" si="23"/>
        <v>0</v>
      </c>
      <c r="Z42" s="30">
        <f t="shared" si="18"/>
        <v>34.417039822711708</v>
      </c>
      <c r="AA42" s="30">
        <f t="shared" si="24"/>
        <v>1491.9439638869219</v>
      </c>
      <c r="AB42" s="31">
        <v>3000</v>
      </c>
      <c r="AC42" s="8">
        <v>340</v>
      </c>
      <c r="AD42" s="9">
        <f t="shared" si="31"/>
        <v>2.7736842105263158</v>
      </c>
      <c r="AE42" s="30">
        <f t="shared" si="19"/>
        <v>7.7046783625730998E-4</v>
      </c>
      <c r="AF42" s="30">
        <f t="shared" si="25"/>
        <v>2.7736842105263167E-2</v>
      </c>
      <c r="AG42" s="30">
        <f t="shared" si="20"/>
        <v>38.523391812865512</v>
      </c>
      <c r="AH42" s="1"/>
      <c r="AI42" s="1"/>
      <c r="AK42" s="1"/>
      <c r="AL42" s="19"/>
      <c r="AM42" s="19"/>
      <c r="AN42" s="19"/>
      <c r="AO42" s="19"/>
      <c r="AP42" s="19"/>
      <c r="BL42" s="3"/>
      <c r="BM42" s="108"/>
    </row>
    <row r="43" spans="1:65" x14ac:dyDescent="0.25">
      <c r="A43" s="8">
        <v>53.307690000000001</v>
      </c>
      <c r="B43" s="8">
        <v>-6.7849999999999994E-2</v>
      </c>
      <c r="C43" s="8">
        <v>138</v>
      </c>
      <c r="D43" s="9">
        <f t="shared" si="32"/>
        <v>471.41772151898732</v>
      </c>
      <c r="E43" s="8">
        <v>9</v>
      </c>
      <c r="F43" s="8">
        <v>21.25</v>
      </c>
      <c r="G43" s="9">
        <f t="shared" si="7"/>
        <v>5.9027777777777777</v>
      </c>
      <c r="H43" s="9">
        <f t="shared" si="8"/>
        <v>2.2315631787881056</v>
      </c>
      <c r="I43" s="9">
        <f t="shared" si="21"/>
        <v>67.269960727174393</v>
      </c>
      <c r="J43" s="9">
        <f t="shared" si="22"/>
        <v>-3.1119192637941696E-2</v>
      </c>
      <c r="K43" s="9">
        <f t="shared" si="26"/>
        <v>-19.282696526174192</v>
      </c>
      <c r="L43" s="9">
        <f t="shared" si="9"/>
        <v>17.300488281249997</v>
      </c>
      <c r="M43" s="9">
        <f t="shared" si="27"/>
        <v>54.708015600000003</v>
      </c>
      <c r="N43" s="9">
        <f t="shared" si="28"/>
        <v>10.794991801697529</v>
      </c>
      <c r="O43" s="9">
        <f t="shared" si="33"/>
        <v>1.9091348477525374E-2</v>
      </c>
      <c r="P43" s="9">
        <f t="shared" si="11"/>
        <v>1.9089029515698654E-2</v>
      </c>
      <c r="Q43" s="9">
        <f t="shared" si="12"/>
        <v>1.0937208262501907</v>
      </c>
      <c r="R43" s="9">
        <f t="shared" si="29"/>
        <v>5399.9340166100437</v>
      </c>
      <c r="S43" s="8">
        <f t="shared" si="30"/>
        <v>364.72010399999999</v>
      </c>
      <c r="T43" s="9">
        <f t="shared" si="13"/>
        <v>5.7626719123651204</v>
      </c>
      <c r="U43" s="9">
        <f t="shared" si="14"/>
        <v>34.015771704933002</v>
      </c>
      <c r="V43" s="9">
        <f t="shared" si="15"/>
        <v>6.2</v>
      </c>
      <c r="W43" s="9">
        <f t="shared" si="16"/>
        <v>27.815771704933002</v>
      </c>
      <c r="X43" s="29">
        <f t="shared" si="17"/>
        <v>0</v>
      </c>
      <c r="Y43" s="29">
        <f t="shared" si="23"/>
        <v>0</v>
      </c>
      <c r="Z43" s="30">
        <f t="shared" si="18"/>
        <v>34.015771704933002</v>
      </c>
      <c r="AA43" s="30">
        <f t="shared" si="24"/>
        <v>1525.959735591855</v>
      </c>
      <c r="AB43" s="31">
        <v>3000</v>
      </c>
      <c r="AC43" s="8">
        <v>340</v>
      </c>
      <c r="AD43" s="9">
        <f t="shared" si="31"/>
        <v>2.7736842105263158</v>
      </c>
      <c r="AE43" s="30">
        <f t="shared" si="19"/>
        <v>7.7046783625730998E-4</v>
      </c>
      <c r="AF43" s="30">
        <f t="shared" si="25"/>
        <v>2.8507309941520478E-2</v>
      </c>
      <c r="AG43" s="30">
        <f t="shared" si="20"/>
        <v>39.593486029889554</v>
      </c>
      <c r="AH43" s="1"/>
      <c r="AI43" s="1"/>
      <c r="AK43" s="1"/>
      <c r="AL43" s="19"/>
      <c r="AM43" s="19"/>
      <c r="AN43" s="19"/>
      <c r="AO43" s="19"/>
      <c r="AP43" s="19"/>
      <c r="BL43" s="3"/>
      <c r="BM43" s="108"/>
    </row>
    <row r="44" spans="1:65" x14ac:dyDescent="0.25">
      <c r="A44" s="8">
        <v>53.307879999999997</v>
      </c>
      <c r="B44" s="8">
        <v>-6.8349999999999994E-2</v>
      </c>
      <c r="C44" s="8">
        <v>140</v>
      </c>
      <c r="D44" s="9">
        <f t="shared" si="32"/>
        <v>484.51265822784808</v>
      </c>
      <c r="E44" s="8">
        <v>9.25</v>
      </c>
      <c r="F44" s="8">
        <v>21</v>
      </c>
      <c r="G44" s="9">
        <f t="shared" si="7"/>
        <v>5.833333333333333</v>
      </c>
      <c r="H44" s="9">
        <f t="shared" si="8"/>
        <v>2.2582884863185022</v>
      </c>
      <c r="I44" s="9">
        <f t="shared" si="21"/>
        <v>69.528249213492899</v>
      </c>
      <c r="J44" s="9">
        <f t="shared" si="22"/>
        <v>-3.0750918168853603E-2</v>
      </c>
      <c r="K44" s="9">
        <f t="shared" si="26"/>
        <v>-19.054498934148448</v>
      </c>
      <c r="L44" s="9">
        <f t="shared" si="9"/>
        <v>16.895812499999998</v>
      </c>
      <c r="M44" s="9">
        <f t="shared" si="27"/>
        <v>56.227682700000003</v>
      </c>
      <c r="N44" s="9">
        <f t="shared" si="28"/>
        <v>10.54248611111111</v>
      </c>
      <c r="O44" s="9">
        <f t="shared" si="33"/>
        <v>1.9091348477525374E-2</v>
      </c>
      <c r="P44" s="9">
        <f t="shared" si="11"/>
        <v>1.9089029515698654E-2</v>
      </c>
      <c r="Q44" s="9">
        <f t="shared" si="12"/>
        <v>1.0937208262501907</v>
      </c>
      <c r="R44" s="9">
        <f t="shared" si="29"/>
        <v>5399.9340166100437</v>
      </c>
      <c r="S44" s="8">
        <f t="shared" si="30"/>
        <v>364.72010399999999</v>
      </c>
      <c r="T44" s="9">
        <f t="shared" si="13"/>
        <v>5.7624954341758947</v>
      </c>
      <c r="U44" s="9">
        <f t="shared" si="14"/>
        <v>33.614556699359383</v>
      </c>
      <c r="V44" s="9">
        <f t="shared" si="15"/>
        <v>6.2</v>
      </c>
      <c r="W44" s="9">
        <f t="shared" si="16"/>
        <v>27.414556699359384</v>
      </c>
      <c r="X44" s="29">
        <f t="shared" si="17"/>
        <v>0</v>
      </c>
      <c r="Y44" s="29">
        <f t="shared" si="23"/>
        <v>0</v>
      </c>
      <c r="Z44" s="30">
        <f t="shared" si="18"/>
        <v>33.614556699359383</v>
      </c>
      <c r="AA44" s="30">
        <f t="shared" si="24"/>
        <v>1559.5742922912143</v>
      </c>
      <c r="AB44" s="31">
        <v>3000</v>
      </c>
      <c r="AC44" s="8">
        <v>340</v>
      </c>
      <c r="AD44" s="9">
        <f t="shared" si="31"/>
        <v>2.7736842105263158</v>
      </c>
      <c r="AE44" s="30">
        <f t="shared" si="19"/>
        <v>7.7046783625730998E-4</v>
      </c>
      <c r="AF44" s="30">
        <f t="shared" si="25"/>
        <v>2.9277777777777788E-2</v>
      </c>
      <c r="AG44" s="30">
        <f t="shared" si="20"/>
        <v>40.663580246913597</v>
      </c>
      <c r="AH44" s="1"/>
      <c r="AI44" s="1"/>
      <c r="AK44" s="1"/>
      <c r="AL44" s="19"/>
      <c r="AM44" s="19"/>
      <c r="AN44" s="19"/>
      <c r="AO44" s="19"/>
      <c r="AP44" s="19"/>
      <c r="BL44" s="3"/>
      <c r="BM44" s="108"/>
    </row>
    <row r="45" spans="1:65" x14ac:dyDescent="0.25">
      <c r="A45" s="8">
        <v>53.308070000000001</v>
      </c>
      <c r="B45" s="8">
        <v>-6.8890000000000007E-2</v>
      </c>
      <c r="C45" s="8">
        <v>141</v>
      </c>
      <c r="D45" s="9">
        <f t="shared" si="32"/>
        <v>497.60759493670884</v>
      </c>
      <c r="E45" s="8">
        <v>9.5</v>
      </c>
      <c r="F45" s="8">
        <v>20.75</v>
      </c>
      <c r="G45" s="9">
        <f t="shared" si="7"/>
        <v>5.7638888888888884</v>
      </c>
      <c r="H45" s="9">
        <f t="shared" si="8"/>
        <v>2.2856616800920597</v>
      </c>
      <c r="I45" s="9">
        <f t="shared" si="21"/>
        <v>71.813910893584961</v>
      </c>
      <c r="J45" s="9">
        <f t="shared" si="22"/>
        <v>-3.0382643699765555E-2</v>
      </c>
      <c r="K45" s="9">
        <f t="shared" si="26"/>
        <v>-18.826301342122729</v>
      </c>
      <c r="L45" s="9">
        <f t="shared" si="9"/>
        <v>16.495925781249998</v>
      </c>
      <c r="M45" s="9">
        <f t="shared" si="27"/>
        <v>57.747349800000002</v>
      </c>
      <c r="N45" s="9">
        <f t="shared" si="28"/>
        <v>10.29296865354938</v>
      </c>
      <c r="O45" s="9">
        <f t="shared" si="33"/>
        <v>1.9091348477525374E-2</v>
      </c>
      <c r="P45" s="9">
        <f t="shared" si="11"/>
        <v>1.9089029515698654E-2</v>
      </c>
      <c r="Q45" s="9">
        <f t="shared" si="12"/>
        <v>1.0937208262501907</v>
      </c>
      <c r="R45" s="9">
        <f t="shared" si="29"/>
        <v>5399.9340166100437</v>
      </c>
      <c r="S45" s="8">
        <f t="shared" si="30"/>
        <v>364.72010399999999</v>
      </c>
      <c r="T45" s="9">
        <f t="shared" si="13"/>
        <v>5.7623237450491702</v>
      </c>
      <c r="U45" s="9">
        <f t="shared" si="14"/>
        <v>33.213393808269522</v>
      </c>
      <c r="V45" s="9">
        <f t="shared" si="15"/>
        <v>6.2</v>
      </c>
      <c r="W45" s="9">
        <f t="shared" si="16"/>
        <v>27.013393808269523</v>
      </c>
      <c r="X45" s="29">
        <f t="shared" si="17"/>
        <v>0</v>
      </c>
      <c r="Y45" s="29">
        <f t="shared" si="23"/>
        <v>0</v>
      </c>
      <c r="Z45" s="30">
        <f t="shared" si="18"/>
        <v>33.213393808269522</v>
      </c>
      <c r="AA45" s="30">
        <f t="shared" si="24"/>
        <v>1592.7876860994838</v>
      </c>
      <c r="AB45" s="31">
        <v>3000</v>
      </c>
      <c r="AC45" s="8">
        <v>340</v>
      </c>
      <c r="AD45" s="9">
        <f t="shared" si="31"/>
        <v>2.7736842105263158</v>
      </c>
      <c r="AE45" s="30">
        <f t="shared" si="19"/>
        <v>7.7046783625730998E-4</v>
      </c>
      <c r="AF45" s="30">
        <f t="shared" si="25"/>
        <v>3.0048245614035098E-2</v>
      </c>
      <c r="AG45" s="30">
        <f t="shared" si="20"/>
        <v>41.733674463937639</v>
      </c>
      <c r="AH45" s="1"/>
      <c r="AI45" s="1"/>
      <c r="AK45" s="1"/>
      <c r="AL45" s="19"/>
      <c r="AM45" s="19"/>
      <c r="AN45" s="19"/>
      <c r="AO45" s="19"/>
      <c r="AP45" s="19"/>
      <c r="BL45" s="3"/>
      <c r="BM45" s="108"/>
    </row>
    <row r="46" spans="1:65" x14ac:dyDescent="0.25">
      <c r="A46" s="8">
        <v>53.308230000000002</v>
      </c>
      <c r="B46" s="8">
        <v>-6.9360000000000005E-2</v>
      </c>
      <c r="C46" s="8">
        <v>138</v>
      </c>
      <c r="D46" s="9">
        <f t="shared" si="32"/>
        <v>510.70253164556959</v>
      </c>
      <c r="E46" s="8">
        <v>9.75</v>
      </c>
      <c r="F46" s="8">
        <v>20.5</v>
      </c>
      <c r="G46" s="9">
        <f t="shared" si="7"/>
        <v>5.6944444444444446</v>
      </c>
      <c r="H46" s="9">
        <f t="shared" si="8"/>
        <v>2.3137066086821561</v>
      </c>
      <c r="I46" s="9">
        <f t="shared" si="21"/>
        <v>74.127617502267114</v>
      </c>
      <c r="J46" s="9">
        <f t="shared" si="22"/>
        <v>-3.0014369230677043E-2</v>
      </c>
      <c r="K46" s="9">
        <f t="shared" si="26"/>
        <v>-18.598103750096723</v>
      </c>
      <c r="L46" s="9">
        <f t="shared" si="9"/>
        <v>16.100828125000003</v>
      </c>
      <c r="M46" s="9">
        <f t="shared" si="27"/>
        <v>59.267016900000002</v>
      </c>
      <c r="N46" s="9">
        <f t="shared" si="28"/>
        <v>10.046439429012347</v>
      </c>
      <c r="O46" s="9">
        <f t="shared" si="33"/>
        <v>1.9091348477525374E-2</v>
      </c>
      <c r="P46" s="9">
        <f t="shared" si="11"/>
        <v>1.9089029515698654E-2</v>
      </c>
      <c r="Q46" s="9">
        <f t="shared" si="12"/>
        <v>1.0937208262501907</v>
      </c>
      <c r="R46" s="9">
        <f t="shared" si="29"/>
        <v>5399.9340166100437</v>
      </c>
      <c r="S46" s="8">
        <f t="shared" si="30"/>
        <v>364.72010399999999</v>
      </c>
      <c r="T46" s="9">
        <f t="shared" si="13"/>
        <v>5.7621568449849461</v>
      </c>
      <c r="U46" s="9">
        <f t="shared" si="14"/>
        <v>32.812282033942054</v>
      </c>
      <c r="V46" s="9">
        <f t="shared" si="15"/>
        <v>6.2</v>
      </c>
      <c r="W46" s="9">
        <f t="shared" si="16"/>
        <v>26.612282033942055</v>
      </c>
      <c r="X46" s="29">
        <f t="shared" si="17"/>
        <v>0</v>
      </c>
      <c r="Y46" s="29">
        <f t="shared" si="23"/>
        <v>0</v>
      </c>
      <c r="Z46" s="30">
        <f t="shared" si="18"/>
        <v>32.812282033942054</v>
      </c>
      <c r="AA46" s="30">
        <f t="shared" si="24"/>
        <v>1625.5999681334258</v>
      </c>
      <c r="AB46" s="31">
        <v>3000</v>
      </c>
      <c r="AC46" s="8">
        <v>340</v>
      </c>
      <c r="AD46" s="9">
        <f t="shared" si="31"/>
        <v>2.7736842105263158</v>
      </c>
      <c r="AE46" s="30">
        <f t="shared" si="19"/>
        <v>7.7046783625730998E-4</v>
      </c>
      <c r="AF46" s="30">
        <f t="shared" si="25"/>
        <v>3.0818713450292409E-2</v>
      </c>
      <c r="AG46" s="30">
        <f t="shared" si="20"/>
        <v>42.803768680961682</v>
      </c>
      <c r="AH46" s="1"/>
      <c r="AI46" s="1"/>
      <c r="AK46" s="1"/>
      <c r="AL46" s="19"/>
      <c r="AM46" s="19"/>
      <c r="AN46" s="19"/>
      <c r="AO46" s="19"/>
      <c r="AP46" s="19"/>
      <c r="BL46" s="3"/>
      <c r="BM46" s="108"/>
    </row>
    <row r="47" spans="1:65" x14ac:dyDescent="0.25">
      <c r="A47" s="8">
        <v>53.30836</v>
      </c>
      <c r="B47" s="8">
        <v>-6.973E-2</v>
      </c>
      <c r="C47" s="8">
        <v>139</v>
      </c>
      <c r="D47" s="9">
        <f t="shared" si="32"/>
        <v>523.79746835443041</v>
      </c>
      <c r="E47" s="8">
        <v>10</v>
      </c>
      <c r="F47" s="8">
        <v>20.25</v>
      </c>
      <c r="G47" s="9">
        <f t="shared" si="7"/>
        <v>5.625</v>
      </c>
      <c r="H47" s="9">
        <f t="shared" si="8"/>
        <v>2.3424483056844192</v>
      </c>
      <c r="I47" s="9">
        <f t="shared" si="21"/>
        <v>76.470065807951528</v>
      </c>
      <c r="J47" s="9">
        <f t="shared" si="22"/>
        <v>-2.964609476158939E-2</v>
      </c>
      <c r="K47" s="9">
        <f t="shared" si="26"/>
        <v>-18.369906158071249</v>
      </c>
      <c r="L47" s="9">
        <f t="shared" si="9"/>
        <v>15.71051953125</v>
      </c>
      <c r="M47" s="9">
        <f t="shared" si="27"/>
        <v>60.786684000000008</v>
      </c>
      <c r="N47" s="9">
        <f t="shared" si="28"/>
        <v>9.8028984374999997</v>
      </c>
      <c r="O47" s="9">
        <f t="shared" si="33"/>
        <v>1.9091348477525374E-2</v>
      </c>
      <c r="P47" s="9">
        <f t="shared" si="11"/>
        <v>1.9089029515698654E-2</v>
      </c>
      <c r="Q47" s="9">
        <f t="shared" si="12"/>
        <v>1.0937208262501907</v>
      </c>
      <c r="R47" s="9">
        <f t="shared" si="29"/>
        <v>5399.9340166100437</v>
      </c>
      <c r="S47" s="8">
        <f t="shared" si="30"/>
        <v>364.72010399999999</v>
      </c>
      <c r="T47" s="9">
        <f t="shared" si="13"/>
        <v>5.7619947339832223</v>
      </c>
      <c r="U47" s="9">
        <f t="shared" si="14"/>
        <v>32.411220378655628</v>
      </c>
      <c r="V47" s="9">
        <f t="shared" si="15"/>
        <v>6.2</v>
      </c>
      <c r="W47" s="9">
        <f t="shared" si="16"/>
        <v>26.211220378655629</v>
      </c>
      <c r="X47" s="29">
        <f t="shared" si="17"/>
        <v>0</v>
      </c>
      <c r="Y47" s="29">
        <f t="shared" si="23"/>
        <v>0</v>
      </c>
      <c r="Z47" s="30">
        <f t="shared" si="18"/>
        <v>32.411220378655628</v>
      </c>
      <c r="AA47" s="30">
        <f t="shared" si="24"/>
        <v>1658.0111885120814</v>
      </c>
      <c r="AB47" s="31">
        <v>3000</v>
      </c>
      <c r="AC47" s="8">
        <v>394</v>
      </c>
      <c r="AD47" s="9">
        <f t="shared" si="31"/>
        <v>3.2142105263157896</v>
      </c>
      <c r="AE47" s="30">
        <f t="shared" si="19"/>
        <v>8.9283625730994152E-4</v>
      </c>
      <c r="AF47" s="30">
        <f t="shared" si="25"/>
        <v>3.171154970760235E-2</v>
      </c>
      <c r="AG47" s="30">
        <f t="shared" si="20"/>
        <v>44.043819038336601</v>
      </c>
      <c r="AH47" s="1"/>
      <c r="AI47" s="1"/>
      <c r="AK47" s="1"/>
      <c r="AL47" s="19"/>
      <c r="AM47" s="19"/>
      <c r="AN47" s="19"/>
      <c r="AO47" s="19"/>
      <c r="AP47" s="19"/>
      <c r="BL47" s="3"/>
      <c r="BM47" s="108"/>
    </row>
    <row r="48" spans="1:65" x14ac:dyDescent="0.25">
      <c r="A48" s="8">
        <v>53.308500000000002</v>
      </c>
      <c r="B48" s="8">
        <v>-7.0059999999999997E-2</v>
      </c>
      <c r="C48" s="8">
        <v>141</v>
      </c>
      <c r="D48" s="9">
        <f t="shared" si="32"/>
        <v>536.89240506329122</v>
      </c>
      <c r="E48" s="8">
        <v>10.25</v>
      </c>
      <c r="F48" s="8">
        <v>20</v>
      </c>
      <c r="G48" s="9">
        <f t="shared" si="7"/>
        <v>5.5555555555555554</v>
      </c>
      <c r="H48" s="9">
        <f t="shared" si="8"/>
        <v>2.3719130642464874</v>
      </c>
      <c r="I48" s="9">
        <f t="shared" si="21"/>
        <v>78.841978872198013</v>
      </c>
      <c r="J48" s="9">
        <f t="shared" si="22"/>
        <v>-2.9277820292501287E-2</v>
      </c>
      <c r="K48" s="9">
        <f t="shared" si="26"/>
        <v>-18.141708566045498</v>
      </c>
      <c r="L48" s="9">
        <f t="shared" si="9"/>
        <v>15.324999999999999</v>
      </c>
      <c r="M48" s="9">
        <f t="shared" si="27"/>
        <v>62.306351100000008</v>
      </c>
      <c r="N48" s="9">
        <f t="shared" si="28"/>
        <v>9.5623456790123456</v>
      </c>
      <c r="O48" s="9">
        <f t="shared" si="33"/>
        <v>1.9091348477525374E-2</v>
      </c>
      <c r="P48" s="9">
        <f t="shared" si="11"/>
        <v>1.9089029515698654E-2</v>
      </c>
      <c r="Q48" s="9">
        <f t="shared" si="12"/>
        <v>1.0937208262501907</v>
      </c>
      <c r="R48" s="9">
        <f t="shared" si="29"/>
        <v>5399.9340166100437</v>
      </c>
      <c r="S48" s="8">
        <f t="shared" si="30"/>
        <v>364.72010399999999</v>
      </c>
      <c r="T48" s="9">
        <f t="shared" si="13"/>
        <v>5.7618374120439988</v>
      </c>
      <c r="U48" s="9">
        <f t="shared" si="14"/>
        <v>32.010207844688878</v>
      </c>
      <c r="V48" s="9">
        <f t="shared" si="15"/>
        <v>6.2</v>
      </c>
      <c r="W48" s="9">
        <f t="shared" si="16"/>
        <v>25.810207844688879</v>
      </c>
      <c r="X48" s="29">
        <f t="shared" si="17"/>
        <v>0</v>
      </c>
      <c r="Y48" s="29">
        <f t="shared" si="23"/>
        <v>0</v>
      </c>
      <c r="Z48" s="30">
        <f t="shared" si="18"/>
        <v>32.010207844688878</v>
      </c>
      <c r="AA48" s="30">
        <f t="shared" si="24"/>
        <v>1690.0213963567703</v>
      </c>
      <c r="AB48" s="31">
        <v>3000</v>
      </c>
      <c r="AC48" s="8">
        <v>394</v>
      </c>
      <c r="AD48" s="9">
        <f t="shared" si="31"/>
        <v>3.2142105263157896</v>
      </c>
      <c r="AE48" s="30">
        <f t="shared" si="19"/>
        <v>8.9283625730994152E-4</v>
      </c>
      <c r="AF48" s="30">
        <f t="shared" si="25"/>
        <v>3.2604385964912289E-2</v>
      </c>
      <c r="AG48" s="30">
        <f t="shared" si="20"/>
        <v>45.28386939571152</v>
      </c>
      <c r="AH48" s="1"/>
      <c r="AI48" s="1"/>
      <c r="AK48" s="1"/>
      <c r="AL48" s="19"/>
      <c r="AM48" s="19"/>
      <c r="AN48" s="19"/>
      <c r="AO48" s="19"/>
      <c r="AP48" s="19"/>
      <c r="BL48" s="3"/>
      <c r="BM48" s="108"/>
    </row>
    <row r="49" spans="1:65" x14ac:dyDescent="0.25">
      <c r="A49" s="8">
        <v>53.308639999999997</v>
      </c>
      <c r="B49" s="8">
        <v>-7.0180000000000006E-2</v>
      </c>
      <c r="C49" s="8">
        <v>142</v>
      </c>
      <c r="D49" s="9">
        <f t="shared" si="32"/>
        <v>549.98734177215204</v>
      </c>
      <c r="E49" s="8">
        <v>10.5</v>
      </c>
      <c r="F49" s="8">
        <v>19.75</v>
      </c>
      <c r="G49" s="9">
        <f t="shared" si="7"/>
        <v>5.4861111111111107</v>
      </c>
      <c r="H49" s="9">
        <f t="shared" si="8"/>
        <v>2.4021285172942131</v>
      </c>
      <c r="I49" s="9">
        <f t="shared" si="21"/>
        <v>81.244107389492228</v>
      </c>
      <c r="J49" s="9">
        <f t="shared" si="22"/>
        <v>-2.8909545823413159E-2</v>
      </c>
      <c r="K49" s="9">
        <f t="shared" si="26"/>
        <v>-17.913510974019729</v>
      </c>
      <c r="L49" s="9">
        <f t="shared" si="9"/>
        <v>14.944269531249999</v>
      </c>
      <c r="M49" s="9">
        <f t="shared" si="27"/>
        <v>63.826018200000007</v>
      </c>
      <c r="N49" s="9">
        <f t="shared" si="28"/>
        <v>9.324781153549381</v>
      </c>
      <c r="O49" s="9">
        <f t="shared" si="33"/>
        <v>1.9091348477525374E-2</v>
      </c>
      <c r="P49" s="9">
        <f t="shared" si="11"/>
        <v>1.9089029515698654E-2</v>
      </c>
      <c r="Q49" s="9">
        <f t="shared" si="12"/>
        <v>1.0937208262501907</v>
      </c>
      <c r="R49" s="9">
        <f t="shared" si="29"/>
        <v>5399.9340166100437</v>
      </c>
      <c r="S49" s="8">
        <f t="shared" si="30"/>
        <v>364.72010399999999</v>
      </c>
      <c r="T49" s="9">
        <f t="shared" si="13"/>
        <v>5.7616848791672739</v>
      </c>
      <c r="U49" s="9">
        <f t="shared" si="14"/>
        <v>31.609243434320458</v>
      </c>
      <c r="V49" s="9">
        <f t="shared" si="15"/>
        <v>6.2</v>
      </c>
      <c r="W49" s="9">
        <f t="shared" si="16"/>
        <v>25.409243434320459</v>
      </c>
      <c r="X49" s="29">
        <f t="shared" si="17"/>
        <v>0</v>
      </c>
      <c r="Y49" s="29">
        <f t="shared" si="23"/>
        <v>0</v>
      </c>
      <c r="Z49" s="30">
        <f t="shared" si="18"/>
        <v>31.609243434320458</v>
      </c>
      <c r="AA49" s="30">
        <f t="shared" si="24"/>
        <v>1721.6306397910907</v>
      </c>
      <c r="AB49" s="31">
        <v>3000</v>
      </c>
      <c r="AC49" s="8">
        <v>394</v>
      </c>
      <c r="AD49" s="9">
        <f t="shared" si="31"/>
        <v>3.2142105263157896</v>
      </c>
      <c r="AE49" s="30">
        <f t="shared" si="19"/>
        <v>8.9283625730994152E-4</v>
      </c>
      <c r="AF49" s="30">
        <f t="shared" si="25"/>
        <v>3.3497222222222227E-2</v>
      </c>
      <c r="AG49" s="30">
        <f t="shared" si="20"/>
        <v>46.523919753086432</v>
      </c>
      <c r="AH49" s="1"/>
      <c r="AI49" s="1"/>
      <c r="AK49" s="1"/>
      <c r="AL49" s="19"/>
      <c r="AM49" s="19"/>
      <c r="AN49" s="19"/>
      <c r="AO49" s="19"/>
      <c r="AP49" s="19"/>
      <c r="BL49" s="3"/>
      <c r="BM49" s="108"/>
    </row>
    <row r="50" spans="1:65" x14ac:dyDescent="0.25">
      <c r="A50" s="8">
        <v>53.308779999999999</v>
      </c>
      <c r="B50" s="8">
        <v>-7.0180000000000006E-2</v>
      </c>
      <c r="C50" s="8">
        <v>143</v>
      </c>
      <c r="D50" s="9">
        <f t="shared" si="32"/>
        <v>563.08227848101285</v>
      </c>
      <c r="E50" s="8">
        <v>10.75</v>
      </c>
      <c r="F50" s="8">
        <v>19.5</v>
      </c>
      <c r="G50" s="9">
        <f t="shared" si="7"/>
        <v>5.416666666666667</v>
      </c>
      <c r="H50" s="9">
        <f t="shared" si="8"/>
        <v>2.4331237239689769</v>
      </c>
      <c r="I50" s="9">
        <f t="shared" si="21"/>
        <v>83.677231113461204</v>
      </c>
      <c r="J50" s="9">
        <f t="shared" si="22"/>
        <v>-2.8541271354324778E-2</v>
      </c>
      <c r="K50" s="9">
        <f t="shared" si="26"/>
        <v>-17.685313381993804</v>
      </c>
      <c r="L50" s="9">
        <f t="shared" si="9"/>
        <v>14.568328125000003</v>
      </c>
      <c r="M50" s="9">
        <f t="shared" si="27"/>
        <v>65.3456853</v>
      </c>
      <c r="N50" s="9">
        <f t="shared" si="28"/>
        <v>9.090204861111113</v>
      </c>
      <c r="O50" s="9">
        <f t="shared" si="33"/>
        <v>1.9091348477525374E-2</v>
      </c>
      <c r="P50" s="9">
        <f t="shared" si="11"/>
        <v>1.9089029515698654E-2</v>
      </c>
      <c r="Q50" s="9">
        <f t="shared" si="12"/>
        <v>1.0937208262501907</v>
      </c>
      <c r="R50" s="9">
        <f t="shared" si="29"/>
        <v>5399.9340166100437</v>
      </c>
      <c r="S50" s="8">
        <f t="shared" si="30"/>
        <v>364.72010399999999</v>
      </c>
      <c r="T50" s="9">
        <f t="shared" si="13"/>
        <v>5.7615371353530502</v>
      </c>
      <c r="U50" s="9">
        <f t="shared" si="14"/>
        <v>31.208326149829023</v>
      </c>
      <c r="V50" s="9">
        <f t="shared" si="15"/>
        <v>6.2</v>
      </c>
      <c r="W50" s="9">
        <f t="shared" si="16"/>
        <v>25.008326149829024</v>
      </c>
      <c r="X50" s="29">
        <f t="shared" si="17"/>
        <v>0</v>
      </c>
      <c r="Y50" s="29">
        <f t="shared" si="23"/>
        <v>0</v>
      </c>
      <c r="Z50" s="30">
        <f t="shared" si="18"/>
        <v>31.208326149829023</v>
      </c>
      <c r="AA50" s="30">
        <f t="shared" si="24"/>
        <v>1752.8389659409197</v>
      </c>
      <c r="AB50" s="31">
        <v>3000</v>
      </c>
      <c r="AC50" s="8">
        <v>394</v>
      </c>
      <c r="AD50" s="9">
        <f t="shared" si="31"/>
        <v>3.2142105263157896</v>
      </c>
      <c r="AE50" s="30">
        <f t="shared" si="19"/>
        <v>8.9283625730994152E-4</v>
      </c>
      <c r="AF50" s="30">
        <f t="shared" si="25"/>
        <v>3.4390058479532165E-2</v>
      </c>
      <c r="AG50" s="30">
        <f t="shared" si="20"/>
        <v>47.763970110461344</v>
      </c>
      <c r="AH50" s="1"/>
      <c r="AI50" s="1"/>
      <c r="AK50" s="1"/>
      <c r="AL50" s="19"/>
      <c r="AM50" s="19"/>
      <c r="AN50" s="19"/>
      <c r="AO50" s="19"/>
      <c r="AP50" s="19"/>
      <c r="BL50" s="3"/>
      <c r="BM50" s="108"/>
    </row>
    <row r="51" spans="1:65" x14ac:dyDescent="0.25">
      <c r="A51" s="8">
        <v>53.308929999999997</v>
      </c>
      <c r="B51" s="8">
        <v>-7.0099999999999996E-2</v>
      </c>
      <c r="C51" s="8">
        <v>144</v>
      </c>
      <c r="D51" s="9">
        <f t="shared" si="32"/>
        <v>576.17721518987366</v>
      </c>
      <c r="E51" s="8">
        <v>11</v>
      </c>
      <c r="F51" s="8">
        <v>19.25</v>
      </c>
      <c r="G51" s="9">
        <f t="shared" si="7"/>
        <v>5.3472222222222223</v>
      </c>
      <c r="H51" s="9">
        <f t="shared" si="8"/>
        <v>2.4649292628443886</v>
      </c>
      <c r="I51" s="9">
        <f t="shared" si="21"/>
        <v>86.142160376305597</v>
      </c>
      <c r="J51" s="9">
        <f t="shared" si="22"/>
        <v>-2.8172996885237007E-2</v>
      </c>
      <c r="K51" s="9">
        <f t="shared" si="26"/>
        <v>-17.45711578996826</v>
      </c>
      <c r="L51" s="9">
        <f t="shared" si="9"/>
        <v>14.197175781250001</v>
      </c>
      <c r="M51" s="9">
        <f t="shared" si="27"/>
        <v>66.865352400000006</v>
      </c>
      <c r="N51" s="9">
        <f t="shared" si="28"/>
        <v>8.8586168016975311</v>
      </c>
      <c r="O51" s="9">
        <f t="shared" si="33"/>
        <v>1.9091348477525374E-2</v>
      </c>
      <c r="P51" s="9">
        <f t="shared" si="11"/>
        <v>1.9089029515698654E-2</v>
      </c>
      <c r="Q51" s="9">
        <f t="shared" si="12"/>
        <v>1.0937208262501907</v>
      </c>
      <c r="R51" s="9">
        <f t="shared" si="29"/>
        <v>5399.9340166100437</v>
      </c>
      <c r="S51" s="8">
        <f t="shared" si="30"/>
        <v>364.72010399999999</v>
      </c>
      <c r="T51" s="9">
        <f t="shared" si="13"/>
        <v>5.7613941806013251</v>
      </c>
      <c r="U51" s="9">
        <f t="shared" si="14"/>
        <v>30.807454993493199</v>
      </c>
      <c r="V51" s="9">
        <f t="shared" si="15"/>
        <v>6.2</v>
      </c>
      <c r="W51" s="9">
        <f t="shared" si="16"/>
        <v>24.607454993493199</v>
      </c>
      <c r="X51" s="29">
        <f t="shared" si="17"/>
        <v>0</v>
      </c>
      <c r="Y51" s="29">
        <f t="shared" si="23"/>
        <v>0</v>
      </c>
      <c r="Z51" s="30">
        <f t="shared" si="18"/>
        <v>30.807454993493199</v>
      </c>
      <c r="AA51" s="30">
        <f t="shared" si="24"/>
        <v>1783.6464209344128</v>
      </c>
      <c r="AB51" s="31">
        <v>3000</v>
      </c>
      <c r="AC51" s="8">
        <v>394</v>
      </c>
      <c r="AD51" s="9">
        <f t="shared" si="31"/>
        <v>3.2142105263157896</v>
      </c>
      <c r="AE51" s="30">
        <f t="shared" si="19"/>
        <v>8.9283625730994152E-4</v>
      </c>
      <c r="AF51" s="30">
        <f t="shared" si="25"/>
        <v>3.5282894736842103E-2</v>
      </c>
      <c r="AG51" s="30">
        <f t="shared" si="20"/>
        <v>49.004020467836256</v>
      </c>
      <c r="AH51" s="1"/>
      <c r="AI51" s="1"/>
      <c r="AK51" s="1"/>
      <c r="AL51" s="19"/>
      <c r="AM51" s="19"/>
      <c r="AN51" s="19"/>
      <c r="AO51" s="19"/>
      <c r="AP51" s="19"/>
      <c r="BL51" s="3"/>
      <c r="BM51" s="108"/>
    </row>
    <row r="52" spans="1:65" x14ac:dyDescent="0.25">
      <c r="A52" s="8">
        <v>53.309130000000003</v>
      </c>
      <c r="B52" s="8">
        <v>-6.9949999999999998E-2</v>
      </c>
      <c r="C52" s="8">
        <v>144</v>
      </c>
      <c r="D52" s="9">
        <f t="shared" si="32"/>
        <v>589.27215189873448</v>
      </c>
      <c r="E52" s="8">
        <v>11.25</v>
      </c>
      <c r="F52" s="8">
        <v>19</v>
      </c>
      <c r="G52" s="9">
        <f t="shared" si="7"/>
        <v>5.2777777777777777</v>
      </c>
      <c r="H52" s="9">
        <f t="shared" si="8"/>
        <v>2.4975773325509367</v>
      </c>
      <c r="I52" s="9">
        <f t="shared" si="21"/>
        <v>88.639737708856529</v>
      </c>
      <c r="J52" s="9">
        <f t="shared" si="22"/>
        <v>-2.7804722416149043E-2</v>
      </c>
      <c r="K52" s="9">
        <f t="shared" si="26"/>
        <v>-17.228918197942594</v>
      </c>
      <c r="L52" s="9">
        <f t="shared" si="9"/>
        <v>13.8308125</v>
      </c>
      <c r="M52" s="9">
        <f t="shared" si="27"/>
        <v>68.385019500000013</v>
      </c>
      <c r="N52" s="9">
        <f t="shared" si="28"/>
        <v>8.6300169753086404</v>
      </c>
      <c r="O52" s="9">
        <f t="shared" si="33"/>
        <v>1.9091348477525374E-2</v>
      </c>
      <c r="P52" s="9">
        <f t="shared" si="11"/>
        <v>1.9089029515698654E-2</v>
      </c>
      <c r="Q52" s="9">
        <f t="shared" si="12"/>
        <v>1.0937208262501907</v>
      </c>
      <c r="R52" s="9">
        <f t="shared" si="29"/>
        <v>5399.9340166100437</v>
      </c>
      <c r="S52" s="8">
        <f t="shared" si="30"/>
        <v>364.72010399999999</v>
      </c>
      <c r="T52" s="9">
        <f t="shared" si="13"/>
        <v>5.7612560149121022</v>
      </c>
      <c r="U52" s="9">
        <f t="shared" si="14"/>
        <v>30.406628967591651</v>
      </c>
      <c r="V52" s="9">
        <f t="shared" si="15"/>
        <v>6.2</v>
      </c>
      <c r="W52" s="9">
        <f t="shared" si="16"/>
        <v>24.206628967591652</v>
      </c>
      <c r="X52" s="29">
        <f t="shared" si="17"/>
        <v>0</v>
      </c>
      <c r="Y52" s="29">
        <f t="shared" si="23"/>
        <v>0</v>
      </c>
      <c r="Z52" s="30">
        <f t="shared" si="18"/>
        <v>30.406628967591651</v>
      </c>
      <c r="AA52" s="30">
        <f t="shared" si="24"/>
        <v>1814.0530499020044</v>
      </c>
      <c r="AB52" s="31">
        <v>3000</v>
      </c>
      <c r="AC52" s="8">
        <v>394</v>
      </c>
      <c r="AD52" s="9">
        <f t="shared" si="31"/>
        <v>3.2142105263157896</v>
      </c>
      <c r="AE52" s="30">
        <f t="shared" si="19"/>
        <v>8.9283625730994152E-4</v>
      </c>
      <c r="AF52" s="30">
        <f t="shared" si="25"/>
        <v>3.6175730994152042E-2</v>
      </c>
      <c r="AG52" s="30">
        <f t="shared" si="20"/>
        <v>50.244070825211175</v>
      </c>
      <c r="AH52" s="1"/>
      <c r="AI52" s="1"/>
      <c r="AK52" s="1"/>
      <c r="AL52" s="19"/>
      <c r="AM52" s="19"/>
      <c r="AN52" s="19"/>
      <c r="AO52" s="19"/>
      <c r="AP52" s="19"/>
      <c r="BL52" s="3"/>
      <c r="BM52" s="108"/>
    </row>
    <row r="53" spans="1:65" x14ac:dyDescent="0.25">
      <c r="A53" s="8">
        <v>53.309519999999999</v>
      </c>
      <c r="B53" s="8">
        <v>-6.9669999999999996E-2</v>
      </c>
      <c r="C53" s="8">
        <v>143</v>
      </c>
      <c r="D53" s="9">
        <f t="shared" si="32"/>
        <v>602.36708860759529</v>
      </c>
      <c r="E53" s="8">
        <v>11.5</v>
      </c>
      <c r="F53" s="8">
        <v>18.75</v>
      </c>
      <c r="G53" s="9">
        <f t="shared" si="7"/>
        <v>5.208333333333333</v>
      </c>
      <c r="H53" s="9">
        <f t="shared" si="8"/>
        <v>2.5311018605046409</v>
      </c>
      <c r="I53" s="9">
        <f t="shared" si="21"/>
        <v>91.170839569361164</v>
      </c>
      <c r="J53" s="9">
        <f t="shared" si="22"/>
        <v>-2.7436447947060998E-2</v>
      </c>
      <c r="K53" s="9">
        <f t="shared" si="26"/>
        <v>-17.000720605916875</v>
      </c>
      <c r="L53" s="9">
        <f t="shared" si="9"/>
        <v>13.469238281249998</v>
      </c>
      <c r="M53" s="9">
        <f t="shared" si="27"/>
        <v>69.904686600000005</v>
      </c>
      <c r="N53" s="9">
        <f t="shared" si="28"/>
        <v>8.4044053819444429</v>
      </c>
      <c r="O53" s="9">
        <f t="shared" si="33"/>
        <v>1.9091348477525374E-2</v>
      </c>
      <c r="P53" s="9">
        <f t="shared" si="11"/>
        <v>1.9089029515698654E-2</v>
      </c>
      <c r="Q53" s="9">
        <f t="shared" si="12"/>
        <v>1.0937208262501907</v>
      </c>
      <c r="R53" s="9">
        <f t="shared" si="29"/>
        <v>5399.9340166100437</v>
      </c>
      <c r="S53" s="8">
        <f t="shared" si="30"/>
        <v>364.72010399999999</v>
      </c>
      <c r="T53" s="9">
        <f t="shared" si="13"/>
        <v>5.7611226382853769</v>
      </c>
      <c r="U53" s="9">
        <f t="shared" si="14"/>
        <v>30.005847074403004</v>
      </c>
      <c r="V53" s="9">
        <f t="shared" si="15"/>
        <v>6.2</v>
      </c>
      <c r="W53" s="9">
        <f t="shared" si="16"/>
        <v>23.805847074403005</v>
      </c>
      <c r="X53" s="29">
        <f t="shared" si="17"/>
        <v>0</v>
      </c>
      <c r="Y53" s="29">
        <f t="shared" si="23"/>
        <v>0</v>
      </c>
      <c r="Z53" s="30">
        <f t="shared" si="18"/>
        <v>30.005847074403004</v>
      </c>
      <c r="AA53" s="30">
        <f t="shared" si="24"/>
        <v>1844.0588969764074</v>
      </c>
      <c r="AB53" s="31">
        <v>3000</v>
      </c>
      <c r="AC53" s="8">
        <v>394</v>
      </c>
      <c r="AD53" s="9">
        <f t="shared" si="31"/>
        <v>3.2142105263157896</v>
      </c>
      <c r="AE53" s="30">
        <f t="shared" si="19"/>
        <v>8.9283625730994152E-4</v>
      </c>
      <c r="AF53" s="30">
        <f t="shared" si="25"/>
        <v>3.706856725146198E-2</v>
      </c>
      <c r="AG53" s="30">
        <f t="shared" si="20"/>
        <v>51.484121182586087</v>
      </c>
      <c r="AH53" s="1"/>
      <c r="AI53" s="1"/>
      <c r="AK53" s="1"/>
      <c r="AL53" s="19"/>
      <c r="AM53" s="19"/>
      <c r="AN53" s="19"/>
      <c r="AO53" s="19"/>
      <c r="AP53" s="19"/>
      <c r="BL53" s="3"/>
      <c r="BM53" s="108"/>
    </row>
    <row r="54" spans="1:65" x14ac:dyDescent="0.25">
      <c r="A54" s="8">
        <v>53.309690000000003</v>
      </c>
      <c r="B54" s="8">
        <v>-6.9470000000000004E-2</v>
      </c>
      <c r="C54" s="8">
        <v>143</v>
      </c>
      <c r="D54" s="9">
        <f t="shared" si="32"/>
        <v>615.46202531645611</v>
      </c>
      <c r="E54" s="8">
        <v>11.75</v>
      </c>
      <c r="F54" s="8">
        <v>18.5</v>
      </c>
      <c r="G54" s="9">
        <f t="shared" si="7"/>
        <v>5.1388888888888884</v>
      </c>
      <c r="H54" s="9">
        <f t="shared" si="8"/>
        <v>2.5655386205115067</v>
      </c>
      <c r="I54" s="9">
        <f t="shared" si="21"/>
        <v>93.736378189872667</v>
      </c>
      <c r="J54" s="9">
        <f t="shared" si="22"/>
        <v>-2.7068173477972891E-2</v>
      </c>
      <c r="K54" s="9">
        <f t="shared" si="26"/>
        <v>-16.772523013891121</v>
      </c>
      <c r="L54" s="9">
        <f t="shared" si="9"/>
        <v>13.112453124999998</v>
      </c>
      <c r="M54" s="9">
        <f t="shared" si="27"/>
        <v>71.424353700000012</v>
      </c>
      <c r="N54" s="9">
        <f t="shared" si="28"/>
        <v>8.1817820216049366</v>
      </c>
      <c r="O54" s="9">
        <f t="shared" si="33"/>
        <v>1.9091348477525374E-2</v>
      </c>
      <c r="P54" s="9">
        <f t="shared" si="11"/>
        <v>1.9089029515698654E-2</v>
      </c>
      <c r="Q54" s="9">
        <f t="shared" si="12"/>
        <v>1.0937208262501907</v>
      </c>
      <c r="R54" s="9">
        <f t="shared" si="29"/>
        <v>5399.9340166100437</v>
      </c>
      <c r="S54" s="8">
        <f t="shared" si="30"/>
        <v>364.72010399999999</v>
      </c>
      <c r="T54" s="9">
        <f t="shared" si="13"/>
        <v>5.7609940507211519</v>
      </c>
      <c r="U54" s="9">
        <f t="shared" si="14"/>
        <v>29.605108316205918</v>
      </c>
      <c r="V54" s="9">
        <f t="shared" si="15"/>
        <v>6.2</v>
      </c>
      <c r="W54" s="9">
        <f t="shared" si="16"/>
        <v>23.405108316205919</v>
      </c>
      <c r="X54" s="29">
        <f t="shared" si="17"/>
        <v>0</v>
      </c>
      <c r="Y54" s="29">
        <f t="shared" si="23"/>
        <v>0</v>
      </c>
      <c r="Z54" s="30">
        <f t="shared" si="18"/>
        <v>29.605108316205918</v>
      </c>
      <c r="AA54" s="30">
        <f t="shared" si="24"/>
        <v>1873.6640052926132</v>
      </c>
      <c r="AB54" s="31">
        <v>3000</v>
      </c>
      <c r="AC54" s="8">
        <v>394</v>
      </c>
      <c r="AD54" s="9">
        <f t="shared" si="31"/>
        <v>3.2142105263157896</v>
      </c>
      <c r="AE54" s="30">
        <f t="shared" si="19"/>
        <v>8.9283625730994152E-4</v>
      </c>
      <c r="AF54" s="30">
        <f t="shared" si="25"/>
        <v>3.7961403508771918E-2</v>
      </c>
      <c r="AG54" s="30">
        <f t="shared" si="20"/>
        <v>52.724171539960999</v>
      </c>
      <c r="AH54" s="1"/>
      <c r="AI54" s="1"/>
      <c r="AK54" s="1"/>
      <c r="AL54" s="19"/>
      <c r="AM54" s="19"/>
      <c r="AN54" s="19"/>
      <c r="AO54" s="19"/>
      <c r="AP54" s="19"/>
      <c r="BL54" s="3"/>
      <c r="BM54" s="108"/>
    </row>
    <row r="55" spans="1:65" x14ac:dyDescent="0.25">
      <c r="A55" s="8">
        <v>53.30979</v>
      </c>
      <c r="B55" s="8">
        <v>-6.923E-2</v>
      </c>
      <c r="C55" s="8">
        <v>144</v>
      </c>
      <c r="D55" s="9">
        <f t="shared" si="32"/>
        <v>628.55696202531692</v>
      </c>
      <c r="E55" s="8">
        <v>12</v>
      </c>
      <c r="F55" s="8">
        <v>18.25</v>
      </c>
      <c r="G55" s="9">
        <f t="shared" si="7"/>
        <v>5.0694444444444446</v>
      </c>
      <c r="H55" s="9">
        <f t="shared" si="8"/>
        <v>2.6009253601047684</v>
      </c>
      <c r="I55" s="9">
        <f t="shared" si="21"/>
        <v>96.337303549977435</v>
      </c>
      <c r="J55" s="9">
        <f t="shared" si="22"/>
        <v>-2.6699899008884465E-2</v>
      </c>
      <c r="K55" s="9">
        <f t="shared" si="26"/>
        <v>-16.544325421865171</v>
      </c>
      <c r="L55" s="9">
        <f t="shared" si="9"/>
        <v>12.760457031249999</v>
      </c>
      <c r="M55" s="9">
        <f t="shared" si="27"/>
        <v>72.944020800000004</v>
      </c>
      <c r="N55" s="9">
        <f t="shared" si="28"/>
        <v>7.9621468942901235</v>
      </c>
      <c r="O55" s="9">
        <f t="shared" si="33"/>
        <v>1.9091348477525374E-2</v>
      </c>
      <c r="P55" s="9">
        <f t="shared" si="11"/>
        <v>1.9089029515698654E-2</v>
      </c>
      <c r="Q55" s="9">
        <f t="shared" si="12"/>
        <v>1.0937208262501907</v>
      </c>
      <c r="R55" s="9">
        <f t="shared" si="29"/>
        <v>5399.9340166100437</v>
      </c>
      <c r="S55" s="8">
        <f t="shared" si="30"/>
        <v>364.72010399999999</v>
      </c>
      <c r="T55" s="9">
        <f t="shared" si="13"/>
        <v>5.7608702522194282</v>
      </c>
      <c r="U55" s="9">
        <f t="shared" si="14"/>
        <v>29.204411695279045</v>
      </c>
      <c r="V55" s="9">
        <f t="shared" si="15"/>
        <v>6.2</v>
      </c>
      <c r="W55" s="9">
        <f t="shared" si="16"/>
        <v>23.004411695279046</v>
      </c>
      <c r="X55" s="29">
        <f t="shared" si="17"/>
        <v>0</v>
      </c>
      <c r="Y55" s="29">
        <f t="shared" si="23"/>
        <v>0</v>
      </c>
      <c r="Z55" s="30">
        <f t="shared" si="18"/>
        <v>29.204411695279045</v>
      </c>
      <c r="AA55" s="30">
        <f t="shared" si="24"/>
        <v>1902.8684169878923</v>
      </c>
      <c r="AB55" s="31">
        <v>3000</v>
      </c>
      <c r="AC55" s="8">
        <v>394</v>
      </c>
      <c r="AD55" s="9">
        <f t="shared" si="31"/>
        <v>3.2142105263157896</v>
      </c>
      <c r="AE55" s="30">
        <f t="shared" si="19"/>
        <v>8.9283625730994152E-4</v>
      </c>
      <c r="AF55" s="30">
        <f t="shared" si="25"/>
        <v>3.8854239766081856E-2</v>
      </c>
      <c r="AG55" s="30">
        <f t="shared" si="20"/>
        <v>53.964221897335911</v>
      </c>
      <c r="AH55" s="1"/>
      <c r="AI55" s="1"/>
      <c r="AK55" s="1"/>
      <c r="AL55" s="19"/>
      <c r="AM55" s="19"/>
      <c r="AN55" s="1"/>
      <c r="AO55" s="1"/>
      <c r="AP55" s="19"/>
      <c r="BL55" s="3"/>
      <c r="BM55" s="108"/>
    </row>
    <row r="56" spans="1:65" x14ac:dyDescent="0.25">
      <c r="A56" s="8">
        <v>53.309849999999997</v>
      </c>
      <c r="B56" s="8">
        <v>-6.8919999999999995E-2</v>
      </c>
      <c r="C56" s="8">
        <v>142</v>
      </c>
      <c r="D56" s="9">
        <f t="shared" si="32"/>
        <v>641.65189873417773</v>
      </c>
      <c r="E56" s="8">
        <v>12.25</v>
      </c>
      <c r="F56" s="8">
        <v>18</v>
      </c>
      <c r="G56" s="9">
        <f t="shared" si="7"/>
        <v>5</v>
      </c>
      <c r="H56" s="9">
        <f t="shared" si="8"/>
        <v>2.6373019385677723</v>
      </c>
      <c r="I56" s="9">
        <f t="shared" si="21"/>
        <v>98.974605488545208</v>
      </c>
      <c r="J56" s="9">
        <f t="shared" si="22"/>
        <v>-2.6331624539796716E-2</v>
      </c>
      <c r="K56" s="9">
        <f t="shared" si="26"/>
        <v>-16.316127829839637</v>
      </c>
      <c r="L56" s="9">
        <f t="shared" si="9"/>
        <v>12.41325</v>
      </c>
      <c r="M56" s="9">
        <f t="shared" si="27"/>
        <v>74.463687900000011</v>
      </c>
      <c r="N56" s="9">
        <f t="shared" si="28"/>
        <v>7.7454999999999998</v>
      </c>
      <c r="O56" s="9">
        <f t="shared" si="33"/>
        <v>1.9091348477525374E-2</v>
      </c>
      <c r="P56" s="9">
        <f t="shared" si="11"/>
        <v>1.9089029515698654E-2</v>
      </c>
      <c r="Q56" s="9">
        <f t="shared" si="12"/>
        <v>1.0937208262501907</v>
      </c>
      <c r="R56" s="9">
        <f t="shared" si="29"/>
        <v>5399.9340166100437</v>
      </c>
      <c r="S56" s="8">
        <f t="shared" si="30"/>
        <v>364.72010399999999</v>
      </c>
      <c r="T56" s="9">
        <f t="shared" si="13"/>
        <v>5.7607512427802039</v>
      </c>
      <c r="U56" s="9">
        <f t="shared" si="14"/>
        <v>28.803756213901018</v>
      </c>
      <c r="V56" s="9">
        <f t="shared" si="15"/>
        <v>6.2</v>
      </c>
      <c r="W56" s="9">
        <f t="shared" si="16"/>
        <v>22.603756213901018</v>
      </c>
      <c r="X56" s="29">
        <f t="shared" si="17"/>
        <v>0</v>
      </c>
      <c r="Y56" s="29">
        <f t="shared" si="23"/>
        <v>0</v>
      </c>
      <c r="Z56" s="30">
        <f t="shared" si="18"/>
        <v>28.803756213901018</v>
      </c>
      <c r="AA56" s="30">
        <f t="shared" si="24"/>
        <v>1931.6721732017934</v>
      </c>
      <c r="AB56" s="31">
        <v>3000</v>
      </c>
      <c r="AC56" s="8">
        <v>394</v>
      </c>
      <c r="AD56" s="9">
        <f t="shared" si="31"/>
        <v>3.2142105263157896</v>
      </c>
      <c r="AE56" s="30">
        <f t="shared" si="19"/>
        <v>8.9283625730994152E-4</v>
      </c>
      <c r="AF56" s="30">
        <f t="shared" si="25"/>
        <v>3.9747076023391795E-2</v>
      </c>
      <c r="AG56" s="30">
        <f t="shared" si="20"/>
        <v>55.20427225471083</v>
      </c>
      <c r="AH56" s="1"/>
      <c r="AI56" s="1"/>
      <c r="AK56" s="1"/>
      <c r="AL56" s="19"/>
      <c r="AM56" s="19"/>
      <c r="AN56" s="1"/>
      <c r="AO56" s="1"/>
      <c r="AP56" s="19"/>
      <c r="BL56" s="3"/>
      <c r="BM56" s="108"/>
    </row>
    <row r="57" spans="1:65" x14ac:dyDescent="0.25">
      <c r="A57" s="8">
        <v>53.309890000000003</v>
      </c>
      <c r="B57" s="8">
        <v>-6.8650000000000003E-2</v>
      </c>
      <c r="C57" s="8">
        <v>141</v>
      </c>
      <c r="D57" s="9">
        <f t="shared" si="32"/>
        <v>654.74683544303855</v>
      </c>
      <c r="E57" s="8">
        <v>12.5</v>
      </c>
      <c r="F57" s="8">
        <v>17.75</v>
      </c>
      <c r="G57" s="9">
        <f t="shared" si="7"/>
        <v>4.9305555555555554</v>
      </c>
      <c r="H57" s="9">
        <f t="shared" si="8"/>
        <v>2.6747104767034857</v>
      </c>
      <c r="I57" s="9">
        <f t="shared" si="21"/>
        <v>101.64931596524869</v>
      </c>
      <c r="J57" s="9">
        <f t="shared" si="22"/>
        <v>-2.5963350070708702E-2</v>
      </c>
      <c r="K57" s="9">
        <f t="shared" si="26"/>
        <v>-16.087930237813939</v>
      </c>
      <c r="L57" s="9">
        <f t="shared" si="9"/>
        <v>12.070832031249997</v>
      </c>
      <c r="M57" s="9">
        <f t="shared" si="27"/>
        <v>75.983355000000017</v>
      </c>
      <c r="N57" s="9">
        <f t="shared" si="28"/>
        <v>7.5318413387345666</v>
      </c>
      <c r="O57" s="9">
        <f t="shared" si="33"/>
        <v>1.9091348477525374E-2</v>
      </c>
      <c r="P57" s="9">
        <f t="shared" si="11"/>
        <v>1.9089029515698654E-2</v>
      </c>
      <c r="Q57" s="9">
        <f t="shared" si="12"/>
        <v>1.0937208262501907</v>
      </c>
      <c r="R57" s="9">
        <f t="shared" si="29"/>
        <v>5399.9340166100437</v>
      </c>
      <c r="S57" s="8">
        <f t="shared" si="30"/>
        <v>364.72010399999999</v>
      </c>
      <c r="T57" s="9">
        <f t="shared" si="13"/>
        <v>5.7606370224034791</v>
      </c>
      <c r="U57" s="9">
        <f t="shared" si="14"/>
        <v>28.403140874350488</v>
      </c>
      <c r="V57" s="9">
        <f t="shared" si="15"/>
        <v>6.2</v>
      </c>
      <c r="W57" s="9">
        <f t="shared" si="16"/>
        <v>22.203140874350488</v>
      </c>
      <c r="X57" s="29">
        <f t="shared" si="17"/>
        <v>0</v>
      </c>
      <c r="Y57" s="29">
        <f t="shared" si="23"/>
        <v>0</v>
      </c>
      <c r="Z57" s="30">
        <f t="shared" si="18"/>
        <v>28.403140874350488</v>
      </c>
      <c r="AA57" s="30">
        <f t="shared" si="24"/>
        <v>1960.075314076144</v>
      </c>
      <c r="AB57" s="31">
        <v>3000</v>
      </c>
      <c r="AC57" s="8">
        <v>394</v>
      </c>
      <c r="AD57" s="9">
        <f t="shared" si="31"/>
        <v>3.2142105263157896</v>
      </c>
      <c r="AE57" s="30">
        <f t="shared" si="19"/>
        <v>8.9283625730994152E-4</v>
      </c>
      <c r="AF57" s="30">
        <f t="shared" si="25"/>
        <v>4.0639912280701733E-2</v>
      </c>
      <c r="AG57" s="30">
        <f t="shared" si="20"/>
        <v>56.444322612085742</v>
      </c>
      <c r="AH57" s="1"/>
      <c r="AI57" s="1"/>
      <c r="AK57" s="1"/>
      <c r="AL57" s="19"/>
      <c r="AM57" s="19"/>
      <c r="AN57" s="1"/>
      <c r="AO57" s="1"/>
      <c r="AP57" s="19"/>
      <c r="BL57" s="3"/>
      <c r="BM57" s="108"/>
    </row>
    <row r="58" spans="1:65" x14ac:dyDescent="0.25">
      <c r="A58" s="8">
        <v>53.309899999999999</v>
      </c>
      <c r="B58" s="8">
        <v>-6.8419999999999995E-2</v>
      </c>
      <c r="C58" s="8">
        <v>141</v>
      </c>
      <c r="D58" s="9">
        <f t="shared" si="32"/>
        <v>667.84177215189936</v>
      </c>
      <c r="E58" s="8">
        <v>12.75</v>
      </c>
      <c r="F58" s="8">
        <v>17.5</v>
      </c>
      <c r="G58" s="9">
        <f t="shared" si="7"/>
        <v>4.8611111111111107</v>
      </c>
      <c r="H58" s="9">
        <f t="shared" si="8"/>
        <v>2.7131955195337514</v>
      </c>
      <c r="I58" s="9">
        <f t="shared" si="21"/>
        <v>104.36251148478244</v>
      </c>
      <c r="J58" s="9">
        <f t="shared" si="22"/>
        <v>-2.5595075601620561E-2</v>
      </c>
      <c r="K58" s="9">
        <f t="shared" si="26"/>
        <v>-15.859732645788164</v>
      </c>
      <c r="L58" s="9">
        <f t="shared" si="9"/>
        <v>11.733203124999999</v>
      </c>
      <c r="M58" s="9">
        <f t="shared" si="27"/>
        <v>77.503022099999995</v>
      </c>
      <c r="N58" s="9">
        <f t="shared" si="28"/>
        <v>7.3211709104938265</v>
      </c>
      <c r="O58" s="9">
        <f t="shared" si="33"/>
        <v>1.9091348477525374E-2</v>
      </c>
      <c r="P58" s="9">
        <f t="shared" si="11"/>
        <v>1.9089029515698654E-2</v>
      </c>
      <c r="Q58" s="9">
        <f t="shared" si="12"/>
        <v>1.0937208262501907</v>
      </c>
      <c r="R58" s="9">
        <f t="shared" si="29"/>
        <v>5399.9340166100437</v>
      </c>
      <c r="S58" s="8">
        <f t="shared" si="30"/>
        <v>364.72010399999999</v>
      </c>
      <c r="T58" s="9">
        <f t="shared" si="13"/>
        <v>5.7605275910892555</v>
      </c>
      <c r="U58" s="9">
        <f t="shared" si="14"/>
        <v>28.002564678906101</v>
      </c>
      <c r="V58" s="9">
        <f t="shared" si="15"/>
        <v>6.2</v>
      </c>
      <c r="W58" s="9">
        <f t="shared" si="16"/>
        <v>21.802564678906101</v>
      </c>
      <c r="X58" s="29">
        <f t="shared" si="17"/>
        <v>0</v>
      </c>
      <c r="Y58" s="29">
        <f t="shared" si="23"/>
        <v>0</v>
      </c>
      <c r="Z58" s="30">
        <f t="shared" si="18"/>
        <v>28.002564678906101</v>
      </c>
      <c r="AA58" s="30">
        <f t="shared" si="24"/>
        <v>1988.0778787550501</v>
      </c>
      <c r="AB58" s="31">
        <v>3000</v>
      </c>
      <c r="AC58" s="8">
        <v>394</v>
      </c>
      <c r="AD58" s="9">
        <f t="shared" si="31"/>
        <v>3.2142105263157896</v>
      </c>
      <c r="AE58" s="30">
        <f t="shared" si="19"/>
        <v>8.9283625730994152E-4</v>
      </c>
      <c r="AF58" s="30">
        <f t="shared" si="25"/>
        <v>4.1532748538011671E-2</v>
      </c>
      <c r="AG58" s="30">
        <f t="shared" si="20"/>
        <v>57.684372969460654</v>
      </c>
      <c r="AH58" s="1"/>
      <c r="AI58" s="35" t="s">
        <v>62</v>
      </c>
      <c r="AJ58" s="36" t="s">
        <v>59</v>
      </c>
      <c r="AK58" s="1"/>
      <c r="AL58" s="19"/>
      <c r="AM58" s="19"/>
      <c r="AN58" s="1"/>
      <c r="AO58" s="1"/>
      <c r="AP58" s="19"/>
    </row>
    <row r="59" spans="1:65" x14ac:dyDescent="0.25">
      <c r="A59" s="8">
        <v>53.309890000000003</v>
      </c>
      <c r="B59" s="8">
        <v>-6.8180000000000004E-2</v>
      </c>
      <c r="C59" s="8">
        <v>140</v>
      </c>
      <c r="D59" s="9">
        <f t="shared" si="32"/>
        <v>680.93670886076018</v>
      </c>
      <c r="E59" s="8">
        <v>13</v>
      </c>
      <c r="F59" s="8">
        <v>17.25</v>
      </c>
      <c r="G59" s="9">
        <f t="shared" si="7"/>
        <v>4.791666666666667</v>
      </c>
      <c r="H59" s="9">
        <f t="shared" si="8"/>
        <v>2.7528042132495725</v>
      </c>
      <c r="I59" s="9">
        <f t="shared" si="21"/>
        <v>107.11531569803202</v>
      </c>
      <c r="J59" s="9">
        <f t="shared" si="22"/>
        <v>-2.522680113253218E-2</v>
      </c>
      <c r="K59" s="9">
        <f t="shared" si="26"/>
        <v>-15.63153505376224</v>
      </c>
      <c r="L59" s="9">
        <f t="shared" si="9"/>
        <v>11.400363281250002</v>
      </c>
      <c r="M59" s="9">
        <f t="shared" si="27"/>
        <v>79.022689200000002</v>
      </c>
      <c r="N59" s="9">
        <f t="shared" si="28"/>
        <v>7.1134887152777786</v>
      </c>
      <c r="O59" s="9">
        <f t="shared" si="33"/>
        <v>1.9091348477525374E-2</v>
      </c>
      <c r="P59" s="9">
        <f t="shared" si="11"/>
        <v>1.9089029515698654E-2</v>
      </c>
      <c r="Q59" s="9">
        <f t="shared" si="12"/>
        <v>1.0937208262501907</v>
      </c>
      <c r="R59" s="9">
        <f t="shared" si="29"/>
        <v>5399.9340166100437</v>
      </c>
      <c r="S59" s="8">
        <f t="shared" si="30"/>
        <v>364.72010399999999</v>
      </c>
      <c r="T59" s="9">
        <f t="shared" si="13"/>
        <v>5.7604229488375314</v>
      </c>
      <c r="U59" s="9">
        <f t="shared" si="14"/>
        <v>27.602026629846506</v>
      </c>
      <c r="V59" s="9">
        <f t="shared" si="15"/>
        <v>6.2</v>
      </c>
      <c r="W59" s="9">
        <f t="shared" si="16"/>
        <v>21.402026629846507</v>
      </c>
      <c r="X59" s="29">
        <f t="shared" si="17"/>
        <v>0</v>
      </c>
      <c r="Y59" s="29">
        <f t="shared" si="23"/>
        <v>0</v>
      </c>
      <c r="Z59" s="30">
        <f t="shared" si="18"/>
        <v>27.602026629846506</v>
      </c>
      <c r="AA59" s="30">
        <f t="shared" si="24"/>
        <v>2015.6799053848965</v>
      </c>
      <c r="AB59" s="31">
        <v>3000</v>
      </c>
      <c r="AC59" s="8">
        <v>394</v>
      </c>
      <c r="AD59" s="9">
        <f t="shared" si="31"/>
        <v>3.2142105263157896</v>
      </c>
      <c r="AE59" s="30">
        <f t="shared" si="19"/>
        <v>8.9283625730994152E-4</v>
      </c>
      <c r="AF59" s="30">
        <f t="shared" si="25"/>
        <v>4.2425584795321609E-2</v>
      </c>
      <c r="AG59" s="30">
        <f t="shared" si="20"/>
        <v>58.924423326835566</v>
      </c>
      <c r="AH59" s="1"/>
      <c r="AI59" s="37">
        <v>2069</v>
      </c>
      <c r="AJ59" s="10" t="s">
        <v>60</v>
      </c>
      <c r="AK59" s="1"/>
      <c r="AL59" s="19"/>
      <c r="AM59" s="19"/>
      <c r="AN59" s="1"/>
      <c r="AO59" s="1"/>
      <c r="AP59" s="19"/>
    </row>
    <row r="60" spans="1:65" x14ac:dyDescent="0.25">
      <c r="A60" s="8">
        <v>53.309820000000002</v>
      </c>
      <c r="B60" s="8">
        <v>-6.7830000000000001E-2</v>
      </c>
      <c r="C60" s="8">
        <v>139</v>
      </c>
      <c r="D60" s="9">
        <f t="shared" si="32"/>
        <v>694.03164556962099</v>
      </c>
      <c r="E60" s="8">
        <v>13.25</v>
      </c>
      <c r="F60" s="8">
        <v>17</v>
      </c>
      <c r="G60" s="9">
        <f t="shared" si="7"/>
        <v>4.7222222222222223</v>
      </c>
      <c r="H60" s="9">
        <f t="shared" si="8"/>
        <v>2.7935864978903071</v>
      </c>
      <c r="I60" s="9">
        <f t="shared" si="21"/>
        <v>109.90890219592232</v>
      </c>
      <c r="J60" s="9">
        <f t="shared" si="22"/>
        <v>-2.4858526663444503E-2</v>
      </c>
      <c r="K60" s="9">
        <f t="shared" si="26"/>
        <v>-15.403337461736751</v>
      </c>
      <c r="L60" s="9">
        <f t="shared" si="9"/>
        <v>11.072312500000001</v>
      </c>
      <c r="M60" s="9">
        <f t="shared" si="27"/>
        <v>80.542356299999994</v>
      </c>
      <c r="N60" s="9">
        <f t="shared" si="28"/>
        <v>6.9087947530864193</v>
      </c>
      <c r="O60" s="9">
        <f t="shared" si="33"/>
        <v>1.9091348477525374E-2</v>
      </c>
      <c r="P60" s="9">
        <f t="shared" si="11"/>
        <v>1.9089029515698654E-2</v>
      </c>
      <c r="Q60" s="9">
        <f t="shared" si="12"/>
        <v>1.0937208262501907</v>
      </c>
      <c r="R60" s="9">
        <f t="shared" si="29"/>
        <v>5399.9340166100437</v>
      </c>
      <c r="S60" s="8">
        <f t="shared" si="30"/>
        <v>364.72010399999999</v>
      </c>
      <c r="T60" s="9">
        <f t="shared" si="13"/>
        <v>5.7603230956483076</v>
      </c>
      <c r="U60" s="9">
        <f t="shared" si="14"/>
        <v>27.201525729450342</v>
      </c>
      <c r="V60" s="9">
        <f t="shared" si="15"/>
        <v>6.2</v>
      </c>
      <c r="W60" s="9">
        <f t="shared" si="16"/>
        <v>21.001525729450343</v>
      </c>
      <c r="X60" s="29">
        <f t="shared" si="17"/>
        <v>0</v>
      </c>
      <c r="Y60" s="29">
        <f t="shared" si="23"/>
        <v>0</v>
      </c>
      <c r="Z60" s="30">
        <f t="shared" si="18"/>
        <v>27.201525729450342</v>
      </c>
      <c r="AA60" s="30">
        <f t="shared" si="24"/>
        <v>2042.8814311143469</v>
      </c>
      <c r="AB60" s="31">
        <v>3000</v>
      </c>
      <c r="AC60" s="8">
        <v>394</v>
      </c>
      <c r="AD60" s="9">
        <f t="shared" si="31"/>
        <v>3.2142105263157896</v>
      </c>
      <c r="AE60" s="30">
        <f t="shared" si="19"/>
        <v>8.9283625730994152E-4</v>
      </c>
      <c r="AF60" s="30">
        <f t="shared" si="25"/>
        <v>4.3318421052631548E-2</v>
      </c>
      <c r="AG60" s="30">
        <f t="shared" si="20"/>
        <v>60.164473684210485</v>
      </c>
      <c r="AH60" s="1"/>
      <c r="AI60" s="37">
        <f>(AI59/1.6)/1000</f>
        <v>1.2931250000000001</v>
      </c>
      <c r="AJ60" s="10" t="s">
        <v>61</v>
      </c>
      <c r="AK60" s="1"/>
      <c r="AL60" s="19"/>
      <c r="AM60" s="19"/>
      <c r="AN60" s="1"/>
      <c r="AO60" s="1"/>
      <c r="AP60" s="19"/>
    </row>
    <row r="61" spans="1:65" x14ac:dyDescent="0.25">
      <c r="A61" s="8">
        <v>53.309710000000003</v>
      </c>
      <c r="B61" s="8">
        <v>-6.7430000000000004E-2</v>
      </c>
      <c r="C61" s="8">
        <v>139</v>
      </c>
      <c r="D61" s="9">
        <f t="shared" si="32"/>
        <v>707.12658227848181</v>
      </c>
      <c r="E61" s="8">
        <v>13.5</v>
      </c>
      <c r="F61" s="8">
        <v>16.75</v>
      </c>
      <c r="G61" s="9">
        <f t="shared" si="7"/>
        <v>4.6527777777777777</v>
      </c>
      <c r="H61" s="9">
        <f t="shared" si="8"/>
        <v>2.8355953174074546</v>
      </c>
      <c r="I61" s="9">
        <f t="shared" si="21"/>
        <v>112.74449751332978</v>
      </c>
      <c r="J61" s="9">
        <f t="shared" si="22"/>
        <v>-2.4490252194356413E-2</v>
      </c>
      <c r="K61" s="9">
        <f t="shared" si="26"/>
        <v>-15.175139869711007</v>
      </c>
      <c r="L61" s="9">
        <f t="shared" si="9"/>
        <v>10.749050781249998</v>
      </c>
      <c r="M61" s="9">
        <f t="shared" si="27"/>
        <v>82.062023400000001</v>
      </c>
      <c r="N61" s="9">
        <f t="shared" si="28"/>
        <v>6.7070890239197523</v>
      </c>
      <c r="O61" s="9">
        <f t="shared" si="33"/>
        <v>1.9091348477525374E-2</v>
      </c>
      <c r="P61" s="9">
        <f t="shared" si="11"/>
        <v>1.9089029515698654E-2</v>
      </c>
      <c r="Q61" s="9">
        <f t="shared" si="12"/>
        <v>1.0937208262501907</v>
      </c>
      <c r="R61" s="9">
        <f t="shared" si="29"/>
        <v>5399.9340166100437</v>
      </c>
      <c r="S61" s="8">
        <f t="shared" si="30"/>
        <v>364.72010399999999</v>
      </c>
      <c r="T61" s="9">
        <f t="shared" si="13"/>
        <v>5.7602280315215832</v>
      </c>
      <c r="U61" s="9">
        <f t="shared" si="14"/>
        <v>26.801060979996254</v>
      </c>
      <c r="V61" s="9">
        <f t="shared" si="15"/>
        <v>6.2</v>
      </c>
      <c r="W61" s="9">
        <f t="shared" si="16"/>
        <v>20.601060979996255</v>
      </c>
      <c r="X61" s="29">
        <f t="shared" si="17"/>
        <v>0</v>
      </c>
      <c r="Y61" s="29">
        <f t="shared" si="23"/>
        <v>0</v>
      </c>
      <c r="Z61" s="30">
        <f t="shared" si="18"/>
        <v>26.801060979996254</v>
      </c>
      <c r="AA61" s="30">
        <f t="shared" si="24"/>
        <v>2069.6824920943432</v>
      </c>
      <c r="AB61" s="31">
        <v>3000</v>
      </c>
      <c r="AC61" s="8">
        <v>394</v>
      </c>
      <c r="AD61" s="9">
        <f t="shared" si="31"/>
        <v>3.2142105263157896</v>
      </c>
      <c r="AE61" s="30">
        <f t="shared" si="19"/>
        <v>8.9283625730994152E-4</v>
      </c>
      <c r="AF61" s="30">
        <f t="shared" si="25"/>
        <v>4.4211257309941486E-2</v>
      </c>
      <c r="AG61" s="30">
        <f t="shared" si="20"/>
        <v>61.404524041585397</v>
      </c>
      <c r="AH61" s="1"/>
      <c r="AI61" s="37">
        <f>AF165</f>
        <v>9.1408014527105813E-2</v>
      </c>
      <c r="AJ61" s="10" t="s">
        <v>63</v>
      </c>
      <c r="AK61" s="1"/>
      <c r="AL61" s="19"/>
      <c r="AM61" s="19"/>
      <c r="AN61" s="1"/>
      <c r="AO61" s="1"/>
      <c r="AP61" s="19"/>
    </row>
    <row r="62" spans="1:65" x14ac:dyDescent="0.25">
      <c r="A62" s="8">
        <v>53.309600000000003</v>
      </c>
      <c r="B62" s="8">
        <v>-6.7169999999999994E-2</v>
      </c>
      <c r="C62" s="8">
        <v>139</v>
      </c>
      <c r="D62" s="9">
        <f t="shared" si="32"/>
        <v>720.22151898734262</v>
      </c>
      <c r="E62" s="8">
        <v>13.75</v>
      </c>
      <c r="F62" s="8">
        <v>16.5</v>
      </c>
      <c r="G62" s="9">
        <f t="shared" si="7"/>
        <v>4.583333333333333</v>
      </c>
      <c r="H62" s="9">
        <f t="shared" si="8"/>
        <v>2.8788868489709274</v>
      </c>
      <c r="I62" s="9">
        <f t="shared" si="21"/>
        <v>115.6233843623007</v>
      </c>
      <c r="J62" s="9">
        <f t="shared" si="22"/>
        <v>-2.4121977725268379E-2</v>
      </c>
      <c r="K62" s="9">
        <f t="shared" si="26"/>
        <v>-14.946942277685299</v>
      </c>
      <c r="L62" s="9">
        <f t="shared" si="9"/>
        <v>10.430578125</v>
      </c>
      <c r="M62" s="9">
        <f t="shared" si="27"/>
        <v>83.581690500000008</v>
      </c>
      <c r="N62" s="9">
        <f t="shared" si="28"/>
        <v>6.5083715277777774</v>
      </c>
      <c r="O62" s="9">
        <f t="shared" si="33"/>
        <v>1.9091348477525374E-2</v>
      </c>
      <c r="P62" s="9">
        <f t="shared" si="11"/>
        <v>1.9089029515698654E-2</v>
      </c>
      <c r="Q62" s="9">
        <f t="shared" si="12"/>
        <v>1.0937208262501907</v>
      </c>
      <c r="R62" s="9">
        <f t="shared" si="29"/>
        <v>5399.9340166100437</v>
      </c>
      <c r="S62" s="8">
        <f t="shared" si="30"/>
        <v>364.72010399999999</v>
      </c>
      <c r="T62" s="9">
        <f t="shared" si="13"/>
        <v>5.7601377564573575</v>
      </c>
      <c r="U62" s="9">
        <f t="shared" si="14"/>
        <v>26.400631383762885</v>
      </c>
      <c r="V62" s="9">
        <f t="shared" si="15"/>
        <v>6.2</v>
      </c>
      <c r="W62" s="9">
        <f t="shared" si="16"/>
        <v>20.200631383762886</v>
      </c>
      <c r="X62" s="29">
        <f t="shared" si="17"/>
        <v>0</v>
      </c>
      <c r="Y62" s="29">
        <f t="shared" si="23"/>
        <v>0</v>
      </c>
      <c r="Z62" s="30">
        <f t="shared" si="18"/>
        <v>26.400631383762885</v>
      </c>
      <c r="AA62" s="30">
        <f t="shared" si="24"/>
        <v>2096.0831234781062</v>
      </c>
      <c r="AB62" s="31">
        <v>3000</v>
      </c>
      <c r="AC62" s="8">
        <v>394</v>
      </c>
      <c r="AD62" s="9">
        <f t="shared" si="31"/>
        <v>3.2142105263157896</v>
      </c>
      <c r="AE62" s="30">
        <f t="shared" si="19"/>
        <v>8.9283625730994152E-4</v>
      </c>
      <c r="AF62" s="30">
        <f t="shared" si="25"/>
        <v>4.5104093567251424E-2</v>
      </c>
      <c r="AG62" s="30">
        <f t="shared" si="20"/>
        <v>62.644574398960316</v>
      </c>
      <c r="AH62" s="1"/>
      <c r="AI62" s="37">
        <v>4.55</v>
      </c>
      <c r="AJ62" s="10" t="s">
        <v>64</v>
      </c>
      <c r="AK62" s="1"/>
      <c r="AL62" s="19"/>
      <c r="AM62" s="19"/>
      <c r="AN62" s="19"/>
      <c r="AO62" s="19"/>
      <c r="AP62" s="19"/>
    </row>
    <row r="63" spans="1:65" x14ac:dyDescent="0.25">
      <c r="A63" s="8">
        <v>53.3095</v>
      </c>
      <c r="B63" s="8">
        <v>-6.6960000000000006E-2</v>
      </c>
      <c r="C63" s="8">
        <v>140</v>
      </c>
      <c r="D63" s="9">
        <f t="shared" si="32"/>
        <v>733.31645569620343</v>
      </c>
      <c r="E63" s="8">
        <v>14</v>
      </c>
      <c r="F63" s="8">
        <v>16.25</v>
      </c>
      <c r="G63" s="9">
        <f t="shared" si="7"/>
        <v>4.5138888888888884</v>
      </c>
      <c r="H63" s="9">
        <f t="shared" si="8"/>
        <v>2.9235207536061356</v>
      </c>
      <c r="I63" s="9">
        <f t="shared" si="21"/>
        <v>118.54690511590684</v>
      </c>
      <c r="J63" s="9">
        <f t="shared" si="22"/>
        <v>-2.375370325618022E-2</v>
      </c>
      <c r="K63" s="9">
        <f t="shared" si="26"/>
        <v>-14.718744685659512</v>
      </c>
      <c r="L63" s="9">
        <f t="shared" si="9"/>
        <v>10.116894531249997</v>
      </c>
      <c r="M63" s="9">
        <f t="shared" si="27"/>
        <v>85.1013576</v>
      </c>
      <c r="N63" s="9">
        <f t="shared" si="28"/>
        <v>6.3126422646604921</v>
      </c>
      <c r="O63" s="9">
        <f t="shared" si="33"/>
        <v>1.9091348477525374E-2</v>
      </c>
      <c r="P63" s="9">
        <f t="shared" si="11"/>
        <v>1.9089029515698654E-2</v>
      </c>
      <c r="Q63" s="9">
        <f t="shared" si="12"/>
        <v>1.0937208262501907</v>
      </c>
      <c r="R63" s="9">
        <f t="shared" si="29"/>
        <v>5399.9340166100437</v>
      </c>
      <c r="S63" s="8">
        <f t="shared" si="30"/>
        <v>364.72010399999999</v>
      </c>
      <c r="T63" s="9">
        <f t="shared" si="13"/>
        <v>5.7600522704556338</v>
      </c>
      <c r="U63" s="9">
        <f t="shared" si="14"/>
        <v>26.000235943028901</v>
      </c>
      <c r="V63" s="9">
        <f t="shared" si="15"/>
        <v>6.2</v>
      </c>
      <c r="W63" s="9">
        <f t="shared" si="16"/>
        <v>19.800235943028902</v>
      </c>
      <c r="X63" s="29">
        <f t="shared" si="17"/>
        <v>0</v>
      </c>
      <c r="Y63" s="29">
        <f t="shared" si="23"/>
        <v>0</v>
      </c>
      <c r="Z63" s="30">
        <f t="shared" si="18"/>
        <v>26.000235943028901</v>
      </c>
      <c r="AA63" s="30">
        <f t="shared" si="24"/>
        <v>2122.0833594211354</v>
      </c>
      <c r="AB63" s="31">
        <v>3000</v>
      </c>
      <c r="AC63" s="8">
        <v>394</v>
      </c>
      <c r="AD63" s="9">
        <f t="shared" si="31"/>
        <v>3.2142105263157896</v>
      </c>
      <c r="AE63" s="30">
        <f t="shared" si="19"/>
        <v>8.9283625730994152E-4</v>
      </c>
      <c r="AF63" s="30">
        <f t="shared" si="25"/>
        <v>4.5996929824561363E-2</v>
      </c>
      <c r="AG63" s="30">
        <f t="shared" si="20"/>
        <v>63.884624756335235</v>
      </c>
      <c r="AH63" s="1"/>
      <c r="AI63" s="120"/>
      <c r="AJ63" s="121"/>
      <c r="AK63" s="1"/>
      <c r="AL63" s="19"/>
      <c r="AM63" s="19"/>
      <c r="AN63" s="19"/>
      <c r="AO63" s="19"/>
      <c r="AP63" s="19"/>
    </row>
    <row r="64" spans="1:65" x14ac:dyDescent="0.25">
      <c r="A64" s="8">
        <v>53.30932</v>
      </c>
      <c r="B64" s="8">
        <v>-6.6589999999999996E-2</v>
      </c>
      <c r="C64" s="8">
        <v>141</v>
      </c>
      <c r="D64" s="9">
        <f t="shared" si="32"/>
        <v>746.41139240506425</v>
      </c>
      <c r="E64" s="8">
        <v>14.25</v>
      </c>
      <c r="F64" s="8">
        <v>16</v>
      </c>
      <c r="G64" s="9">
        <f t="shared" si="7"/>
        <v>4.4444444444444446</v>
      </c>
      <c r="H64" s="9">
        <f t="shared" si="8"/>
        <v>2.9695604505133186</v>
      </c>
      <c r="I64" s="9">
        <f t="shared" si="21"/>
        <v>121.51646556642015</v>
      </c>
      <c r="J64" s="9">
        <f t="shared" si="22"/>
        <v>-2.3385428787091943E-2</v>
      </c>
      <c r="K64" s="9">
        <f t="shared" si="26"/>
        <v>-14.490547093633651</v>
      </c>
      <c r="L64" s="9">
        <f t="shared" si="9"/>
        <v>9.8079999999999998</v>
      </c>
      <c r="M64" s="9">
        <f t="shared" si="27"/>
        <v>86.621024700000007</v>
      </c>
      <c r="N64" s="9">
        <f t="shared" si="28"/>
        <v>6.1199012345679025</v>
      </c>
      <c r="O64" s="9">
        <f t="shared" si="33"/>
        <v>1.9091348477525374E-2</v>
      </c>
      <c r="P64" s="9">
        <f t="shared" si="11"/>
        <v>1.9089029515698654E-2</v>
      </c>
      <c r="Q64" s="9">
        <f t="shared" si="12"/>
        <v>1.0937208262501907</v>
      </c>
      <c r="R64" s="9">
        <f t="shared" si="29"/>
        <v>5399.9340166100437</v>
      </c>
      <c r="S64" s="8">
        <f t="shared" si="30"/>
        <v>364.72010399999999</v>
      </c>
      <c r="T64" s="9">
        <f t="shared" si="13"/>
        <v>5.7599715735164096</v>
      </c>
      <c r="U64" s="9">
        <f t="shared" si="14"/>
        <v>25.599873660072934</v>
      </c>
      <c r="V64" s="9">
        <f t="shared" si="15"/>
        <v>6.2</v>
      </c>
      <c r="W64" s="9">
        <f t="shared" si="16"/>
        <v>19.399873660072934</v>
      </c>
      <c r="X64" s="29">
        <f t="shared" si="17"/>
        <v>0</v>
      </c>
      <c r="Y64" s="29">
        <f t="shared" si="23"/>
        <v>0</v>
      </c>
      <c r="Z64" s="30">
        <f t="shared" si="18"/>
        <v>25.599873660072934</v>
      </c>
      <c r="AA64" s="30">
        <f t="shared" si="24"/>
        <v>2147.6832330812081</v>
      </c>
      <c r="AB64" s="31">
        <v>3000</v>
      </c>
      <c r="AC64" s="8">
        <v>394</v>
      </c>
      <c r="AD64" s="9">
        <f t="shared" si="31"/>
        <v>3.2142105263157896</v>
      </c>
      <c r="AE64" s="30">
        <f t="shared" si="19"/>
        <v>8.9283625730994152E-4</v>
      </c>
      <c r="AF64" s="30">
        <f t="shared" si="25"/>
        <v>4.6889766081871301E-2</v>
      </c>
      <c r="AG64" s="30">
        <f t="shared" si="20"/>
        <v>65.12467511371014</v>
      </c>
      <c r="AH64" s="1"/>
      <c r="AI64" s="37">
        <f>(AI62/AI61)*AI60</f>
        <v>64.367646321157792</v>
      </c>
      <c r="AJ64" s="10" t="s">
        <v>65</v>
      </c>
      <c r="AK64" s="1"/>
      <c r="AL64" s="19"/>
      <c r="AM64" s="19"/>
      <c r="AN64" s="19"/>
      <c r="AO64" s="19"/>
      <c r="AP64" s="19"/>
    </row>
    <row r="65" spans="1:42" x14ac:dyDescent="0.25">
      <c r="A65" s="8">
        <v>53.30903</v>
      </c>
      <c r="B65" s="8">
        <v>-6.6170000000000007E-2</v>
      </c>
      <c r="C65" s="8">
        <v>139</v>
      </c>
      <c r="D65" s="9">
        <f t="shared" si="32"/>
        <v>759.50632911392506</v>
      </c>
      <c r="E65" s="8">
        <v>14.5</v>
      </c>
      <c r="F65" s="8">
        <v>15.75</v>
      </c>
      <c r="G65" s="9">
        <f t="shared" si="7"/>
        <v>4.375</v>
      </c>
      <c r="H65" s="9">
        <f t="shared" si="8"/>
        <v>3.0170734177215315</v>
      </c>
      <c r="I65" s="9">
        <f t="shared" si="21"/>
        <v>124.53353898414169</v>
      </c>
      <c r="J65" s="9">
        <f t="shared" si="22"/>
        <v>-2.3017154318004118E-2</v>
      </c>
      <c r="K65" s="9">
        <f t="shared" si="26"/>
        <v>-14.262349501608071</v>
      </c>
      <c r="L65" s="9">
        <f t="shared" si="9"/>
        <v>9.5038945312499994</v>
      </c>
      <c r="M65" s="9">
        <f t="shared" si="27"/>
        <v>88.140691799999999</v>
      </c>
      <c r="N65" s="9">
        <f t="shared" si="28"/>
        <v>5.9301484374999998</v>
      </c>
      <c r="O65" s="9">
        <f t="shared" si="33"/>
        <v>1.9091348477525374E-2</v>
      </c>
      <c r="P65" s="9">
        <f t="shared" si="11"/>
        <v>1.9089029515698654E-2</v>
      </c>
      <c r="Q65" s="9">
        <f t="shared" si="12"/>
        <v>1.0937208262501907</v>
      </c>
      <c r="R65" s="9">
        <f t="shared" si="29"/>
        <v>5399.9340166100437</v>
      </c>
      <c r="S65" s="8">
        <f t="shared" si="30"/>
        <v>364.72010399999999</v>
      </c>
      <c r="T65" s="9">
        <f t="shared" si="13"/>
        <v>5.7598956656396858</v>
      </c>
      <c r="U65" s="9">
        <f t="shared" si="14"/>
        <v>25.199543537173625</v>
      </c>
      <c r="V65" s="9">
        <f t="shared" si="15"/>
        <v>6.2</v>
      </c>
      <c r="W65" s="9">
        <f t="shared" si="16"/>
        <v>18.999543537173626</v>
      </c>
      <c r="X65" s="29">
        <f t="shared" si="17"/>
        <v>0</v>
      </c>
      <c r="Y65" s="29">
        <f t="shared" si="23"/>
        <v>0</v>
      </c>
      <c r="Z65" s="30">
        <f t="shared" si="18"/>
        <v>25.199543537173625</v>
      </c>
      <c r="AA65" s="30">
        <f t="shared" si="24"/>
        <v>2172.8827766183817</v>
      </c>
      <c r="AB65" s="31">
        <v>3000</v>
      </c>
      <c r="AC65" s="8">
        <v>394</v>
      </c>
      <c r="AD65" s="9">
        <f t="shared" si="31"/>
        <v>3.2142105263157896</v>
      </c>
      <c r="AE65" s="30">
        <f t="shared" si="19"/>
        <v>8.9283625730994152E-4</v>
      </c>
      <c r="AF65" s="30">
        <f t="shared" si="25"/>
        <v>4.7782602339181239E-2</v>
      </c>
      <c r="AG65" s="30">
        <f t="shared" si="20"/>
        <v>66.364725471085066</v>
      </c>
      <c r="AH65" s="1"/>
      <c r="AI65" s="1"/>
      <c r="AK65" s="1"/>
      <c r="AL65" s="19"/>
      <c r="AM65" s="19"/>
      <c r="AP65" s="19"/>
    </row>
    <row r="66" spans="1:42" x14ac:dyDescent="0.25">
      <c r="A66" s="8">
        <v>53.308680000000003</v>
      </c>
      <c r="B66" s="8">
        <v>-6.5799999999999997E-2</v>
      </c>
      <c r="C66" s="8">
        <v>135</v>
      </c>
      <c r="D66" s="9">
        <f t="shared" si="32"/>
        <v>772.60126582278588</v>
      </c>
      <c r="E66" s="8">
        <v>14.75</v>
      </c>
      <c r="F66" s="8">
        <v>15.5</v>
      </c>
      <c r="G66" s="9">
        <f t="shared" si="7"/>
        <v>4.3055555555555554</v>
      </c>
      <c r="H66" s="9">
        <f t="shared" si="8"/>
        <v>3.0661315220747274</v>
      </c>
      <c r="I66" s="9">
        <f t="shared" si="21"/>
        <v>127.59967050621641</v>
      </c>
      <c r="J66" s="9">
        <f t="shared" si="22"/>
        <v>-2.264887984891607E-2</v>
      </c>
      <c r="K66" s="9">
        <f t="shared" si="26"/>
        <v>-14.034151909582354</v>
      </c>
      <c r="L66" s="9">
        <f t="shared" si="9"/>
        <v>9.2045781249999994</v>
      </c>
      <c r="M66" s="9">
        <f t="shared" si="27"/>
        <v>89.660358900000006</v>
      </c>
      <c r="N66" s="9">
        <f t="shared" si="28"/>
        <v>5.7433838734567901</v>
      </c>
      <c r="O66" s="9">
        <f t="shared" si="33"/>
        <v>1.9091348477525374E-2</v>
      </c>
      <c r="P66" s="9">
        <f t="shared" si="11"/>
        <v>1.9089029515698654E-2</v>
      </c>
      <c r="Q66" s="9">
        <f t="shared" si="12"/>
        <v>1.0937208262501907</v>
      </c>
      <c r="R66" s="9">
        <f t="shared" si="29"/>
        <v>5399.9340166100437</v>
      </c>
      <c r="S66" s="8">
        <f t="shared" si="30"/>
        <v>364.72010399999999</v>
      </c>
      <c r="T66" s="9">
        <f t="shared" si="13"/>
        <v>5.7598245468254605</v>
      </c>
      <c r="U66" s="9">
        <f t="shared" si="14"/>
        <v>24.79924457660962</v>
      </c>
      <c r="V66" s="9">
        <f t="shared" si="15"/>
        <v>6.2</v>
      </c>
      <c r="W66" s="9">
        <f t="shared" si="16"/>
        <v>18.599244576609621</v>
      </c>
      <c r="X66" s="29">
        <f t="shared" si="17"/>
        <v>0</v>
      </c>
      <c r="Y66" s="29">
        <f t="shared" si="23"/>
        <v>0</v>
      </c>
      <c r="Z66" s="30">
        <f t="shared" si="18"/>
        <v>24.79924457660962</v>
      </c>
      <c r="AA66" s="30">
        <f t="shared" si="24"/>
        <v>2197.6820211949912</v>
      </c>
      <c r="AB66" s="31">
        <v>3000</v>
      </c>
      <c r="AC66" s="8">
        <v>394</v>
      </c>
      <c r="AD66" s="9">
        <f t="shared" si="31"/>
        <v>3.2142105263157896</v>
      </c>
      <c r="AE66" s="30">
        <f t="shared" si="19"/>
        <v>8.9283625730994152E-4</v>
      </c>
      <c r="AF66" s="30">
        <f t="shared" si="25"/>
        <v>4.8675438596491177E-2</v>
      </c>
      <c r="AG66" s="30">
        <f t="shared" si="20"/>
        <v>67.604775828459978</v>
      </c>
      <c r="AH66" s="1"/>
      <c r="AI66" s="1"/>
      <c r="AK66" s="1"/>
      <c r="AL66" s="19"/>
      <c r="AM66" s="19"/>
      <c r="AP66" s="19"/>
    </row>
    <row r="67" spans="1:42" x14ac:dyDescent="0.25">
      <c r="A67" s="8">
        <v>53.308430000000001</v>
      </c>
      <c r="B67" s="8">
        <v>-6.5710000000000005E-2</v>
      </c>
      <c r="C67" s="8">
        <v>134</v>
      </c>
      <c r="D67" s="9">
        <f t="shared" si="32"/>
        <v>785.69620253164669</v>
      </c>
      <c r="E67" s="8">
        <v>15</v>
      </c>
      <c r="F67" s="8">
        <v>15.25</v>
      </c>
      <c r="G67" s="9">
        <f t="shared" si="7"/>
        <v>4.2361111111111107</v>
      </c>
      <c r="H67" s="9">
        <f t="shared" si="8"/>
        <v>3.1168113819437306</v>
      </c>
      <c r="I67" s="9">
        <f t="shared" si="21"/>
        <v>130.71648188816013</v>
      </c>
      <c r="J67" s="9">
        <f t="shared" si="22"/>
        <v>-2.2280605379828084E-2</v>
      </c>
      <c r="K67" s="9">
        <f t="shared" si="26"/>
        <v>-13.805954317556674</v>
      </c>
      <c r="L67" s="9">
        <f t="shared" si="9"/>
        <v>8.9100507812499998</v>
      </c>
      <c r="M67" s="9">
        <f t="shared" si="27"/>
        <v>91.180026000000012</v>
      </c>
      <c r="N67" s="9">
        <f t="shared" si="28"/>
        <v>5.5596075424382709</v>
      </c>
      <c r="O67" s="9">
        <f t="shared" si="33"/>
        <v>1.9091348477525374E-2</v>
      </c>
      <c r="P67" s="9">
        <f t="shared" si="11"/>
        <v>1.9089029515698654E-2</v>
      </c>
      <c r="Q67" s="9">
        <f t="shared" si="12"/>
        <v>1.0937208262501907</v>
      </c>
      <c r="R67" s="9">
        <f t="shared" si="29"/>
        <v>5399.9340166100437</v>
      </c>
      <c r="S67" s="8">
        <f t="shared" si="30"/>
        <v>364.72010399999999</v>
      </c>
      <c r="T67" s="9">
        <f t="shared" si="13"/>
        <v>5.7597582170737365</v>
      </c>
      <c r="U67" s="9">
        <f t="shared" si="14"/>
        <v>24.398975780659576</v>
      </c>
      <c r="V67" s="9">
        <f t="shared" si="15"/>
        <v>6.2</v>
      </c>
      <c r="W67" s="9">
        <f t="shared" si="16"/>
        <v>18.198975780659577</v>
      </c>
      <c r="X67" s="29">
        <f t="shared" si="17"/>
        <v>0</v>
      </c>
      <c r="Y67" s="29">
        <f t="shared" si="23"/>
        <v>0</v>
      </c>
      <c r="Z67" s="30">
        <f t="shared" si="18"/>
        <v>24.398975780659576</v>
      </c>
      <c r="AA67" s="30">
        <f t="shared" si="24"/>
        <v>2222.0809969756506</v>
      </c>
      <c r="AB67" s="31">
        <v>3000</v>
      </c>
      <c r="AC67" s="8">
        <v>394</v>
      </c>
      <c r="AD67" s="9">
        <f t="shared" si="31"/>
        <v>3.2142105263157896</v>
      </c>
      <c r="AE67" s="30">
        <f t="shared" si="19"/>
        <v>8.9283625730994152E-4</v>
      </c>
      <c r="AF67" s="30">
        <f t="shared" si="25"/>
        <v>4.9568274853801116E-2</v>
      </c>
      <c r="AG67" s="30">
        <f t="shared" si="20"/>
        <v>68.84482618583489</v>
      </c>
      <c r="AH67" s="1"/>
      <c r="AI67" s="1"/>
      <c r="AK67" s="1"/>
      <c r="AL67" s="19"/>
      <c r="AM67" s="19"/>
      <c r="AP67" s="19"/>
    </row>
    <row r="68" spans="1:42" x14ac:dyDescent="0.25">
      <c r="A68" s="8">
        <v>53.30829</v>
      </c>
      <c r="B68" s="8">
        <v>-6.5699999999999995E-2</v>
      </c>
      <c r="C68" s="8">
        <v>133</v>
      </c>
      <c r="D68" s="9">
        <f t="shared" si="32"/>
        <v>798.7911392405075</v>
      </c>
      <c r="E68" s="8">
        <v>15.25</v>
      </c>
      <c r="F68" s="8">
        <v>15</v>
      </c>
      <c r="G68" s="9">
        <f t="shared" si="7"/>
        <v>4.166666666666667</v>
      </c>
      <c r="H68" s="9">
        <f t="shared" si="8"/>
        <v>3.1691947665142135</v>
      </c>
      <c r="I68" s="9">
        <f t="shared" si="21"/>
        <v>133.88567665467434</v>
      </c>
      <c r="J68" s="9">
        <f t="shared" si="22"/>
        <v>-2.1912330910739686E-2</v>
      </c>
      <c r="K68" s="9">
        <f t="shared" si="26"/>
        <v>-13.577756725530739</v>
      </c>
      <c r="L68" s="9">
        <f t="shared" si="9"/>
        <v>8.6203125000000007</v>
      </c>
      <c r="M68" s="9">
        <f t="shared" si="27"/>
        <v>92.699693100000005</v>
      </c>
      <c r="N68" s="9">
        <f t="shared" si="28"/>
        <v>5.3788194444444448</v>
      </c>
      <c r="O68" s="9">
        <f t="shared" si="33"/>
        <v>1.9091348477525374E-2</v>
      </c>
      <c r="P68" s="9">
        <f t="shared" si="11"/>
        <v>1.9089029515698654E-2</v>
      </c>
      <c r="Q68" s="9">
        <f t="shared" si="12"/>
        <v>1.0937208262501907</v>
      </c>
      <c r="R68" s="9">
        <f t="shared" si="29"/>
        <v>5399.9340166100437</v>
      </c>
      <c r="S68" s="8">
        <f t="shared" si="30"/>
        <v>364.72010399999999</v>
      </c>
      <c r="T68" s="9">
        <f t="shared" si="13"/>
        <v>5.7596966763845128</v>
      </c>
      <c r="U68" s="9">
        <f t="shared" si="14"/>
        <v>23.998736151602138</v>
      </c>
      <c r="V68" s="9">
        <f t="shared" si="15"/>
        <v>6.2</v>
      </c>
      <c r="W68" s="9">
        <f t="shared" si="16"/>
        <v>17.798736151602139</v>
      </c>
      <c r="X68" s="29">
        <f t="shared" si="17"/>
        <v>0</v>
      </c>
      <c r="Y68" s="29">
        <f t="shared" si="23"/>
        <v>0</v>
      </c>
      <c r="Z68" s="30">
        <f t="shared" si="18"/>
        <v>23.998736151602138</v>
      </c>
      <c r="AA68" s="30">
        <f t="shared" si="24"/>
        <v>2246.0797331272529</v>
      </c>
      <c r="AB68" s="31">
        <v>3000</v>
      </c>
      <c r="AC68" s="8">
        <v>394</v>
      </c>
      <c r="AD68" s="9">
        <f t="shared" si="31"/>
        <v>3.2142105263157896</v>
      </c>
      <c r="AE68" s="30">
        <f t="shared" si="19"/>
        <v>8.9283625730994152E-4</v>
      </c>
      <c r="AF68" s="30">
        <f t="shared" si="25"/>
        <v>5.0461111111111054E-2</v>
      </c>
      <c r="AG68" s="30">
        <f t="shared" si="20"/>
        <v>70.084876543209802</v>
      </c>
      <c r="AH68" s="1"/>
      <c r="AI68" s="1"/>
      <c r="AK68" s="1"/>
      <c r="AL68" s="19"/>
      <c r="AM68" s="19"/>
      <c r="AP68" s="19"/>
    </row>
    <row r="69" spans="1:42" x14ac:dyDescent="0.25">
      <c r="A69" s="4">
        <v>53.308149999999998</v>
      </c>
      <c r="B69" s="4">
        <v>-6.5729999999999997E-2</v>
      </c>
      <c r="C69" s="4">
        <v>133</v>
      </c>
      <c r="D69" s="5">
        <f t="shared" si="32"/>
        <v>811.88607594936832</v>
      </c>
      <c r="E69" s="4">
        <v>15.5</v>
      </c>
      <c r="F69" s="4">
        <v>14.75</v>
      </c>
      <c r="G69" s="5">
        <f t="shared" si="7"/>
        <v>4.0972222222222223</v>
      </c>
      <c r="H69" s="5">
        <f t="shared" si="8"/>
        <v>3.2233690360272775</v>
      </c>
      <c r="I69" s="5">
        <f t="shared" si="21"/>
        <v>137.10904569070161</v>
      </c>
      <c r="J69" s="5">
        <f t="shared" si="22"/>
        <v>-2.1544056441651954E-2</v>
      </c>
      <c r="K69" s="5">
        <f t="shared" si="26"/>
        <v>-13.349559133505217</v>
      </c>
      <c r="L69" s="5">
        <f t="shared" si="9"/>
        <v>8.3353632812500003</v>
      </c>
      <c r="M69" s="5">
        <f t="shared" si="27"/>
        <v>94.219360200000011</v>
      </c>
      <c r="N69" s="5">
        <f t="shared" si="28"/>
        <v>5.2010195794753082</v>
      </c>
      <c r="O69" s="5">
        <f t="shared" si="33"/>
        <v>1.9091348477525374E-2</v>
      </c>
      <c r="P69" s="5">
        <f t="shared" si="11"/>
        <v>1.9089029515698654E-2</v>
      </c>
      <c r="Q69" s="5">
        <f t="shared" si="12"/>
        <v>1.0937208262501907</v>
      </c>
      <c r="R69" s="5">
        <f t="shared" si="29"/>
        <v>5399.9340166100437</v>
      </c>
      <c r="S69" s="4">
        <f t="shared" ref="S69:S100" si="34" xml:space="preserve"> ($Q$3*($L$2*$G$2))</f>
        <v>486.29347200000007</v>
      </c>
      <c r="T69" s="5">
        <f t="shared" si="13"/>
        <v>5.8812132927577885</v>
      </c>
      <c r="U69" s="5">
        <f t="shared" si="14"/>
        <v>24.096637796715939</v>
      </c>
      <c r="V69" s="5">
        <f t="shared" si="15"/>
        <v>6.2</v>
      </c>
      <c r="W69" s="5">
        <f t="shared" si="16"/>
        <v>17.89663779671594</v>
      </c>
      <c r="X69" s="26">
        <f t="shared" si="17"/>
        <v>0</v>
      </c>
      <c r="Y69" s="26">
        <f t="shared" si="23"/>
        <v>0</v>
      </c>
      <c r="Z69" s="27">
        <f t="shared" si="18"/>
        <v>24.096637796715939</v>
      </c>
      <c r="AA69" s="27">
        <f t="shared" si="24"/>
        <v>2270.176370923969</v>
      </c>
      <c r="AB69" s="28">
        <v>3000</v>
      </c>
      <c r="AC69" s="4">
        <v>394</v>
      </c>
      <c r="AD69" s="5">
        <f t="shared" si="31"/>
        <v>3.2142105263157896</v>
      </c>
      <c r="AE69" s="27">
        <f t="shared" si="19"/>
        <v>8.9283625730994152E-4</v>
      </c>
      <c r="AF69" s="27">
        <f t="shared" si="25"/>
        <v>5.1353947368420992E-2</v>
      </c>
      <c r="AG69" s="27">
        <f t="shared" si="20"/>
        <v>71.324926900584714</v>
      </c>
      <c r="AH69" s="1"/>
      <c r="AI69" s="1"/>
      <c r="AK69" s="1"/>
      <c r="AL69" s="19"/>
      <c r="AM69" s="19"/>
      <c r="AP69" s="19"/>
    </row>
    <row r="70" spans="1:42" x14ac:dyDescent="0.25">
      <c r="A70" s="4">
        <v>53.307960000000001</v>
      </c>
      <c r="B70" s="4">
        <v>-6.5839999999999996E-2</v>
      </c>
      <c r="C70" s="4">
        <v>133</v>
      </c>
      <c r="D70" s="5">
        <f t="shared" si="32"/>
        <v>824.98101265822913</v>
      </c>
      <c r="E70" s="4">
        <v>15.75</v>
      </c>
      <c r="F70" s="4">
        <v>14.5</v>
      </c>
      <c r="G70" s="5">
        <f t="shared" si="7"/>
        <v>4.0277777777777777</v>
      </c>
      <c r="H70" s="5">
        <f t="shared" si="8"/>
        <v>3.2794276279581869</v>
      </c>
      <c r="I70" s="5">
        <f t="shared" si="21"/>
        <v>140.38847331865981</v>
      </c>
      <c r="J70" s="5">
        <f t="shared" si="22"/>
        <v>-2.1175781972563722E-2</v>
      </c>
      <c r="K70" s="5">
        <f t="shared" si="26"/>
        <v>-13.121361541479384</v>
      </c>
      <c r="L70" s="5">
        <f t="shared" si="9"/>
        <v>8.0552031250000002</v>
      </c>
      <c r="M70" s="5">
        <f t="shared" si="27"/>
        <v>95.739027300000004</v>
      </c>
      <c r="N70" s="5">
        <f t="shared" si="28"/>
        <v>5.0262079475308639</v>
      </c>
      <c r="O70" s="5">
        <f t="shared" si="33"/>
        <v>1.9091348477525374E-2</v>
      </c>
      <c r="P70" s="5">
        <f t="shared" si="11"/>
        <v>1.9089029515698654E-2</v>
      </c>
      <c r="Q70" s="5">
        <f t="shared" si="12"/>
        <v>1.0937208262501907</v>
      </c>
      <c r="R70" s="5">
        <f t="shared" si="29"/>
        <v>5399.9340166100437</v>
      </c>
      <c r="S70" s="4">
        <f t="shared" si="34"/>
        <v>486.29347200000007</v>
      </c>
      <c r="T70" s="5">
        <f t="shared" si="13"/>
        <v>5.8811613301935646</v>
      </c>
      <c r="U70" s="5">
        <f t="shared" si="14"/>
        <v>23.688010913279633</v>
      </c>
      <c r="V70" s="5">
        <f t="shared" si="15"/>
        <v>6.2</v>
      </c>
      <c r="W70" s="5">
        <f t="shared" si="16"/>
        <v>17.488010913279634</v>
      </c>
      <c r="X70" s="26">
        <f t="shared" si="17"/>
        <v>0</v>
      </c>
      <c r="Y70" s="26">
        <f t="shared" si="23"/>
        <v>0</v>
      </c>
      <c r="Z70" s="27">
        <f t="shared" si="18"/>
        <v>23.688010913279633</v>
      </c>
      <c r="AA70" s="27">
        <f t="shared" si="24"/>
        <v>2293.8643818372484</v>
      </c>
      <c r="AB70" s="28">
        <v>3000</v>
      </c>
      <c r="AC70" s="4">
        <v>394</v>
      </c>
      <c r="AD70" s="5">
        <f t="shared" si="31"/>
        <v>3.2142105263157896</v>
      </c>
      <c r="AE70" s="27">
        <f t="shared" si="19"/>
        <v>8.9283625730994152E-4</v>
      </c>
      <c r="AF70" s="27">
        <f t="shared" si="25"/>
        <v>5.224678362573093E-2</v>
      </c>
      <c r="AG70" s="27">
        <f t="shared" si="20"/>
        <v>72.564977257959626</v>
      </c>
      <c r="AH70" s="1"/>
      <c r="AI70" s="1"/>
      <c r="AK70" s="1"/>
      <c r="AL70" s="19"/>
      <c r="AM70" s="19"/>
      <c r="AP70" s="19"/>
    </row>
    <row r="71" spans="1:42" x14ac:dyDescent="0.25">
      <c r="A71" s="4">
        <v>53.3078</v>
      </c>
      <c r="B71" s="4">
        <v>-6.5890000000000004E-2</v>
      </c>
      <c r="C71" s="4">
        <v>133</v>
      </c>
      <c r="D71" s="5">
        <f t="shared" si="32"/>
        <v>838.07594936708995</v>
      </c>
      <c r="E71" s="4">
        <v>16</v>
      </c>
      <c r="F71" s="4">
        <v>14.25</v>
      </c>
      <c r="G71" s="5">
        <f t="shared" si="7"/>
        <v>3.958333333333333</v>
      </c>
      <c r="H71" s="5">
        <f t="shared" si="8"/>
        <v>3.3374705948247034</v>
      </c>
      <c r="I71" s="5">
        <f t="shared" si="21"/>
        <v>143.72594391348451</v>
      </c>
      <c r="J71" s="5">
        <f t="shared" si="22"/>
        <v>-2.0807507503475705E-2</v>
      </c>
      <c r="K71" s="5">
        <f t="shared" ref="K71:K102" si="35">J71*$L$2</f>
        <v>-12.893163949453685</v>
      </c>
      <c r="L71" s="5">
        <f t="shared" si="9"/>
        <v>7.7798320312499989</v>
      </c>
      <c r="M71" s="5">
        <f t="shared" ref="M71:M102" si="36">($L$2*$G$2*E71)/1000</f>
        <v>97.25869440000001</v>
      </c>
      <c r="N71" s="5">
        <f t="shared" ref="N71:N102" si="37">(0.5*$L$2*(G71^2))/1000</f>
        <v>4.8543845486111108</v>
      </c>
      <c r="O71" s="5">
        <f t="shared" si="33"/>
        <v>1.9091348477525374E-2</v>
      </c>
      <c r="P71" s="5">
        <f t="shared" si="11"/>
        <v>1.9089029515698654E-2</v>
      </c>
      <c r="Q71" s="5">
        <f t="shared" si="12"/>
        <v>1.0937208262501907</v>
      </c>
      <c r="R71" s="5">
        <f t="shared" ref="R71:R102" si="38">($L$2*$G$2*SIN(Q71))</f>
        <v>5399.9340166100437</v>
      </c>
      <c r="S71" s="4">
        <f t="shared" si="34"/>
        <v>486.29347200000007</v>
      </c>
      <c r="T71" s="5">
        <f t="shared" si="13"/>
        <v>5.8811141566918401</v>
      </c>
      <c r="U71" s="5">
        <f t="shared" si="14"/>
        <v>23.279410203571864</v>
      </c>
      <c r="V71" s="5">
        <f t="shared" si="15"/>
        <v>6.2</v>
      </c>
      <c r="W71" s="5">
        <f t="shared" si="16"/>
        <v>17.079410203571864</v>
      </c>
      <c r="X71" s="26">
        <f t="shared" si="17"/>
        <v>0</v>
      </c>
      <c r="Y71" s="26">
        <f t="shared" si="23"/>
        <v>0</v>
      </c>
      <c r="Z71" s="27">
        <f t="shared" si="18"/>
        <v>23.279410203571864</v>
      </c>
      <c r="AA71" s="27">
        <f t="shared" si="24"/>
        <v>2317.1437920408202</v>
      </c>
      <c r="AB71" s="28">
        <v>3000</v>
      </c>
      <c r="AC71" s="4">
        <v>394</v>
      </c>
      <c r="AD71" s="5">
        <f t="shared" ref="AD71:AD102" si="39">IF(V71&lt;0,((V71=0)*AC71/760),V71*AC71/760)</f>
        <v>3.2142105263157896</v>
      </c>
      <c r="AE71" s="27">
        <f t="shared" si="19"/>
        <v>8.9283625730994152E-4</v>
      </c>
      <c r="AF71" s="27">
        <f t="shared" si="25"/>
        <v>5.3139619883040869E-2</v>
      </c>
      <c r="AG71" s="27">
        <f t="shared" si="20"/>
        <v>73.805027615334538</v>
      </c>
      <c r="AH71" s="1"/>
      <c r="AI71" s="1"/>
      <c r="AK71" s="1"/>
      <c r="AL71" s="19"/>
      <c r="AM71" s="19"/>
      <c r="AP71" s="19"/>
    </row>
    <row r="72" spans="1:42" x14ac:dyDescent="0.25">
      <c r="A72" s="4">
        <v>53.307650000000002</v>
      </c>
      <c r="B72" s="4">
        <v>-6.5839999999999996E-2</v>
      </c>
      <c r="C72" s="4">
        <v>132</v>
      </c>
      <c r="D72" s="5">
        <f t="shared" ref="D72:D103" si="40">D71+$A$2</f>
        <v>851.17088607595076</v>
      </c>
      <c r="E72" s="4">
        <v>16.25</v>
      </c>
      <c r="F72" s="4">
        <v>14</v>
      </c>
      <c r="G72" s="5">
        <f t="shared" ref="G72:G135" si="41">F72/3.6</f>
        <v>3.8888888888888888</v>
      </c>
      <c r="H72" s="5">
        <f t="shared" ref="H72:H135" si="42">(2*(D73-D72))/(G73+G72)</f>
        <v>3.39760520013686</v>
      </c>
      <c r="I72" s="5">
        <f t="shared" si="21"/>
        <v>147.12354911362138</v>
      </c>
      <c r="J72" s="5">
        <f t="shared" si="22"/>
        <v>-2.0439233034387504E-2</v>
      </c>
      <c r="K72" s="5">
        <f t="shared" si="35"/>
        <v>-12.664966357427874</v>
      </c>
      <c r="L72" s="5">
        <f t="shared" ref="L72:L135" si="43">0.5*1.226*(G72^2)*$D$2*$E$2</f>
        <v>7.5092499999999998</v>
      </c>
      <c r="M72" s="5">
        <f t="shared" si="36"/>
        <v>98.778361500000017</v>
      </c>
      <c r="N72" s="5">
        <f t="shared" si="37"/>
        <v>4.685549382716049</v>
      </c>
      <c r="O72" s="5">
        <f t="shared" ref="O72:O103" si="44">(E73-E72)/$A$2</f>
        <v>1.9091348477525374E-2</v>
      </c>
      <c r="P72" s="5">
        <f t="shared" ref="P72:P135" si="45">ATAN(O72)</f>
        <v>1.9089029515698654E-2</v>
      </c>
      <c r="Q72" s="5">
        <f t="shared" ref="Q72:Q135" si="46">P72*(180/PI())</f>
        <v>1.0937208262501907</v>
      </c>
      <c r="R72" s="5">
        <f t="shared" si="38"/>
        <v>5399.9340166100437</v>
      </c>
      <c r="S72" s="4">
        <f t="shared" si="34"/>
        <v>486.29347200000007</v>
      </c>
      <c r="T72" s="5">
        <f t="shared" ref="T72:T135" si="47">(S72+R72+L72+K72)/1000</f>
        <v>5.881071772252616</v>
      </c>
      <c r="U72" s="5">
        <f t="shared" ref="U72:U135" si="48">(T72*G72)</f>
        <v>22.870834669871286</v>
      </c>
      <c r="V72" s="5">
        <f t="shared" ref="V72:V122" si="49">IF(U72&gt;6.2,6.2,U72)</f>
        <v>6.2</v>
      </c>
      <c r="W72" s="5">
        <f t="shared" ref="W72:W122" si="50">U72-V72</f>
        <v>16.670834669871287</v>
      </c>
      <c r="X72" s="26">
        <f t="shared" ref="X72:X135" si="51">IF(U72&gt;0,0,U72)</f>
        <v>0</v>
      </c>
      <c r="Y72" s="26">
        <f t="shared" si="23"/>
        <v>0</v>
      </c>
      <c r="Z72" s="27">
        <f t="shared" ref="Z72:Z135" si="52">IF(U72&lt;0,0,U72)</f>
        <v>22.870834669871286</v>
      </c>
      <c r="AA72" s="27">
        <f t="shared" si="24"/>
        <v>2340.0146267106916</v>
      </c>
      <c r="AB72" s="28">
        <v>3000</v>
      </c>
      <c r="AC72" s="4">
        <v>394</v>
      </c>
      <c r="AD72" s="5">
        <f t="shared" si="39"/>
        <v>3.2142105263157896</v>
      </c>
      <c r="AE72" s="27">
        <f t="shared" ref="AE72:AE135" si="53">AD72/3600</f>
        <v>8.9283625730994152E-4</v>
      </c>
      <c r="AF72" s="27">
        <f t="shared" si="25"/>
        <v>5.4032456140350807E-2</v>
      </c>
      <c r="AG72" s="27">
        <f t="shared" ref="AG72:AG135" si="54">(AF72/0.72)*1000</f>
        <v>75.04507797270945</v>
      </c>
      <c r="AH72" s="1"/>
      <c r="AI72" s="1"/>
      <c r="AK72" s="1"/>
      <c r="AL72" s="19"/>
      <c r="AM72" s="19"/>
      <c r="AN72" s="19"/>
      <c r="AO72" s="19"/>
      <c r="AP72" s="19"/>
    </row>
    <row r="73" spans="1:42" x14ac:dyDescent="0.25">
      <c r="A73" s="4">
        <v>53.307499999999997</v>
      </c>
      <c r="B73" s="4">
        <v>-6.5680000000000002E-2</v>
      </c>
      <c r="C73" s="4">
        <v>129</v>
      </c>
      <c r="D73" s="5">
        <f t="shared" si="40"/>
        <v>864.26582278481158</v>
      </c>
      <c r="E73" s="4">
        <v>16.5</v>
      </c>
      <c r="F73" s="4">
        <v>13.75</v>
      </c>
      <c r="G73" s="5">
        <f t="shared" si="41"/>
        <v>3.8194444444444442</v>
      </c>
      <c r="H73" s="5">
        <f t="shared" si="42"/>
        <v>3.4599465799558846</v>
      </c>
      <c r="I73" s="5">
        <f t="shared" ref="I73:I136" si="55">I72+H73</f>
        <v>150.58349569357728</v>
      </c>
      <c r="J73" s="5">
        <f t="shared" ref="J73:J136" si="56">(G73-G72)/(I73-I72)</f>
        <v>-2.0070958565299533E-2</v>
      </c>
      <c r="K73" s="5">
        <f t="shared" si="35"/>
        <v>-12.436768765402203</v>
      </c>
      <c r="L73" s="5">
        <f t="shared" si="43"/>
        <v>7.2434570312499993</v>
      </c>
      <c r="M73" s="5">
        <f t="shared" si="36"/>
        <v>100.29802860000001</v>
      </c>
      <c r="N73" s="5">
        <f t="shared" si="37"/>
        <v>4.5197024498456786</v>
      </c>
      <c r="O73" s="5">
        <f t="shared" si="44"/>
        <v>1.9091348477525374E-2</v>
      </c>
      <c r="P73" s="5">
        <f t="shared" si="45"/>
        <v>1.9089029515698654E-2</v>
      </c>
      <c r="Q73" s="5">
        <f t="shared" si="46"/>
        <v>1.0937208262501907</v>
      </c>
      <c r="R73" s="5">
        <f t="shared" si="38"/>
        <v>5399.9340166100437</v>
      </c>
      <c r="S73" s="4">
        <f t="shared" si="34"/>
        <v>486.29347200000007</v>
      </c>
      <c r="T73" s="5">
        <f t="shared" si="47"/>
        <v>5.8810341768758914</v>
      </c>
      <c r="U73" s="5">
        <f t="shared" si="48"/>
        <v>22.462283314456528</v>
      </c>
      <c r="V73" s="5">
        <f t="shared" si="49"/>
        <v>6.2</v>
      </c>
      <c r="W73" s="5">
        <f t="shared" si="50"/>
        <v>16.262283314456528</v>
      </c>
      <c r="X73" s="26">
        <f t="shared" si="51"/>
        <v>0</v>
      </c>
      <c r="Y73" s="26">
        <f t="shared" ref="Y73:Y136" si="57">Y72+X73</f>
        <v>0</v>
      </c>
      <c r="Z73" s="27">
        <f t="shared" si="52"/>
        <v>22.462283314456528</v>
      </c>
      <c r="AA73" s="27">
        <f t="shared" ref="AA73:AA136" si="58">AA72+Z73</f>
        <v>2362.4769100251483</v>
      </c>
      <c r="AB73" s="28">
        <v>3000</v>
      </c>
      <c r="AC73" s="4">
        <v>394</v>
      </c>
      <c r="AD73" s="5">
        <f t="shared" si="39"/>
        <v>3.2142105263157896</v>
      </c>
      <c r="AE73" s="27">
        <f t="shared" si="53"/>
        <v>8.9283625730994152E-4</v>
      </c>
      <c r="AF73" s="27">
        <f t="shared" si="25"/>
        <v>5.4925292397660745E-2</v>
      </c>
      <c r="AG73" s="27">
        <f t="shared" si="54"/>
        <v>76.285128330084376</v>
      </c>
      <c r="AH73" s="1"/>
      <c r="AI73" s="1"/>
      <c r="AK73" s="1"/>
      <c r="AL73" s="19"/>
      <c r="AM73" s="19"/>
      <c r="AN73" s="19"/>
      <c r="AO73" s="19"/>
      <c r="AP73" s="19"/>
    </row>
    <row r="74" spans="1:42" x14ac:dyDescent="0.25">
      <c r="A74" s="4">
        <v>53.307369999999999</v>
      </c>
      <c r="B74" s="4">
        <v>-6.5519999999999995E-2</v>
      </c>
      <c r="C74" s="4">
        <v>128</v>
      </c>
      <c r="D74" s="5">
        <f t="shared" si="40"/>
        <v>877.36075949367239</v>
      </c>
      <c r="E74" s="4">
        <v>16.75</v>
      </c>
      <c r="F74" s="4">
        <v>13.5</v>
      </c>
      <c r="G74" s="5">
        <f t="shared" si="41"/>
        <v>3.75</v>
      </c>
      <c r="H74" s="5">
        <f t="shared" si="42"/>
        <v>3.5246184786466492</v>
      </c>
      <c r="I74" s="5">
        <f t="shared" si="55"/>
        <v>154.10811417222394</v>
      </c>
      <c r="J74" s="5">
        <f t="shared" si="56"/>
        <v>-1.970268409621136E-2</v>
      </c>
      <c r="K74" s="5">
        <f t="shared" si="35"/>
        <v>-12.208571173376408</v>
      </c>
      <c r="L74" s="5">
        <f t="shared" si="43"/>
        <v>6.982453125000001</v>
      </c>
      <c r="M74" s="5">
        <f t="shared" si="36"/>
        <v>101.81769570000002</v>
      </c>
      <c r="N74" s="5">
        <f t="shared" si="37"/>
        <v>4.3568437500000003</v>
      </c>
      <c r="O74" s="5">
        <f t="shared" si="44"/>
        <v>1.9091348477525374E-2</v>
      </c>
      <c r="P74" s="5">
        <f t="shared" si="45"/>
        <v>1.9089029515698654E-2</v>
      </c>
      <c r="Q74" s="5">
        <f t="shared" si="46"/>
        <v>1.0937208262501907</v>
      </c>
      <c r="R74" s="5">
        <f t="shared" si="38"/>
        <v>5399.9340166100437</v>
      </c>
      <c r="S74" s="4">
        <f t="shared" si="34"/>
        <v>486.29347200000007</v>
      </c>
      <c r="T74" s="5">
        <f t="shared" si="47"/>
        <v>5.8810013705616679</v>
      </c>
      <c r="U74" s="5">
        <f t="shared" si="48"/>
        <v>22.053755139606256</v>
      </c>
      <c r="V74" s="5">
        <f t="shared" si="49"/>
        <v>6.2</v>
      </c>
      <c r="W74" s="5">
        <f t="shared" si="50"/>
        <v>15.853755139606257</v>
      </c>
      <c r="X74" s="26">
        <f t="shared" si="51"/>
        <v>0</v>
      </c>
      <c r="Y74" s="26">
        <f t="shared" si="57"/>
        <v>0</v>
      </c>
      <c r="Z74" s="27">
        <f t="shared" si="52"/>
        <v>22.053755139606256</v>
      </c>
      <c r="AA74" s="27">
        <f t="shared" si="58"/>
        <v>2384.5306651647547</v>
      </c>
      <c r="AB74" s="28">
        <v>3000</v>
      </c>
      <c r="AC74" s="4">
        <v>394</v>
      </c>
      <c r="AD74" s="5">
        <f t="shared" si="39"/>
        <v>3.2142105263157896</v>
      </c>
      <c r="AE74" s="27">
        <f t="shared" si="53"/>
        <v>8.9283625730994152E-4</v>
      </c>
      <c r="AF74" s="27">
        <f t="shared" ref="AF74:AF137" si="59">AF73+AE74</f>
        <v>5.5818128654970683E-2</v>
      </c>
      <c r="AG74" s="27">
        <f t="shared" si="54"/>
        <v>77.525178687459288</v>
      </c>
      <c r="AH74" s="1"/>
      <c r="AI74" s="1"/>
      <c r="AK74" s="1"/>
      <c r="AL74" s="19"/>
      <c r="AM74" s="19"/>
      <c r="AN74" s="19"/>
      <c r="AO74" s="19"/>
      <c r="AP74" s="19"/>
    </row>
    <row r="75" spans="1:42" x14ac:dyDescent="0.25">
      <c r="A75" s="4">
        <v>53.307200000000002</v>
      </c>
      <c r="B75" s="4">
        <v>-6.5360000000000001E-2</v>
      </c>
      <c r="C75" s="4">
        <v>126</v>
      </c>
      <c r="D75" s="5">
        <f t="shared" si="40"/>
        <v>890.4556962025332</v>
      </c>
      <c r="E75" s="4">
        <v>17</v>
      </c>
      <c r="F75" s="4">
        <v>13.25</v>
      </c>
      <c r="G75" s="5">
        <f t="shared" si="41"/>
        <v>3.6805555555555554</v>
      </c>
      <c r="H75" s="5">
        <f t="shared" si="42"/>
        <v>3.5917540687161091</v>
      </c>
      <c r="I75" s="5">
        <f t="shared" si="55"/>
        <v>157.69986824094005</v>
      </c>
      <c r="J75" s="5">
        <f t="shared" si="56"/>
        <v>-1.9334409627123447E-2</v>
      </c>
      <c r="K75" s="5">
        <f t="shared" si="35"/>
        <v>-11.980373581350772</v>
      </c>
      <c r="L75" s="5">
        <f t="shared" si="43"/>
        <v>6.7262382812499988</v>
      </c>
      <c r="M75" s="5">
        <f t="shared" si="36"/>
        <v>103.33736280000001</v>
      </c>
      <c r="N75" s="5">
        <f t="shared" si="37"/>
        <v>4.1969732831790116</v>
      </c>
      <c r="O75" s="5">
        <f t="shared" si="44"/>
        <v>1.9091348477525374E-2</v>
      </c>
      <c r="P75" s="5">
        <f t="shared" si="45"/>
        <v>1.9089029515698654E-2</v>
      </c>
      <c r="Q75" s="5">
        <f t="shared" si="46"/>
        <v>1.0937208262501907</v>
      </c>
      <c r="R75" s="5">
        <f t="shared" si="38"/>
        <v>5399.9340166100437</v>
      </c>
      <c r="S75" s="4">
        <f t="shared" si="34"/>
        <v>486.29347200000007</v>
      </c>
      <c r="T75" s="5">
        <f t="shared" si="47"/>
        <v>5.8809733533099422</v>
      </c>
      <c r="U75" s="5">
        <f t="shared" si="48"/>
        <v>21.645249147599092</v>
      </c>
      <c r="V75" s="5">
        <f t="shared" si="49"/>
        <v>6.2</v>
      </c>
      <c r="W75" s="5">
        <f t="shared" si="50"/>
        <v>15.445249147599093</v>
      </c>
      <c r="X75" s="26">
        <f t="shared" si="51"/>
        <v>0</v>
      </c>
      <c r="Y75" s="26">
        <f t="shared" si="57"/>
        <v>0</v>
      </c>
      <c r="Z75" s="27">
        <f t="shared" si="52"/>
        <v>21.645249147599092</v>
      </c>
      <c r="AA75" s="27">
        <f t="shared" si="58"/>
        <v>2406.1759143123541</v>
      </c>
      <c r="AB75" s="28">
        <v>3000</v>
      </c>
      <c r="AC75" s="4">
        <v>394</v>
      </c>
      <c r="AD75" s="5">
        <f t="shared" si="39"/>
        <v>3.2142105263157896</v>
      </c>
      <c r="AE75" s="27">
        <f t="shared" si="53"/>
        <v>8.9283625730994152E-4</v>
      </c>
      <c r="AF75" s="27">
        <f t="shared" si="59"/>
        <v>5.6710964912280622E-2</v>
      </c>
      <c r="AG75" s="27">
        <f t="shared" si="54"/>
        <v>78.7652290448342</v>
      </c>
      <c r="AH75" s="1"/>
      <c r="AI75" s="1"/>
      <c r="AK75" s="1"/>
      <c r="AL75" s="19"/>
      <c r="AM75" s="19"/>
      <c r="AN75" s="19"/>
      <c r="AO75" s="19"/>
      <c r="AP75" s="19"/>
    </row>
    <row r="76" spans="1:42" x14ac:dyDescent="0.25">
      <c r="A76" s="4">
        <v>53.307070000000003</v>
      </c>
      <c r="B76" s="4">
        <v>-6.5170000000000006E-2</v>
      </c>
      <c r="C76" s="4">
        <v>124</v>
      </c>
      <c r="D76" s="5">
        <f t="shared" si="40"/>
        <v>903.55063291139402</v>
      </c>
      <c r="E76" s="4">
        <v>17.25</v>
      </c>
      <c r="F76" s="4">
        <v>13</v>
      </c>
      <c r="G76" s="5">
        <f t="shared" si="41"/>
        <v>3.6111111111111112</v>
      </c>
      <c r="H76" s="5">
        <f t="shared" si="42"/>
        <v>3.6614968661669072</v>
      </c>
      <c r="I76" s="5">
        <f t="shared" si="55"/>
        <v>161.36136510710696</v>
      </c>
      <c r="J76" s="5">
        <f t="shared" si="56"/>
        <v>-1.896613515803525E-2</v>
      </c>
      <c r="K76" s="5">
        <f t="shared" si="35"/>
        <v>-11.752175989324963</v>
      </c>
      <c r="L76" s="5">
        <f t="shared" si="43"/>
        <v>6.4748125000000005</v>
      </c>
      <c r="M76" s="5">
        <f t="shared" si="36"/>
        <v>104.85702990000001</v>
      </c>
      <c r="N76" s="5">
        <f t="shared" si="37"/>
        <v>4.040091049382716</v>
      </c>
      <c r="O76" s="5">
        <f t="shared" si="44"/>
        <v>1.9091348477525374E-2</v>
      </c>
      <c r="P76" s="5">
        <f t="shared" si="45"/>
        <v>1.9089029515698654E-2</v>
      </c>
      <c r="Q76" s="5">
        <f t="shared" si="46"/>
        <v>1.0937208262501907</v>
      </c>
      <c r="R76" s="5">
        <f t="shared" si="38"/>
        <v>5399.9340166100437</v>
      </c>
      <c r="S76" s="4">
        <f t="shared" si="34"/>
        <v>486.29347200000007</v>
      </c>
      <c r="T76" s="5">
        <f t="shared" si="47"/>
        <v>5.8809501251207186</v>
      </c>
      <c r="U76" s="5">
        <f t="shared" si="48"/>
        <v>21.236764340713705</v>
      </c>
      <c r="V76" s="5">
        <f t="shared" si="49"/>
        <v>6.2</v>
      </c>
      <c r="W76" s="5">
        <f t="shared" si="50"/>
        <v>15.036764340713706</v>
      </c>
      <c r="X76" s="26">
        <f t="shared" si="51"/>
        <v>0</v>
      </c>
      <c r="Y76" s="26">
        <f t="shared" si="57"/>
        <v>0</v>
      </c>
      <c r="Z76" s="27">
        <f t="shared" si="52"/>
        <v>21.236764340713705</v>
      </c>
      <c r="AA76" s="27">
        <f t="shared" si="58"/>
        <v>2427.4126786530678</v>
      </c>
      <c r="AB76" s="28">
        <v>3000</v>
      </c>
      <c r="AC76" s="4">
        <v>394</v>
      </c>
      <c r="AD76" s="5">
        <f t="shared" si="39"/>
        <v>3.2142105263157896</v>
      </c>
      <c r="AE76" s="27">
        <f t="shared" si="53"/>
        <v>8.9283625730994152E-4</v>
      </c>
      <c r="AF76" s="27">
        <f t="shared" si="59"/>
        <v>5.760380116959056E-2</v>
      </c>
      <c r="AG76" s="27">
        <f t="shared" si="54"/>
        <v>80.005279402209112</v>
      </c>
      <c r="AH76" s="1"/>
      <c r="AI76" s="1"/>
      <c r="AK76" s="1"/>
      <c r="AL76" s="19"/>
      <c r="AM76" s="19"/>
      <c r="AN76" s="19"/>
      <c r="AO76" s="19"/>
      <c r="AP76" s="19"/>
    </row>
    <row r="77" spans="1:42" x14ac:dyDescent="0.25">
      <c r="A77" s="4">
        <v>53.306899999999999</v>
      </c>
      <c r="B77" s="4">
        <v>-6.497E-2</v>
      </c>
      <c r="C77" s="4">
        <v>122</v>
      </c>
      <c r="D77" s="5">
        <f t="shared" si="40"/>
        <v>916.64556962025483</v>
      </c>
      <c r="E77" s="4">
        <v>17.5</v>
      </c>
      <c r="F77" s="4">
        <v>12.75</v>
      </c>
      <c r="G77" s="5">
        <f t="shared" si="41"/>
        <v>3.5416666666666665</v>
      </c>
      <c r="H77" s="5">
        <f t="shared" si="42"/>
        <v>3.7340017546058557</v>
      </c>
      <c r="I77" s="5">
        <f t="shared" si="55"/>
        <v>165.09536686171282</v>
      </c>
      <c r="J77" s="5">
        <f t="shared" si="56"/>
        <v>-1.8597860688947341E-2</v>
      </c>
      <c r="K77" s="5">
        <f t="shared" si="35"/>
        <v>-11.523978397299331</v>
      </c>
      <c r="L77" s="5">
        <f t="shared" si="43"/>
        <v>6.2281757812499992</v>
      </c>
      <c r="M77" s="5">
        <f t="shared" si="36"/>
        <v>106.37669700000002</v>
      </c>
      <c r="N77" s="5">
        <f t="shared" si="37"/>
        <v>3.8861970486111108</v>
      </c>
      <c r="O77" s="5">
        <f t="shared" si="44"/>
        <v>1.9091348477525374E-2</v>
      </c>
      <c r="P77" s="5">
        <f t="shared" si="45"/>
        <v>1.9089029515698654E-2</v>
      </c>
      <c r="Q77" s="5">
        <f t="shared" si="46"/>
        <v>1.0937208262501907</v>
      </c>
      <c r="R77" s="5">
        <f t="shared" si="38"/>
        <v>5399.9340166100437</v>
      </c>
      <c r="S77" s="4">
        <f t="shared" si="34"/>
        <v>486.29347200000007</v>
      </c>
      <c r="T77" s="5">
        <f t="shared" si="47"/>
        <v>5.8809316859939944</v>
      </c>
      <c r="U77" s="5">
        <f t="shared" si="48"/>
        <v>20.828299721228728</v>
      </c>
      <c r="V77" s="5">
        <f t="shared" si="49"/>
        <v>6.2</v>
      </c>
      <c r="W77" s="5">
        <f t="shared" si="50"/>
        <v>14.628299721228728</v>
      </c>
      <c r="X77" s="26">
        <f t="shared" si="51"/>
        <v>0</v>
      </c>
      <c r="Y77" s="26">
        <f t="shared" si="57"/>
        <v>0</v>
      </c>
      <c r="Z77" s="27">
        <f t="shared" si="52"/>
        <v>20.828299721228728</v>
      </c>
      <c r="AA77" s="27">
        <f t="shared" si="58"/>
        <v>2448.2409783742964</v>
      </c>
      <c r="AB77" s="28">
        <v>3000</v>
      </c>
      <c r="AC77" s="4">
        <v>394</v>
      </c>
      <c r="AD77" s="5">
        <f t="shared" si="39"/>
        <v>3.2142105263157896</v>
      </c>
      <c r="AE77" s="27">
        <f t="shared" si="53"/>
        <v>8.9283625730994152E-4</v>
      </c>
      <c r="AF77" s="27">
        <f t="shared" si="59"/>
        <v>5.8496637426900498E-2</v>
      </c>
      <c r="AG77" s="27">
        <f t="shared" si="54"/>
        <v>81.245329759584024</v>
      </c>
      <c r="AH77" s="1"/>
      <c r="AI77" s="1"/>
      <c r="AK77" s="1"/>
      <c r="AL77" s="19"/>
      <c r="AM77" s="19"/>
      <c r="AN77" s="19"/>
      <c r="AO77" s="19"/>
      <c r="AP77" s="19"/>
    </row>
    <row r="78" spans="1:42" x14ac:dyDescent="0.25">
      <c r="A78" s="4">
        <v>53.306739999999998</v>
      </c>
      <c r="B78" s="4">
        <v>-6.4769999999999994E-2</v>
      </c>
      <c r="C78" s="4">
        <v>121</v>
      </c>
      <c r="D78" s="5">
        <f t="shared" si="40"/>
        <v>929.74050632911565</v>
      </c>
      <c r="E78" s="4">
        <v>17.75</v>
      </c>
      <c r="F78" s="4">
        <v>12.5</v>
      </c>
      <c r="G78" s="5">
        <f t="shared" si="41"/>
        <v>3.4722222222222223</v>
      </c>
      <c r="H78" s="5">
        <f t="shared" si="42"/>
        <v>3.8094361334867823</v>
      </c>
      <c r="I78" s="5">
        <f t="shared" si="55"/>
        <v>168.90480299519959</v>
      </c>
      <c r="J78" s="5">
        <f t="shared" si="56"/>
        <v>-1.8229586219859217E-2</v>
      </c>
      <c r="K78" s="5">
        <f t="shared" si="35"/>
        <v>-11.295780805273564</v>
      </c>
      <c r="L78" s="5">
        <f t="shared" si="43"/>
        <v>5.9863281250000009</v>
      </c>
      <c r="M78" s="5">
        <f t="shared" si="36"/>
        <v>107.8963641</v>
      </c>
      <c r="N78" s="5">
        <f t="shared" si="37"/>
        <v>3.7352912808641978</v>
      </c>
      <c r="O78" s="5">
        <f t="shared" si="44"/>
        <v>1.9091348477525374E-2</v>
      </c>
      <c r="P78" s="5">
        <f t="shared" si="45"/>
        <v>1.9089029515698654E-2</v>
      </c>
      <c r="Q78" s="5">
        <f t="shared" si="46"/>
        <v>1.0937208262501907</v>
      </c>
      <c r="R78" s="5">
        <f t="shared" si="38"/>
        <v>5399.9340166100437</v>
      </c>
      <c r="S78" s="4">
        <f t="shared" si="34"/>
        <v>486.29347200000007</v>
      </c>
      <c r="T78" s="5">
        <f t="shared" si="47"/>
        <v>5.8809180359297706</v>
      </c>
      <c r="U78" s="5">
        <f t="shared" si="48"/>
        <v>20.419854291422816</v>
      </c>
      <c r="V78" s="5">
        <f t="shared" si="49"/>
        <v>6.2</v>
      </c>
      <c r="W78" s="5">
        <f t="shared" si="50"/>
        <v>14.219854291422816</v>
      </c>
      <c r="X78" s="26">
        <f t="shared" si="51"/>
        <v>0</v>
      </c>
      <c r="Y78" s="26">
        <f t="shared" si="57"/>
        <v>0</v>
      </c>
      <c r="Z78" s="27">
        <f t="shared" si="52"/>
        <v>20.419854291422816</v>
      </c>
      <c r="AA78" s="27">
        <f t="shared" si="58"/>
        <v>2468.6608326657192</v>
      </c>
      <c r="AB78" s="28">
        <v>3000</v>
      </c>
      <c r="AC78" s="4">
        <v>394</v>
      </c>
      <c r="AD78" s="5">
        <f t="shared" si="39"/>
        <v>3.2142105263157896</v>
      </c>
      <c r="AE78" s="27">
        <f t="shared" si="53"/>
        <v>8.9283625730994152E-4</v>
      </c>
      <c r="AF78" s="27">
        <f t="shared" si="59"/>
        <v>5.9389473684210436E-2</v>
      </c>
      <c r="AG78" s="27">
        <f t="shared" si="54"/>
        <v>82.485380116958936</v>
      </c>
      <c r="AH78" s="1"/>
      <c r="AI78" s="1"/>
      <c r="AK78" s="1"/>
      <c r="AL78" s="19"/>
      <c r="AM78" s="19"/>
      <c r="AN78" s="19"/>
      <c r="AO78" s="19"/>
      <c r="AP78" s="19"/>
    </row>
    <row r="79" spans="1:42" x14ac:dyDescent="0.25">
      <c r="A79" s="4">
        <v>53.306629999999998</v>
      </c>
      <c r="B79" s="4">
        <v>-6.4619999999999997E-2</v>
      </c>
      <c r="C79" s="4">
        <v>120</v>
      </c>
      <c r="D79" s="5">
        <f t="shared" si="40"/>
        <v>942.83544303797646</v>
      </c>
      <c r="E79" s="4">
        <v>18</v>
      </c>
      <c r="F79" s="4">
        <v>12.25</v>
      </c>
      <c r="G79" s="5">
        <f t="shared" si="41"/>
        <v>3.4027777777777777</v>
      </c>
      <c r="H79" s="5">
        <f t="shared" si="42"/>
        <v>3.8879812084040357</v>
      </c>
      <c r="I79" s="5">
        <f t="shared" si="55"/>
        <v>172.79278420360362</v>
      </c>
      <c r="J79" s="5">
        <f t="shared" si="56"/>
        <v>-1.7861311750771242E-2</v>
      </c>
      <c r="K79" s="5">
        <f t="shared" si="35"/>
        <v>-11.067583213247891</v>
      </c>
      <c r="L79" s="5">
        <f t="shared" si="43"/>
        <v>5.7492695312499995</v>
      </c>
      <c r="M79" s="5">
        <f t="shared" si="36"/>
        <v>109.41603120000001</v>
      </c>
      <c r="N79" s="5">
        <f t="shared" si="37"/>
        <v>3.5873737461419752</v>
      </c>
      <c r="O79" s="5">
        <f t="shared" si="44"/>
        <v>1.9091348477525374E-2</v>
      </c>
      <c r="P79" s="5">
        <f t="shared" si="45"/>
        <v>1.9089029515698654E-2</v>
      </c>
      <c r="Q79" s="5">
        <f t="shared" si="46"/>
        <v>1.0937208262501907</v>
      </c>
      <c r="R79" s="5">
        <f t="shared" si="38"/>
        <v>5399.9340166100437</v>
      </c>
      <c r="S79" s="4">
        <f t="shared" si="34"/>
        <v>486.29347200000007</v>
      </c>
      <c r="T79" s="5">
        <f t="shared" si="47"/>
        <v>5.8809091749280462</v>
      </c>
      <c r="U79" s="5">
        <f t="shared" si="48"/>
        <v>20.0114270535746</v>
      </c>
      <c r="V79" s="5">
        <f t="shared" si="49"/>
        <v>6.2</v>
      </c>
      <c r="W79" s="5">
        <f t="shared" si="50"/>
        <v>13.811427053574601</v>
      </c>
      <c r="X79" s="26">
        <f t="shared" si="51"/>
        <v>0</v>
      </c>
      <c r="Y79" s="26">
        <f t="shared" si="57"/>
        <v>0</v>
      </c>
      <c r="Z79" s="27">
        <f t="shared" si="52"/>
        <v>20.0114270535746</v>
      </c>
      <c r="AA79" s="27">
        <f t="shared" si="58"/>
        <v>2488.6722597192938</v>
      </c>
      <c r="AB79" s="28">
        <v>3000</v>
      </c>
      <c r="AC79" s="4">
        <v>394</v>
      </c>
      <c r="AD79" s="5">
        <f t="shared" si="39"/>
        <v>3.2142105263157896</v>
      </c>
      <c r="AE79" s="27">
        <f t="shared" si="53"/>
        <v>8.9283625730994152E-4</v>
      </c>
      <c r="AF79" s="27">
        <f t="shared" si="59"/>
        <v>6.0282309941520375E-2</v>
      </c>
      <c r="AG79" s="27">
        <f t="shared" si="54"/>
        <v>83.725430474333848</v>
      </c>
      <c r="AH79" s="1"/>
      <c r="AI79" s="1"/>
      <c r="AK79" s="1"/>
      <c r="AL79" s="19"/>
      <c r="AM79" s="19"/>
      <c r="AN79" s="19"/>
      <c r="AO79" s="19"/>
      <c r="AP79" s="19"/>
    </row>
    <row r="80" spans="1:42" x14ac:dyDescent="0.25">
      <c r="A80" s="4">
        <v>53.306489999999997</v>
      </c>
      <c r="B80" s="4">
        <v>-6.4460000000000003E-2</v>
      </c>
      <c r="C80" s="4">
        <v>120</v>
      </c>
      <c r="D80" s="5">
        <f t="shared" si="40"/>
        <v>955.93037974683727</v>
      </c>
      <c r="E80" s="4">
        <v>18.25</v>
      </c>
      <c r="F80" s="4">
        <v>12</v>
      </c>
      <c r="G80" s="5">
        <f t="shared" si="41"/>
        <v>3.333333333333333</v>
      </c>
      <c r="H80" s="5">
        <f t="shared" si="42"/>
        <v>3.9698334443704368</v>
      </c>
      <c r="I80" s="5">
        <f t="shared" si="55"/>
        <v>176.76261764797405</v>
      </c>
      <c r="J80" s="5">
        <f t="shared" si="56"/>
        <v>-1.7493037281683138E-2</v>
      </c>
      <c r="K80" s="5">
        <f t="shared" si="35"/>
        <v>-10.839385621222139</v>
      </c>
      <c r="L80" s="5">
        <f t="shared" si="43"/>
        <v>5.5169999999999995</v>
      </c>
      <c r="M80" s="5">
        <f t="shared" si="36"/>
        <v>110.9356983</v>
      </c>
      <c r="N80" s="5">
        <f t="shared" si="37"/>
        <v>3.442444444444444</v>
      </c>
      <c r="O80" s="5">
        <f t="shared" si="44"/>
        <v>1.9091348477525374E-2</v>
      </c>
      <c r="P80" s="5">
        <f t="shared" si="45"/>
        <v>1.9089029515698654E-2</v>
      </c>
      <c r="Q80" s="5">
        <f t="shared" si="46"/>
        <v>1.0937208262501907</v>
      </c>
      <c r="R80" s="5">
        <f t="shared" si="38"/>
        <v>5399.9340166100437</v>
      </c>
      <c r="S80" s="4">
        <f t="shared" si="34"/>
        <v>486.29347200000007</v>
      </c>
      <c r="T80" s="5">
        <f t="shared" si="47"/>
        <v>5.8809051029888213</v>
      </c>
      <c r="U80" s="5">
        <f t="shared" si="48"/>
        <v>19.603017009962738</v>
      </c>
      <c r="V80" s="5">
        <f t="shared" si="49"/>
        <v>6.2</v>
      </c>
      <c r="W80" s="5">
        <f t="shared" si="50"/>
        <v>13.403017009962738</v>
      </c>
      <c r="X80" s="26">
        <f t="shared" si="51"/>
        <v>0</v>
      </c>
      <c r="Y80" s="26">
        <f t="shared" si="57"/>
        <v>0</v>
      </c>
      <c r="Z80" s="27">
        <f t="shared" si="52"/>
        <v>19.603017009962738</v>
      </c>
      <c r="AA80" s="27">
        <f t="shared" si="58"/>
        <v>2508.2752767292563</v>
      </c>
      <c r="AB80" s="28">
        <v>3000</v>
      </c>
      <c r="AC80" s="4">
        <v>394</v>
      </c>
      <c r="AD80" s="5">
        <f t="shared" si="39"/>
        <v>3.2142105263157896</v>
      </c>
      <c r="AE80" s="27">
        <f t="shared" si="53"/>
        <v>8.9283625730994152E-4</v>
      </c>
      <c r="AF80" s="27">
        <f t="shared" si="59"/>
        <v>6.1175146198830313E-2</v>
      </c>
      <c r="AG80" s="27">
        <f t="shared" si="54"/>
        <v>84.965480831708774</v>
      </c>
      <c r="AH80" s="1"/>
      <c r="AI80" s="1"/>
      <c r="AK80" s="1"/>
      <c r="AL80" s="19"/>
      <c r="AM80" s="1"/>
      <c r="AP80" s="19"/>
    </row>
    <row r="81" spans="1:42" x14ac:dyDescent="0.25">
      <c r="A81" s="4">
        <v>53.306379999999997</v>
      </c>
      <c r="B81" s="4">
        <v>-6.4259999999999998E-2</v>
      </c>
      <c r="C81" s="4">
        <v>120</v>
      </c>
      <c r="D81" s="5">
        <f t="shared" si="40"/>
        <v>969.02531645569809</v>
      </c>
      <c r="E81" s="4">
        <v>18.5</v>
      </c>
      <c r="F81" s="4">
        <v>11.75</v>
      </c>
      <c r="G81" s="5">
        <f t="shared" si="41"/>
        <v>3.2638888888888888</v>
      </c>
      <c r="H81" s="5">
        <f t="shared" si="42"/>
        <v>4.0552062066149617</v>
      </c>
      <c r="I81" s="5">
        <f t="shared" si="55"/>
        <v>180.81782385458902</v>
      </c>
      <c r="J81" s="5">
        <f t="shared" si="56"/>
        <v>-1.7124762812594937E-2</v>
      </c>
      <c r="K81" s="5">
        <f t="shared" si="35"/>
        <v>-10.611188029196327</v>
      </c>
      <c r="L81" s="5">
        <f t="shared" si="43"/>
        <v>5.2895195312499999</v>
      </c>
      <c r="M81" s="5">
        <f t="shared" si="36"/>
        <v>112.45536540000001</v>
      </c>
      <c r="N81" s="5">
        <f t="shared" si="37"/>
        <v>3.3005033757716045</v>
      </c>
      <c r="O81" s="5">
        <f t="shared" si="44"/>
        <v>1.9091348477525374E-2</v>
      </c>
      <c r="P81" s="5">
        <f t="shared" si="45"/>
        <v>1.9089029515698654E-2</v>
      </c>
      <c r="Q81" s="5">
        <f t="shared" si="46"/>
        <v>1.0937208262501907</v>
      </c>
      <c r="R81" s="5">
        <f t="shared" si="38"/>
        <v>5399.9340166100437</v>
      </c>
      <c r="S81" s="4">
        <f t="shared" si="34"/>
        <v>486.29347200000007</v>
      </c>
      <c r="T81" s="5">
        <f t="shared" si="47"/>
        <v>5.8809058201120976</v>
      </c>
      <c r="U81" s="5">
        <f t="shared" si="48"/>
        <v>19.194623162865874</v>
      </c>
      <c r="V81" s="5">
        <f t="shared" si="49"/>
        <v>6.2</v>
      </c>
      <c r="W81" s="5">
        <f t="shared" si="50"/>
        <v>12.994623162865874</v>
      </c>
      <c r="X81" s="26">
        <f t="shared" si="51"/>
        <v>0</v>
      </c>
      <c r="Y81" s="26">
        <f t="shared" si="57"/>
        <v>0</v>
      </c>
      <c r="Z81" s="27">
        <f t="shared" si="52"/>
        <v>19.194623162865874</v>
      </c>
      <c r="AA81" s="27">
        <f t="shared" si="58"/>
        <v>2527.4698998921222</v>
      </c>
      <c r="AB81" s="28">
        <v>3000</v>
      </c>
      <c r="AC81" s="4">
        <v>394</v>
      </c>
      <c r="AD81" s="5">
        <f t="shared" si="39"/>
        <v>3.2142105263157896</v>
      </c>
      <c r="AE81" s="27">
        <f t="shared" si="53"/>
        <v>8.9283625730994152E-4</v>
      </c>
      <c r="AF81" s="27">
        <f t="shared" si="59"/>
        <v>6.2067982456140251E-2</v>
      </c>
      <c r="AG81" s="27">
        <f t="shared" si="54"/>
        <v>86.205531189083686</v>
      </c>
      <c r="AH81" s="1"/>
      <c r="AI81" s="1"/>
      <c r="AK81" s="1"/>
      <c r="AL81" s="19"/>
      <c r="AM81" s="1"/>
    </row>
    <row r="82" spans="1:42" x14ac:dyDescent="0.25">
      <c r="A82" s="4">
        <v>53.3063</v>
      </c>
      <c r="B82" s="4">
        <v>-6.3930000000000001E-2</v>
      </c>
      <c r="C82" s="4">
        <v>120</v>
      </c>
      <c r="D82" s="5">
        <f t="shared" si="40"/>
        <v>982.1202531645589</v>
      </c>
      <c r="E82" s="4">
        <v>18.75</v>
      </c>
      <c r="F82" s="4">
        <v>11.5</v>
      </c>
      <c r="G82" s="5">
        <f t="shared" si="41"/>
        <v>3.1944444444444442</v>
      </c>
      <c r="H82" s="5">
        <f t="shared" si="42"/>
        <v>4.1443316177493568</v>
      </c>
      <c r="I82" s="5">
        <f t="shared" si="55"/>
        <v>184.96215547233837</v>
      </c>
      <c r="J82" s="5">
        <f t="shared" si="56"/>
        <v>-1.675648834350706E-2</v>
      </c>
      <c r="K82" s="5">
        <f t="shared" si="35"/>
        <v>-10.382990437170713</v>
      </c>
      <c r="L82" s="5">
        <f t="shared" si="43"/>
        <v>5.0668281249999998</v>
      </c>
      <c r="M82" s="5">
        <f t="shared" si="36"/>
        <v>113.97503250000001</v>
      </c>
      <c r="N82" s="5">
        <f t="shared" si="37"/>
        <v>3.1615505401234563</v>
      </c>
      <c r="O82" s="5">
        <f t="shared" si="44"/>
        <v>1.9091348477525374E-2</v>
      </c>
      <c r="P82" s="5">
        <f t="shared" si="45"/>
        <v>1.9089029515698654E-2</v>
      </c>
      <c r="Q82" s="5">
        <f t="shared" si="46"/>
        <v>1.0937208262501907</v>
      </c>
      <c r="R82" s="5">
        <f t="shared" si="38"/>
        <v>5399.9340166100437</v>
      </c>
      <c r="S82" s="4">
        <f t="shared" si="34"/>
        <v>486.29347200000007</v>
      </c>
      <c r="T82" s="5">
        <f t="shared" si="47"/>
        <v>5.8809113262978734</v>
      </c>
      <c r="U82" s="5">
        <f t="shared" si="48"/>
        <v>18.78624451456265</v>
      </c>
      <c r="V82" s="5">
        <f t="shared" si="49"/>
        <v>6.2</v>
      </c>
      <c r="W82" s="5">
        <f t="shared" si="50"/>
        <v>12.586244514562651</v>
      </c>
      <c r="X82" s="26">
        <f t="shared" si="51"/>
        <v>0</v>
      </c>
      <c r="Y82" s="26">
        <f t="shared" si="57"/>
        <v>0</v>
      </c>
      <c r="Z82" s="27">
        <f t="shared" si="52"/>
        <v>18.78624451456265</v>
      </c>
      <c r="AA82" s="27">
        <f t="shared" si="58"/>
        <v>2546.2561444066846</v>
      </c>
      <c r="AB82" s="28">
        <v>3000</v>
      </c>
      <c r="AC82" s="4">
        <v>394</v>
      </c>
      <c r="AD82" s="5">
        <f t="shared" si="39"/>
        <v>3.2142105263157896</v>
      </c>
      <c r="AE82" s="27">
        <f t="shared" si="53"/>
        <v>8.9283625730994152E-4</v>
      </c>
      <c r="AF82" s="27">
        <f t="shared" si="59"/>
        <v>6.296081871345019E-2</v>
      </c>
      <c r="AG82" s="27">
        <f t="shared" si="54"/>
        <v>87.445581546458598</v>
      </c>
      <c r="AH82" s="1"/>
      <c r="AI82" s="1"/>
      <c r="AK82" s="1"/>
      <c r="AL82" s="19"/>
      <c r="AM82" s="1"/>
    </row>
    <row r="83" spans="1:42" x14ac:dyDescent="0.25">
      <c r="A83" s="4">
        <v>53.306350000000002</v>
      </c>
      <c r="B83" s="4">
        <v>-6.3700000000000007E-2</v>
      </c>
      <c r="C83" s="4">
        <v>119</v>
      </c>
      <c r="D83" s="5">
        <f t="shared" si="40"/>
        <v>995.21518987341972</v>
      </c>
      <c r="E83" s="4">
        <v>19</v>
      </c>
      <c r="F83" s="4">
        <v>11.25</v>
      </c>
      <c r="G83" s="5">
        <f t="shared" si="41"/>
        <v>3.125</v>
      </c>
      <c r="H83" s="5">
        <f t="shared" si="42"/>
        <v>4.2374626653392298</v>
      </c>
      <c r="I83" s="5">
        <f t="shared" si="55"/>
        <v>189.19961813767759</v>
      </c>
      <c r="J83" s="5">
        <f t="shared" si="56"/>
        <v>-1.6388213874418866E-2</v>
      </c>
      <c r="K83" s="5">
        <f t="shared" si="35"/>
        <v>-10.154792845144906</v>
      </c>
      <c r="L83" s="5">
        <f t="shared" si="43"/>
        <v>4.8489257812500002</v>
      </c>
      <c r="M83" s="5">
        <f t="shared" si="36"/>
        <v>115.4946996</v>
      </c>
      <c r="N83" s="5">
        <f t="shared" si="37"/>
        <v>3.0255859374999998</v>
      </c>
      <c r="O83" s="5">
        <f t="shared" si="44"/>
        <v>1.9091348477525374E-2</v>
      </c>
      <c r="P83" s="5">
        <f t="shared" si="45"/>
        <v>1.9089029515698654E-2</v>
      </c>
      <c r="Q83" s="5">
        <f t="shared" si="46"/>
        <v>1.0937208262501907</v>
      </c>
      <c r="R83" s="5">
        <f t="shared" si="38"/>
        <v>5399.9340166100437</v>
      </c>
      <c r="S83" s="4">
        <f t="shared" si="34"/>
        <v>486.29347200000007</v>
      </c>
      <c r="T83" s="5">
        <f t="shared" si="47"/>
        <v>5.8809216215461495</v>
      </c>
      <c r="U83" s="5">
        <f t="shared" si="48"/>
        <v>18.377880067331716</v>
      </c>
      <c r="V83" s="5">
        <f t="shared" si="49"/>
        <v>6.2</v>
      </c>
      <c r="W83" s="5">
        <f t="shared" si="50"/>
        <v>12.177880067331717</v>
      </c>
      <c r="X83" s="26">
        <f t="shared" si="51"/>
        <v>0</v>
      </c>
      <c r="Y83" s="26">
        <f t="shared" si="57"/>
        <v>0</v>
      </c>
      <c r="Z83" s="27">
        <f t="shared" si="52"/>
        <v>18.377880067331716</v>
      </c>
      <c r="AA83" s="27">
        <f t="shared" si="58"/>
        <v>2564.6340244740163</v>
      </c>
      <c r="AB83" s="28">
        <v>3000</v>
      </c>
      <c r="AC83" s="4">
        <v>394</v>
      </c>
      <c r="AD83" s="5">
        <f t="shared" si="39"/>
        <v>3.2142105263157896</v>
      </c>
      <c r="AE83" s="27">
        <f t="shared" si="53"/>
        <v>8.9283625730994152E-4</v>
      </c>
      <c r="AF83" s="27">
        <f t="shared" si="59"/>
        <v>6.3853654970760135E-2</v>
      </c>
      <c r="AG83" s="27">
        <f t="shared" si="54"/>
        <v>88.685631903833524</v>
      </c>
      <c r="AH83" s="1"/>
      <c r="AI83" s="1"/>
      <c r="AK83" s="1"/>
      <c r="AL83" s="19"/>
      <c r="AM83" s="1"/>
    </row>
    <row r="84" spans="1:42" x14ac:dyDescent="0.25">
      <c r="A84" s="4">
        <v>53.306460000000001</v>
      </c>
      <c r="B84" s="4">
        <v>-6.3509999999999997E-2</v>
      </c>
      <c r="C84" s="4">
        <v>118</v>
      </c>
      <c r="D84" s="5">
        <f t="shared" si="40"/>
        <v>1008.3101265822805</v>
      </c>
      <c r="E84" s="4">
        <v>19.25</v>
      </c>
      <c r="F84" s="4">
        <v>11</v>
      </c>
      <c r="G84" s="5">
        <f t="shared" si="41"/>
        <v>3.0555555555555554</v>
      </c>
      <c r="H84" s="5">
        <f t="shared" si="42"/>
        <v>4.3348756001746152</v>
      </c>
      <c r="I84" s="5">
        <f t="shared" si="55"/>
        <v>193.53449373785222</v>
      </c>
      <c r="J84" s="5">
        <f t="shared" si="56"/>
        <v>-1.6019939405330832E-2</v>
      </c>
      <c r="K84" s="5">
        <f t="shared" si="35"/>
        <v>-9.9265952531191957</v>
      </c>
      <c r="L84" s="5">
        <f t="shared" si="43"/>
        <v>4.6358125000000001</v>
      </c>
      <c r="M84" s="5">
        <f t="shared" si="36"/>
        <v>117.01436670000001</v>
      </c>
      <c r="N84" s="5">
        <f t="shared" si="37"/>
        <v>2.8926095679012342</v>
      </c>
      <c r="O84" s="5">
        <f t="shared" si="44"/>
        <v>1.9091348477525374E-2</v>
      </c>
      <c r="P84" s="5">
        <f t="shared" si="45"/>
        <v>1.9089029515698654E-2</v>
      </c>
      <c r="Q84" s="5">
        <f t="shared" si="46"/>
        <v>1.0937208262501907</v>
      </c>
      <c r="R84" s="5">
        <f t="shared" si="38"/>
        <v>5399.9340166100437</v>
      </c>
      <c r="S84" s="4">
        <f t="shared" si="34"/>
        <v>486.29347200000007</v>
      </c>
      <c r="T84" s="5">
        <f t="shared" si="47"/>
        <v>5.8809367058569242</v>
      </c>
      <c r="U84" s="5">
        <f t="shared" si="48"/>
        <v>17.969528823451711</v>
      </c>
      <c r="V84" s="5">
        <f t="shared" si="49"/>
        <v>6.2</v>
      </c>
      <c r="W84" s="5">
        <f t="shared" si="50"/>
        <v>11.769528823451711</v>
      </c>
      <c r="X84" s="26">
        <f t="shared" si="51"/>
        <v>0</v>
      </c>
      <c r="Y84" s="26">
        <f t="shared" si="57"/>
        <v>0</v>
      </c>
      <c r="Z84" s="27">
        <f t="shared" si="52"/>
        <v>17.969528823451711</v>
      </c>
      <c r="AA84" s="27">
        <f t="shared" si="58"/>
        <v>2582.6035532974679</v>
      </c>
      <c r="AB84" s="28">
        <v>3000</v>
      </c>
      <c r="AC84" s="4">
        <v>394</v>
      </c>
      <c r="AD84" s="5">
        <f t="shared" si="39"/>
        <v>3.2142105263157896</v>
      </c>
      <c r="AE84" s="27">
        <f t="shared" si="53"/>
        <v>8.9283625730994152E-4</v>
      </c>
      <c r="AF84" s="27">
        <f t="shared" si="59"/>
        <v>6.474649122807008E-2</v>
      </c>
      <c r="AG84" s="27">
        <f t="shared" si="54"/>
        <v>89.925682261208451</v>
      </c>
      <c r="AH84" s="1"/>
      <c r="AI84" s="1"/>
      <c r="AK84" s="1"/>
      <c r="AL84" s="19"/>
      <c r="AM84" s="19"/>
    </row>
    <row r="85" spans="1:42" x14ac:dyDescent="0.25">
      <c r="A85" s="4">
        <v>53.306750000000001</v>
      </c>
      <c r="B85" s="4">
        <v>-6.318E-2</v>
      </c>
      <c r="C85" s="4">
        <v>117</v>
      </c>
      <c r="D85" s="5">
        <f t="shared" si="40"/>
        <v>1021.4050632911413</v>
      </c>
      <c r="E85" s="4">
        <v>19.5</v>
      </c>
      <c r="F85" s="4">
        <v>10.75</v>
      </c>
      <c r="G85" s="5">
        <f t="shared" si="41"/>
        <v>2.9861111111111112</v>
      </c>
      <c r="H85" s="5">
        <f t="shared" si="42"/>
        <v>4.4368726731198613</v>
      </c>
      <c r="I85" s="5">
        <f t="shared" si="55"/>
        <v>197.97136641097208</v>
      </c>
      <c r="J85" s="5">
        <f t="shared" si="56"/>
        <v>-1.5651664936242832E-2</v>
      </c>
      <c r="K85" s="5">
        <f t="shared" si="35"/>
        <v>-9.6983976610935088</v>
      </c>
      <c r="L85" s="5">
        <f t="shared" si="43"/>
        <v>4.4274882812500005</v>
      </c>
      <c r="M85" s="5">
        <f t="shared" si="36"/>
        <v>118.5340338</v>
      </c>
      <c r="N85" s="5">
        <f t="shared" si="37"/>
        <v>2.7626214313271604</v>
      </c>
      <c r="O85" s="5">
        <f t="shared" si="44"/>
        <v>1.9091348477525374E-2</v>
      </c>
      <c r="P85" s="5">
        <f t="shared" si="45"/>
        <v>1.9089029515698654E-2</v>
      </c>
      <c r="Q85" s="5">
        <f t="shared" si="46"/>
        <v>1.0937208262501907</v>
      </c>
      <c r="R85" s="5">
        <f t="shared" si="38"/>
        <v>5399.9340166100437</v>
      </c>
      <c r="S85" s="4">
        <f t="shared" si="34"/>
        <v>486.29347200000007</v>
      </c>
      <c r="T85" s="5">
        <f t="shared" si="47"/>
        <v>5.8809565792302001</v>
      </c>
      <c r="U85" s="5">
        <f t="shared" si="48"/>
        <v>17.561189785201293</v>
      </c>
      <c r="V85" s="5">
        <f t="shared" si="49"/>
        <v>6.2</v>
      </c>
      <c r="W85" s="5">
        <f t="shared" si="50"/>
        <v>11.361189785201294</v>
      </c>
      <c r="X85" s="26">
        <f t="shared" si="51"/>
        <v>0</v>
      </c>
      <c r="Y85" s="26">
        <f t="shared" si="57"/>
        <v>0</v>
      </c>
      <c r="Z85" s="27">
        <f t="shared" si="52"/>
        <v>17.561189785201293</v>
      </c>
      <c r="AA85" s="27">
        <f t="shared" si="58"/>
        <v>2600.1647430826692</v>
      </c>
      <c r="AB85" s="28">
        <v>3000</v>
      </c>
      <c r="AC85" s="4">
        <v>394</v>
      </c>
      <c r="AD85" s="5">
        <f t="shared" si="39"/>
        <v>3.2142105263157896</v>
      </c>
      <c r="AE85" s="27">
        <f t="shared" si="53"/>
        <v>8.9283625730994152E-4</v>
      </c>
      <c r="AF85" s="27">
        <f t="shared" si="59"/>
        <v>6.5639327485380025E-2</v>
      </c>
      <c r="AG85" s="27">
        <f t="shared" si="54"/>
        <v>91.165732618583377</v>
      </c>
      <c r="AH85" s="1"/>
      <c r="AI85" s="1"/>
      <c r="AK85" s="1"/>
      <c r="AL85" s="19"/>
      <c r="AM85" s="1"/>
    </row>
    <row r="86" spans="1:42" x14ac:dyDescent="0.25">
      <c r="A86" s="4">
        <v>53.306950000000001</v>
      </c>
      <c r="B86" s="4">
        <v>-6.2950000000000006E-2</v>
      </c>
      <c r="C86" s="4">
        <v>117</v>
      </c>
      <c r="D86" s="5">
        <f t="shared" si="40"/>
        <v>1034.500000000002</v>
      </c>
      <c r="E86" s="4">
        <v>19.75</v>
      </c>
      <c r="F86" s="4">
        <v>10.5</v>
      </c>
      <c r="G86" s="5">
        <f t="shared" si="41"/>
        <v>2.9166666666666665</v>
      </c>
      <c r="H86" s="5">
        <f t="shared" si="42"/>
        <v>4.5437852676529085</v>
      </c>
      <c r="I86" s="5">
        <f t="shared" si="55"/>
        <v>202.51515167862499</v>
      </c>
      <c r="J86" s="5">
        <f t="shared" si="56"/>
        <v>-1.528339046715475E-2</v>
      </c>
      <c r="K86" s="5">
        <f t="shared" si="35"/>
        <v>-9.4702000690677686</v>
      </c>
      <c r="L86" s="5">
        <f t="shared" si="43"/>
        <v>4.2239531249999995</v>
      </c>
      <c r="M86" s="5">
        <f t="shared" si="36"/>
        <v>120.05370090000001</v>
      </c>
      <c r="N86" s="5">
        <f t="shared" si="37"/>
        <v>2.6356215277777775</v>
      </c>
      <c r="O86" s="5">
        <f t="shared" si="44"/>
        <v>1.9091348477525374E-2</v>
      </c>
      <c r="P86" s="5">
        <f t="shared" si="45"/>
        <v>1.9089029515698654E-2</v>
      </c>
      <c r="Q86" s="5">
        <f t="shared" si="46"/>
        <v>1.0937208262501907</v>
      </c>
      <c r="R86" s="5">
        <f t="shared" si="38"/>
        <v>5399.9340166100437</v>
      </c>
      <c r="S86" s="4">
        <f t="shared" si="34"/>
        <v>486.29347200000007</v>
      </c>
      <c r="T86" s="5">
        <f t="shared" si="47"/>
        <v>5.8809812416659764</v>
      </c>
      <c r="U86" s="5">
        <f t="shared" si="48"/>
        <v>17.152861954859098</v>
      </c>
      <c r="V86" s="5">
        <f t="shared" si="49"/>
        <v>6.2</v>
      </c>
      <c r="W86" s="5">
        <f t="shared" si="50"/>
        <v>10.952861954859099</v>
      </c>
      <c r="X86" s="26">
        <f t="shared" si="51"/>
        <v>0</v>
      </c>
      <c r="Y86" s="26">
        <f t="shared" si="57"/>
        <v>0</v>
      </c>
      <c r="Z86" s="27">
        <f t="shared" si="52"/>
        <v>17.152861954859098</v>
      </c>
      <c r="AA86" s="27">
        <f t="shared" si="58"/>
        <v>2617.3176050375282</v>
      </c>
      <c r="AB86" s="28">
        <v>3000</v>
      </c>
      <c r="AC86" s="4">
        <v>394</v>
      </c>
      <c r="AD86" s="5">
        <f t="shared" si="39"/>
        <v>3.2142105263157896</v>
      </c>
      <c r="AE86" s="27">
        <f t="shared" si="53"/>
        <v>8.9283625730994152E-4</v>
      </c>
      <c r="AF86" s="27">
        <f t="shared" si="59"/>
        <v>6.653216374268997E-2</v>
      </c>
      <c r="AG86" s="27">
        <f t="shared" si="54"/>
        <v>92.405782975958289</v>
      </c>
      <c r="AH86" s="1"/>
      <c r="AI86" s="1"/>
      <c r="AK86" s="1"/>
      <c r="AL86" s="19"/>
      <c r="AM86" s="1"/>
    </row>
    <row r="87" spans="1:42" x14ac:dyDescent="0.25">
      <c r="A87" s="4">
        <v>53.307119999999998</v>
      </c>
      <c r="B87" s="4">
        <v>-6.2630000000000005E-2</v>
      </c>
      <c r="C87" s="4">
        <v>119</v>
      </c>
      <c r="D87" s="5">
        <f t="shared" si="40"/>
        <v>1047.5949367088629</v>
      </c>
      <c r="E87" s="4">
        <v>20</v>
      </c>
      <c r="F87" s="4">
        <v>10.25</v>
      </c>
      <c r="G87" s="5">
        <f t="shared" si="41"/>
        <v>2.8472222222222223</v>
      </c>
      <c r="H87" s="5">
        <f t="shared" si="42"/>
        <v>4.6559774964838452</v>
      </c>
      <c r="I87" s="5">
        <f t="shared" si="55"/>
        <v>207.17112917510883</v>
      </c>
      <c r="J87" s="5">
        <f t="shared" si="56"/>
        <v>-1.4915115998066593E-2</v>
      </c>
      <c r="K87" s="5">
        <f t="shared" si="35"/>
        <v>-9.242002477041984</v>
      </c>
      <c r="L87" s="5">
        <f t="shared" si="43"/>
        <v>4.0252070312500008</v>
      </c>
      <c r="M87" s="5">
        <f t="shared" si="36"/>
        <v>121.57336800000002</v>
      </c>
      <c r="N87" s="5">
        <f t="shared" si="37"/>
        <v>2.5116098572530867</v>
      </c>
      <c r="O87" s="5">
        <f t="shared" si="44"/>
        <v>1.9091348477525374E-2</v>
      </c>
      <c r="P87" s="5">
        <f t="shared" si="45"/>
        <v>1.9089029515698654E-2</v>
      </c>
      <c r="Q87" s="5">
        <f t="shared" si="46"/>
        <v>1.0937208262501907</v>
      </c>
      <c r="R87" s="5">
        <f t="shared" si="38"/>
        <v>5399.9340166100437</v>
      </c>
      <c r="S87" s="4">
        <f t="shared" si="34"/>
        <v>486.29347200000007</v>
      </c>
      <c r="T87" s="5">
        <f t="shared" si="47"/>
        <v>5.8810106931642521</v>
      </c>
      <c r="U87" s="5">
        <f t="shared" si="48"/>
        <v>16.744544334703775</v>
      </c>
      <c r="V87" s="5">
        <f t="shared" si="49"/>
        <v>6.2</v>
      </c>
      <c r="W87" s="5">
        <f t="shared" si="50"/>
        <v>10.544544334703776</v>
      </c>
      <c r="X87" s="26">
        <f t="shared" si="51"/>
        <v>0</v>
      </c>
      <c r="Y87" s="26">
        <f t="shared" si="57"/>
        <v>0</v>
      </c>
      <c r="Z87" s="27">
        <f t="shared" si="52"/>
        <v>16.744544334703775</v>
      </c>
      <c r="AA87" s="27">
        <f t="shared" si="58"/>
        <v>2634.0621493722319</v>
      </c>
      <c r="AB87" s="28">
        <v>3000</v>
      </c>
      <c r="AC87" s="4">
        <v>394</v>
      </c>
      <c r="AD87" s="5">
        <f t="shared" si="39"/>
        <v>3.2142105263157896</v>
      </c>
      <c r="AE87" s="27">
        <f t="shared" si="53"/>
        <v>8.9283625730994152E-4</v>
      </c>
      <c r="AF87" s="27">
        <f t="shared" si="59"/>
        <v>6.7424999999999916E-2</v>
      </c>
      <c r="AG87" s="27">
        <f t="shared" si="54"/>
        <v>93.645833333333215</v>
      </c>
      <c r="AH87" s="1"/>
      <c r="AI87" s="1"/>
      <c r="AK87" s="1"/>
      <c r="AL87" s="19"/>
      <c r="AM87" s="1"/>
      <c r="AN87" s="2"/>
      <c r="AO87" s="19"/>
    </row>
    <row r="88" spans="1:42" x14ac:dyDescent="0.25">
      <c r="A88" s="4">
        <v>53.307290000000002</v>
      </c>
      <c r="B88" s="4">
        <v>-6.2330000000000003E-2</v>
      </c>
      <c r="C88" s="4">
        <v>120</v>
      </c>
      <c r="D88" s="5">
        <f t="shared" si="40"/>
        <v>1060.6898734177237</v>
      </c>
      <c r="E88" s="4">
        <v>20.25</v>
      </c>
      <c r="F88" s="4">
        <v>10</v>
      </c>
      <c r="G88" s="5">
        <f t="shared" si="41"/>
        <v>2.7777777777777777</v>
      </c>
      <c r="H88" s="5">
        <f t="shared" si="42"/>
        <v>4.7738503444960942</v>
      </c>
      <c r="I88" s="5">
        <f t="shared" si="55"/>
        <v>211.94497951960491</v>
      </c>
      <c r="J88" s="5">
        <f t="shared" si="56"/>
        <v>-1.4546841528978649E-2</v>
      </c>
      <c r="K88" s="5">
        <f t="shared" si="35"/>
        <v>-9.013804885016329</v>
      </c>
      <c r="L88" s="5">
        <f t="shared" si="43"/>
        <v>3.8312499999999998</v>
      </c>
      <c r="M88" s="5">
        <f t="shared" si="36"/>
        <v>123.09303510000001</v>
      </c>
      <c r="N88" s="5">
        <f t="shared" si="37"/>
        <v>2.3905864197530864</v>
      </c>
      <c r="O88" s="5">
        <f t="shared" si="44"/>
        <v>1.9091348477525374E-2</v>
      </c>
      <c r="P88" s="5">
        <f t="shared" si="45"/>
        <v>1.9089029515698654E-2</v>
      </c>
      <c r="Q88" s="5">
        <f t="shared" si="46"/>
        <v>1.0937208262501907</v>
      </c>
      <c r="R88" s="5">
        <f t="shared" si="38"/>
        <v>5399.9340166100437</v>
      </c>
      <c r="S88" s="4">
        <f t="shared" si="34"/>
        <v>486.29347200000007</v>
      </c>
      <c r="T88" s="5">
        <f t="shared" si="47"/>
        <v>5.8810449337250272</v>
      </c>
      <c r="U88" s="5">
        <f t="shared" si="48"/>
        <v>16.336235927013963</v>
      </c>
      <c r="V88" s="5">
        <f t="shared" si="49"/>
        <v>6.2</v>
      </c>
      <c r="W88" s="5">
        <f t="shared" si="50"/>
        <v>10.136235927013963</v>
      </c>
      <c r="X88" s="26">
        <f t="shared" si="51"/>
        <v>0</v>
      </c>
      <c r="Y88" s="26">
        <f t="shared" si="57"/>
        <v>0</v>
      </c>
      <c r="Z88" s="27">
        <f t="shared" si="52"/>
        <v>16.336235927013963</v>
      </c>
      <c r="AA88" s="27">
        <f t="shared" si="58"/>
        <v>2650.398385299246</v>
      </c>
      <c r="AB88" s="28">
        <v>3000</v>
      </c>
      <c r="AC88" s="4">
        <v>394</v>
      </c>
      <c r="AD88" s="5">
        <f t="shared" si="39"/>
        <v>3.2142105263157896</v>
      </c>
      <c r="AE88" s="27">
        <f t="shared" si="53"/>
        <v>8.9283625730994152E-4</v>
      </c>
      <c r="AF88" s="27">
        <f t="shared" si="59"/>
        <v>6.8317836257309861E-2</v>
      </c>
      <c r="AG88" s="27">
        <f t="shared" si="54"/>
        <v>94.885883690708141</v>
      </c>
      <c r="AH88" s="1"/>
      <c r="AI88" s="1"/>
      <c r="AK88" s="1"/>
      <c r="AL88" s="19"/>
      <c r="AM88" s="1"/>
      <c r="AN88" s="2"/>
      <c r="AO88" s="19"/>
      <c r="AP88" s="19"/>
    </row>
    <row r="89" spans="1:42" x14ac:dyDescent="0.25">
      <c r="A89" s="4">
        <v>53.307459999999999</v>
      </c>
      <c r="B89" s="4">
        <v>-6.2019999999999999E-2</v>
      </c>
      <c r="C89" s="4">
        <v>121</v>
      </c>
      <c r="D89" s="5">
        <f t="shared" si="40"/>
        <v>1073.7848101265845</v>
      </c>
      <c r="E89" s="4">
        <v>20.5</v>
      </c>
      <c r="F89" s="4">
        <v>9.75</v>
      </c>
      <c r="G89" s="5">
        <f t="shared" si="41"/>
        <v>2.7083333333333335</v>
      </c>
      <c r="H89" s="5">
        <f t="shared" si="42"/>
        <v>4.8978464573401483</v>
      </c>
      <c r="I89" s="5">
        <f t="shared" si="55"/>
        <v>216.84282597694505</v>
      </c>
      <c r="J89" s="5">
        <f t="shared" si="56"/>
        <v>-1.417856705989049E-2</v>
      </c>
      <c r="K89" s="5">
        <f t="shared" si="35"/>
        <v>-8.7856072929905427</v>
      </c>
      <c r="L89" s="5">
        <f t="shared" si="43"/>
        <v>3.6420820312500006</v>
      </c>
      <c r="M89" s="5">
        <f t="shared" si="36"/>
        <v>124.61270220000002</v>
      </c>
      <c r="N89" s="5">
        <f t="shared" si="37"/>
        <v>2.2725512152777783</v>
      </c>
      <c r="O89" s="5">
        <f t="shared" si="44"/>
        <v>1.9091348477525374E-2</v>
      </c>
      <c r="P89" s="5">
        <f t="shared" si="45"/>
        <v>1.9089029515698654E-2</v>
      </c>
      <c r="Q89" s="5">
        <f t="shared" si="46"/>
        <v>1.0937208262501907</v>
      </c>
      <c r="R89" s="5">
        <f t="shared" si="38"/>
        <v>5399.9340166100437</v>
      </c>
      <c r="S89" s="4">
        <f t="shared" si="34"/>
        <v>486.29347200000007</v>
      </c>
      <c r="T89" s="5">
        <f t="shared" si="47"/>
        <v>5.8810839633483027</v>
      </c>
      <c r="U89" s="5">
        <f t="shared" si="48"/>
        <v>15.927935734068321</v>
      </c>
      <c r="V89" s="5">
        <f t="shared" si="49"/>
        <v>6.2</v>
      </c>
      <c r="W89" s="5">
        <f t="shared" si="50"/>
        <v>9.7279357340683212</v>
      </c>
      <c r="X89" s="26">
        <f t="shared" si="51"/>
        <v>0</v>
      </c>
      <c r="Y89" s="26">
        <f t="shared" si="57"/>
        <v>0</v>
      </c>
      <c r="Z89" s="27">
        <f t="shared" si="52"/>
        <v>15.927935734068321</v>
      </c>
      <c r="AA89" s="27">
        <f t="shared" si="58"/>
        <v>2666.3263210333143</v>
      </c>
      <c r="AB89" s="28">
        <v>3000</v>
      </c>
      <c r="AC89" s="4">
        <v>394</v>
      </c>
      <c r="AD89" s="5">
        <f t="shared" si="39"/>
        <v>3.2142105263157896</v>
      </c>
      <c r="AE89" s="27">
        <f t="shared" si="53"/>
        <v>8.9283625730994152E-4</v>
      </c>
      <c r="AF89" s="27">
        <f t="shared" si="59"/>
        <v>6.9210672514619806E-2</v>
      </c>
      <c r="AG89" s="27">
        <f t="shared" si="54"/>
        <v>96.125934048083067</v>
      </c>
      <c r="AH89" s="1"/>
      <c r="AI89" s="1"/>
      <c r="AK89" s="1"/>
      <c r="AL89" s="19"/>
      <c r="AM89" s="1"/>
      <c r="AN89" s="2"/>
      <c r="AO89" s="19"/>
      <c r="AP89" s="19"/>
    </row>
    <row r="90" spans="1:42" x14ac:dyDescent="0.25">
      <c r="A90" s="4">
        <v>53.307429999999997</v>
      </c>
      <c r="B90" s="4">
        <v>-6.1760000000000002E-2</v>
      </c>
      <c r="C90" s="4">
        <v>121</v>
      </c>
      <c r="D90" s="5">
        <f t="shared" si="40"/>
        <v>1086.8797468354453</v>
      </c>
      <c r="E90" s="4">
        <v>20.75</v>
      </c>
      <c r="F90" s="4">
        <v>9.5</v>
      </c>
      <c r="G90" s="5">
        <f t="shared" si="41"/>
        <v>2.6388888888888888</v>
      </c>
      <c r="H90" s="5">
        <f t="shared" si="42"/>
        <v>4.8350535540409165</v>
      </c>
      <c r="I90" s="5">
        <f t="shared" si="55"/>
        <v>221.67787953098596</v>
      </c>
      <c r="J90" s="5">
        <f t="shared" si="56"/>
        <v>-1.4362704294434593E-2</v>
      </c>
      <c r="K90" s="5">
        <f t="shared" si="35"/>
        <v>-8.8997060890034518</v>
      </c>
      <c r="L90" s="5">
        <f t="shared" si="43"/>
        <v>3.4577031250000001</v>
      </c>
      <c r="M90" s="5">
        <f t="shared" si="36"/>
        <v>126.13236930000001</v>
      </c>
      <c r="N90" s="5">
        <f t="shared" si="37"/>
        <v>2.1575042438271601</v>
      </c>
      <c r="O90" s="5">
        <f t="shared" si="44"/>
        <v>1.9091348477525374E-2</v>
      </c>
      <c r="P90" s="5">
        <f t="shared" si="45"/>
        <v>1.9089029515698654E-2</v>
      </c>
      <c r="Q90" s="5">
        <f t="shared" si="46"/>
        <v>1.0937208262501907</v>
      </c>
      <c r="R90" s="5">
        <f t="shared" si="38"/>
        <v>5399.9340166100437</v>
      </c>
      <c r="S90" s="4">
        <f t="shared" si="34"/>
        <v>486.29347200000007</v>
      </c>
      <c r="T90" s="5">
        <f t="shared" si="47"/>
        <v>5.8807854856460411</v>
      </c>
      <c r="U90" s="5">
        <f t="shared" si="48"/>
        <v>15.518739476010387</v>
      </c>
      <c r="V90" s="5">
        <f t="shared" si="49"/>
        <v>6.2</v>
      </c>
      <c r="W90" s="5">
        <f t="shared" si="50"/>
        <v>9.3187394760103857</v>
      </c>
      <c r="X90" s="26">
        <f t="shared" si="51"/>
        <v>0</v>
      </c>
      <c r="Y90" s="26">
        <f t="shared" si="57"/>
        <v>0</v>
      </c>
      <c r="Z90" s="27">
        <f t="shared" si="52"/>
        <v>15.518739476010387</v>
      </c>
      <c r="AA90" s="27">
        <f t="shared" si="58"/>
        <v>2681.8450605093249</v>
      </c>
      <c r="AB90" s="28">
        <v>3000</v>
      </c>
      <c r="AC90" s="4">
        <v>394</v>
      </c>
      <c r="AD90" s="5">
        <f t="shared" si="39"/>
        <v>3.2142105263157896</v>
      </c>
      <c r="AE90" s="27">
        <f t="shared" si="53"/>
        <v>8.9283625730994152E-4</v>
      </c>
      <c r="AF90" s="27">
        <f t="shared" si="59"/>
        <v>7.0103508771929751E-2</v>
      </c>
      <c r="AG90" s="27">
        <f t="shared" si="54"/>
        <v>97.365984405457993</v>
      </c>
      <c r="AH90" s="1"/>
      <c r="AI90" s="1"/>
      <c r="AK90" s="1"/>
      <c r="AL90" s="19"/>
      <c r="AM90" s="1"/>
      <c r="AN90" s="2"/>
      <c r="AO90" s="19"/>
      <c r="AP90" s="19"/>
    </row>
    <row r="91" spans="1:42" x14ac:dyDescent="0.25">
      <c r="A91" s="4">
        <v>53.30744</v>
      </c>
      <c r="B91" s="4">
        <v>-6.1620000000000001E-2</v>
      </c>
      <c r="C91" s="4">
        <v>121</v>
      </c>
      <c r="D91" s="5">
        <f t="shared" si="40"/>
        <v>1099.9746835443061</v>
      </c>
      <c r="E91" s="4">
        <v>21</v>
      </c>
      <c r="F91" s="4">
        <v>10</v>
      </c>
      <c r="G91" s="5">
        <f t="shared" si="41"/>
        <v>2.7777777777777777</v>
      </c>
      <c r="H91" s="5">
        <f t="shared" si="42"/>
        <v>3.7713417721519145</v>
      </c>
      <c r="I91" s="5">
        <f t="shared" si="55"/>
        <v>225.44922130313788</v>
      </c>
      <c r="J91" s="5">
        <f t="shared" si="56"/>
        <v>3.6827446908806509E-2</v>
      </c>
      <c r="K91" s="5">
        <f t="shared" si="35"/>
        <v>22.819759202572865</v>
      </c>
      <c r="L91" s="5">
        <f t="shared" si="43"/>
        <v>3.8312499999999998</v>
      </c>
      <c r="M91" s="5">
        <f t="shared" si="36"/>
        <v>127.65203640000001</v>
      </c>
      <c r="N91" s="5">
        <f t="shared" si="37"/>
        <v>2.3905864197530864</v>
      </c>
      <c r="O91" s="5">
        <f t="shared" si="44"/>
        <v>0</v>
      </c>
      <c r="P91" s="5">
        <f t="shared" si="45"/>
        <v>0</v>
      </c>
      <c r="Q91" s="5">
        <f t="shared" si="46"/>
        <v>0</v>
      </c>
      <c r="R91" s="5">
        <f t="shared" si="38"/>
        <v>0</v>
      </c>
      <c r="S91" s="4">
        <f t="shared" si="34"/>
        <v>486.29347200000007</v>
      </c>
      <c r="T91" s="5">
        <f t="shared" si="47"/>
        <v>0.51294448120257286</v>
      </c>
      <c r="U91" s="5">
        <f t="shared" si="48"/>
        <v>1.4248457811182578</v>
      </c>
      <c r="V91" s="5">
        <f t="shared" si="49"/>
        <v>1.4248457811182578</v>
      </c>
      <c r="W91" s="5">
        <f t="shared" si="50"/>
        <v>0</v>
      </c>
      <c r="X91" s="26">
        <f t="shared" si="51"/>
        <v>0</v>
      </c>
      <c r="Y91" s="26">
        <f t="shared" si="57"/>
        <v>0</v>
      </c>
      <c r="Z91" s="27">
        <f t="shared" si="52"/>
        <v>1.4248457811182578</v>
      </c>
      <c r="AA91" s="27">
        <f t="shared" si="58"/>
        <v>2683.269906290443</v>
      </c>
      <c r="AB91" s="28">
        <v>3000</v>
      </c>
      <c r="AC91" s="4">
        <v>394</v>
      </c>
      <c r="AD91" s="5">
        <f t="shared" si="39"/>
        <v>0.7386700496849915</v>
      </c>
      <c r="AE91" s="27">
        <f t="shared" si="53"/>
        <v>2.0518612491249763E-4</v>
      </c>
      <c r="AF91" s="27">
        <f t="shared" si="59"/>
        <v>7.0308694896842244E-2</v>
      </c>
      <c r="AG91" s="27">
        <f t="shared" si="54"/>
        <v>97.650965134503124</v>
      </c>
      <c r="AH91" s="1"/>
      <c r="AI91" s="1"/>
      <c r="AK91" s="1"/>
      <c r="AL91" s="19"/>
      <c r="AM91" s="19"/>
      <c r="AN91" s="19"/>
      <c r="AO91" s="19"/>
      <c r="AP91" s="19"/>
    </row>
    <row r="92" spans="1:42" x14ac:dyDescent="0.25">
      <c r="A92" s="4">
        <v>53.307540000000003</v>
      </c>
      <c r="B92" s="4">
        <v>-6.1559999999999997E-2</v>
      </c>
      <c r="C92" s="4">
        <v>122</v>
      </c>
      <c r="D92" s="5">
        <f t="shared" si="40"/>
        <v>1113.0696202531669</v>
      </c>
      <c r="E92" s="4">
        <v>21</v>
      </c>
      <c r="F92" s="4">
        <v>15</v>
      </c>
      <c r="G92" s="5">
        <f t="shared" si="41"/>
        <v>4.166666666666667</v>
      </c>
      <c r="H92" s="5">
        <f t="shared" si="42"/>
        <v>2.6938155515370821</v>
      </c>
      <c r="I92" s="5">
        <f t="shared" si="55"/>
        <v>228.14303685467496</v>
      </c>
      <c r="J92" s="5">
        <f t="shared" si="56"/>
        <v>0.51558425672329067</v>
      </c>
      <c r="K92" s="5">
        <f t="shared" si="35"/>
        <v>319.47662883601981</v>
      </c>
      <c r="L92" s="5">
        <f t="shared" si="43"/>
        <v>8.6203125000000007</v>
      </c>
      <c r="M92" s="5">
        <f t="shared" si="36"/>
        <v>127.65203640000001</v>
      </c>
      <c r="N92" s="5">
        <f t="shared" si="37"/>
        <v>5.3788194444444448</v>
      </c>
      <c r="O92" s="5">
        <f t="shared" si="44"/>
        <v>0</v>
      </c>
      <c r="P92" s="5">
        <f t="shared" si="45"/>
        <v>0</v>
      </c>
      <c r="Q92" s="5">
        <f t="shared" si="46"/>
        <v>0</v>
      </c>
      <c r="R92" s="5">
        <f t="shared" si="38"/>
        <v>0</v>
      </c>
      <c r="S92" s="4">
        <f t="shared" si="34"/>
        <v>486.29347200000007</v>
      </c>
      <c r="T92" s="5">
        <f t="shared" si="47"/>
        <v>0.81439041333601991</v>
      </c>
      <c r="U92" s="5">
        <f t="shared" si="48"/>
        <v>3.3932933889000831</v>
      </c>
      <c r="V92" s="5">
        <f t="shared" si="49"/>
        <v>3.3932933889000831</v>
      </c>
      <c r="W92" s="5">
        <f t="shared" si="50"/>
        <v>0</v>
      </c>
      <c r="X92" s="26">
        <f t="shared" si="51"/>
        <v>0</v>
      </c>
      <c r="Y92" s="26">
        <f t="shared" si="57"/>
        <v>0</v>
      </c>
      <c r="Z92" s="27">
        <f t="shared" si="52"/>
        <v>3.3932933889000831</v>
      </c>
      <c r="AA92" s="27">
        <f t="shared" si="58"/>
        <v>2686.6631996793431</v>
      </c>
      <c r="AB92" s="28">
        <v>3000</v>
      </c>
      <c r="AC92" s="4">
        <v>394</v>
      </c>
      <c r="AD92" s="5">
        <f t="shared" si="39"/>
        <v>1.7591547305613588</v>
      </c>
      <c r="AE92" s="27">
        <f t="shared" si="53"/>
        <v>4.886540918225997E-4</v>
      </c>
      <c r="AF92" s="27">
        <f t="shared" si="59"/>
        <v>7.079734898866484E-2</v>
      </c>
      <c r="AG92" s="27">
        <f t="shared" si="54"/>
        <v>98.329651373145609</v>
      </c>
      <c r="AH92" s="1"/>
      <c r="AI92" s="1"/>
      <c r="AK92" s="1"/>
      <c r="AL92" s="19"/>
      <c r="AM92" s="19"/>
      <c r="AN92" s="19"/>
      <c r="AO92" s="19"/>
      <c r="AP92" s="19"/>
    </row>
    <row r="93" spans="1:42" x14ac:dyDescent="0.25">
      <c r="A93" s="4">
        <v>53.307690000000001</v>
      </c>
      <c r="B93" s="4">
        <v>-6.1449999999999998E-2</v>
      </c>
      <c r="C93" s="4">
        <v>122</v>
      </c>
      <c r="D93" s="5">
        <f t="shared" si="40"/>
        <v>1126.1645569620277</v>
      </c>
      <c r="E93" s="4">
        <v>21</v>
      </c>
      <c r="F93" s="4">
        <v>20</v>
      </c>
      <c r="G93" s="5">
        <f t="shared" si="41"/>
        <v>5.5555555555555554</v>
      </c>
      <c r="H93" s="5">
        <f t="shared" si="42"/>
        <v>2.2718926338264542</v>
      </c>
      <c r="I93" s="5">
        <f t="shared" si="55"/>
        <v>230.41492948850143</v>
      </c>
      <c r="J93" s="5">
        <f t="shared" si="56"/>
        <v>0.61133561868618425</v>
      </c>
      <c r="K93" s="5">
        <f t="shared" si="35"/>
        <v>378.80800276270719</v>
      </c>
      <c r="L93" s="5">
        <f t="shared" si="43"/>
        <v>15.324999999999999</v>
      </c>
      <c r="M93" s="5">
        <f t="shared" si="36"/>
        <v>127.65203640000001</v>
      </c>
      <c r="N93" s="5">
        <f t="shared" si="37"/>
        <v>9.5623456790123456</v>
      </c>
      <c r="O93" s="5">
        <f t="shared" si="44"/>
        <v>0</v>
      </c>
      <c r="P93" s="5">
        <f t="shared" si="45"/>
        <v>0</v>
      </c>
      <c r="Q93" s="5">
        <f t="shared" si="46"/>
        <v>0</v>
      </c>
      <c r="R93" s="5">
        <f t="shared" si="38"/>
        <v>0</v>
      </c>
      <c r="S93" s="4">
        <f t="shared" si="34"/>
        <v>486.29347200000007</v>
      </c>
      <c r="T93" s="5">
        <f t="shared" si="47"/>
        <v>0.88042647476270719</v>
      </c>
      <c r="U93" s="5">
        <f t="shared" si="48"/>
        <v>4.8912581931261512</v>
      </c>
      <c r="V93" s="5">
        <f t="shared" si="49"/>
        <v>4.8912581931261512</v>
      </c>
      <c r="W93" s="5">
        <f t="shared" si="50"/>
        <v>0</v>
      </c>
      <c r="X93" s="26">
        <f t="shared" si="51"/>
        <v>0</v>
      </c>
      <c r="Y93" s="26">
        <f t="shared" si="57"/>
        <v>0</v>
      </c>
      <c r="Z93" s="27">
        <f t="shared" si="52"/>
        <v>4.8912581931261512</v>
      </c>
      <c r="AA93" s="27">
        <f t="shared" si="58"/>
        <v>2691.5544578724694</v>
      </c>
      <c r="AB93" s="28">
        <v>3000</v>
      </c>
      <c r="AC93" s="4">
        <v>394</v>
      </c>
      <c r="AD93" s="5">
        <f t="shared" si="39"/>
        <v>2.5357312211732941</v>
      </c>
      <c r="AE93" s="27">
        <f t="shared" si="53"/>
        <v>7.0436978365924832E-4</v>
      </c>
      <c r="AF93" s="27">
        <f t="shared" si="59"/>
        <v>7.1501718772324085E-2</v>
      </c>
      <c r="AG93" s="27">
        <f t="shared" si="54"/>
        <v>99.307942739339012</v>
      </c>
      <c r="AH93" s="1"/>
      <c r="AI93" s="1"/>
      <c r="AK93" s="1"/>
      <c r="AL93" s="19"/>
      <c r="AM93" s="19"/>
      <c r="AN93" s="19"/>
      <c r="AO93" s="19"/>
      <c r="AP93" s="19"/>
    </row>
    <row r="94" spans="1:42" x14ac:dyDescent="0.25">
      <c r="A94" s="4">
        <v>53.307850000000002</v>
      </c>
      <c r="B94" s="4">
        <v>-6.1350000000000002E-2</v>
      </c>
      <c r="C94" s="4">
        <v>121</v>
      </c>
      <c r="D94" s="5">
        <f t="shared" si="40"/>
        <v>1139.2594936708886</v>
      </c>
      <c r="E94" s="4">
        <v>21</v>
      </c>
      <c r="F94" s="4">
        <v>21.5</v>
      </c>
      <c r="G94" s="5">
        <f t="shared" si="41"/>
        <v>5.9722222222222223</v>
      </c>
      <c r="H94" s="5">
        <f t="shared" si="42"/>
        <v>2.1674378000873076</v>
      </c>
      <c r="I94" s="5">
        <f t="shared" si="55"/>
        <v>232.58236728858873</v>
      </c>
      <c r="J94" s="5">
        <f t="shared" si="56"/>
        <v>0.19223927286397083</v>
      </c>
      <c r="K94" s="5">
        <f t="shared" si="35"/>
        <v>119.11914303743089</v>
      </c>
      <c r="L94" s="5">
        <f t="shared" si="43"/>
        <v>17.709953125000002</v>
      </c>
      <c r="M94" s="5">
        <f t="shared" si="36"/>
        <v>127.65203640000001</v>
      </c>
      <c r="N94" s="5">
        <f t="shared" si="37"/>
        <v>11.050485725308642</v>
      </c>
      <c r="O94" s="5">
        <f t="shared" si="44"/>
        <v>0</v>
      </c>
      <c r="P94" s="5">
        <f t="shared" si="45"/>
        <v>0</v>
      </c>
      <c r="Q94" s="5">
        <f t="shared" si="46"/>
        <v>0</v>
      </c>
      <c r="R94" s="5">
        <f t="shared" si="38"/>
        <v>0</v>
      </c>
      <c r="S94" s="4">
        <f t="shared" si="34"/>
        <v>486.29347200000007</v>
      </c>
      <c r="T94" s="5">
        <f t="shared" si="47"/>
        <v>0.62312256816243095</v>
      </c>
      <c r="U94" s="5">
        <f t="shared" si="48"/>
        <v>3.7214264487478514</v>
      </c>
      <c r="V94" s="5">
        <f t="shared" si="49"/>
        <v>3.7214264487478514</v>
      </c>
      <c r="W94" s="5">
        <f t="shared" si="50"/>
        <v>0</v>
      </c>
      <c r="X94" s="26">
        <f t="shared" si="51"/>
        <v>0</v>
      </c>
      <c r="Y94" s="26">
        <f t="shared" si="57"/>
        <v>0</v>
      </c>
      <c r="Z94" s="27">
        <f t="shared" si="52"/>
        <v>3.7214264487478514</v>
      </c>
      <c r="AA94" s="27">
        <f t="shared" si="58"/>
        <v>2695.2758843212173</v>
      </c>
      <c r="AB94" s="28">
        <v>3000</v>
      </c>
      <c r="AC94" s="4">
        <v>394</v>
      </c>
      <c r="AD94" s="5">
        <f t="shared" si="39"/>
        <v>1.9292658168508598</v>
      </c>
      <c r="AE94" s="27">
        <f t="shared" si="53"/>
        <v>5.3590717134746103E-4</v>
      </c>
      <c r="AF94" s="27">
        <f t="shared" si="59"/>
        <v>7.2037625943671552E-2</v>
      </c>
      <c r="AG94" s="27">
        <f t="shared" si="54"/>
        <v>100.05225825509937</v>
      </c>
      <c r="AH94" s="1"/>
      <c r="AI94" s="1"/>
      <c r="AK94" s="1"/>
      <c r="AL94" s="19"/>
      <c r="AM94" s="19"/>
      <c r="AN94" s="19"/>
      <c r="AO94" s="19"/>
      <c r="AP94" s="19"/>
    </row>
    <row r="95" spans="1:42" x14ac:dyDescent="0.25">
      <c r="A95" s="4">
        <v>53.307940000000002</v>
      </c>
      <c r="B95" s="4">
        <v>-6.1289999999999997E-2</v>
      </c>
      <c r="C95" s="4">
        <v>121</v>
      </c>
      <c r="D95" s="5">
        <f t="shared" si="40"/>
        <v>1152.3544303797494</v>
      </c>
      <c r="E95" s="4">
        <v>21</v>
      </c>
      <c r="F95" s="4">
        <v>22</v>
      </c>
      <c r="G95" s="5">
        <f t="shared" si="41"/>
        <v>6.1111111111111107</v>
      </c>
      <c r="H95" s="5">
        <f t="shared" si="42"/>
        <v>2.1187313326696149</v>
      </c>
      <c r="I95" s="5">
        <f t="shared" si="55"/>
        <v>234.70109862125835</v>
      </c>
      <c r="J95" s="5">
        <f t="shared" si="56"/>
        <v>6.5552855497675019E-2</v>
      </c>
      <c r="K95" s="5">
        <f t="shared" si="35"/>
        <v>40.619171380579346</v>
      </c>
      <c r="L95" s="5">
        <f t="shared" si="43"/>
        <v>18.54325</v>
      </c>
      <c r="M95" s="5">
        <f t="shared" si="36"/>
        <v>127.65203640000001</v>
      </c>
      <c r="N95" s="5">
        <f t="shared" si="37"/>
        <v>11.570438271604937</v>
      </c>
      <c r="O95" s="5">
        <f t="shared" si="44"/>
        <v>0</v>
      </c>
      <c r="P95" s="5">
        <f t="shared" si="45"/>
        <v>0</v>
      </c>
      <c r="Q95" s="5">
        <f t="shared" si="46"/>
        <v>0</v>
      </c>
      <c r="R95" s="5">
        <f t="shared" si="38"/>
        <v>0</v>
      </c>
      <c r="S95" s="4">
        <f t="shared" si="34"/>
        <v>486.29347200000007</v>
      </c>
      <c r="T95" s="5">
        <f t="shared" si="47"/>
        <v>0.54545589338057932</v>
      </c>
      <c r="U95" s="5">
        <f t="shared" si="48"/>
        <v>3.3333415706590954</v>
      </c>
      <c r="V95" s="5">
        <f t="shared" si="49"/>
        <v>3.3333415706590954</v>
      </c>
      <c r="W95" s="5">
        <f t="shared" si="50"/>
        <v>0</v>
      </c>
      <c r="X95" s="26">
        <f t="shared" si="51"/>
        <v>0</v>
      </c>
      <c r="Y95" s="26">
        <f t="shared" si="57"/>
        <v>0</v>
      </c>
      <c r="Z95" s="27">
        <f t="shared" si="52"/>
        <v>3.3333415706590954</v>
      </c>
      <c r="AA95" s="27">
        <f t="shared" si="58"/>
        <v>2698.6092258918766</v>
      </c>
      <c r="AB95" s="28">
        <v>3000</v>
      </c>
      <c r="AC95" s="4">
        <v>394</v>
      </c>
      <c r="AD95" s="5">
        <f t="shared" si="39"/>
        <v>1.728074445841689</v>
      </c>
      <c r="AE95" s="27">
        <f t="shared" si="53"/>
        <v>4.8002067940046915E-4</v>
      </c>
      <c r="AF95" s="27">
        <f t="shared" si="59"/>
        <v>7.2517646623072016E-2</v>
      </c>
      <c r="AG95" s="27">
        <f t="shared" si="54"/>
        <v>100.71895364315559</v>
      </c>
      <c r="AH95" s="1"/>
      <c r="AI95" s="1"/>
      <c r="AK95" s="1"/>
      <c r="AL95" s="19"/>
      <c r="AM95" s="19"/>
      <c r="AN95" s="19"/>
      <c r="AO95" s="19"/>
      <c r="AP95" s="19"/>
    </row>
    <row r="96" spans="1:42" x14ac:dyDescent="0.25">
      <c r="A96" s="4">
        <v>53.308199999999999</v>
      </c>
      <c r="B96" s="4">
        <v>-6.1100000000000002E-2</v>
      </c>
      <c r="C96" s="4">
        <v>122</v>
      </c>
      <c r="D96" s="5">
        <f t="shared" si="40"/>
        <v>1165.4493670886102</v>
      </c>
      <c r="E96" s="4">
        <v>21</v>
      </c>
      <c r="F96" s="4">
        <v>22.5</v>
      </c>
      <c r="G96" s="5">
        <f t="shared" si="41"/>
        <v>6.25</v>
      </c>
      <c r="H96" s="5">
        <f t="shared" si="42"/>
        <v>2.0721658088746784</v>
      </c>
      <c r="I96" s="5">
        <f t="shared" si="55"/>
        <v>236.77326443013303</v>
      </c>
      <c r="J96" s="5">
        <f t="shared" si="56"/>
        <v>6.7025953374028238E-2</v>
      </c>
      <c r="K96" s="5">
        <f t="shared" si="35"/>
        <v>41.531961748682853</v>
      </c>
      <c r="L96" s="5">
        <f t="shared" si="43"/>
        <v>19.395703125000001</v>
      </c>
      <c r="M96" s="5">
        <f t="shared" si="36"/>
        <v>127.65203640000001</v>
      </c>
      <c r="N96" s="5">
        <f t="shared" si="37"/>
        <v>12.102343749999999</v>
      </c>
      <c r="O96" s="5">
        <f t="shared" si="44"/>
        <v>0</v>
      </c>
      <c r="P96" s="5">
        <f t="shared" si="45"/>
        <v>0</v>
      </c>
      <c r="Q96" s="5">
        <f t="shared" si="46"/>
        <v>0</v>
      </c>
      <c r="R96" s="5">
        <f t="shared" si="38"/>
        <v>0</v>
      </c>
      <c r="S96" s="4">
        <f t="shared" si="34"/>
        <v>486.29347200000007</v>
      </c>
      <c r="T96" s="5">
        <f t="shared" si="47"/>
        <v>0.5472211368736829</v>
      </c>
      <c r="U96" s="5">
        <f t="shared" si="48"/>
        <v>3.4201321054605183</v>
      </c>
      <c r="V96" s="5">
        <f t="shared" si="49"/>
        <v>3.4201321054605183</v>
      </c>
      <c r="W96" s="5">
        <f t="shared" si="50"/>
        <v>0</v>
      </c>
      <c r="X96" s="26">
        <f t="shared" si="51"/>
        <v>0</v>
      </c>
      <c r="Y96" s="26">
        <f t="shared" si="57"/>
        <v>0</v>
      </c>
      <c r="Z96" s="27">
        <f t="shared" si="52"/>
        <v>3.4201321054605183</v>
      </c>
      <c r="AA96" s="27">
        <f t="shared" si="58"/>
        <v>2702.0293579973372</v>
      </c>
      <c r="AB96" s="28">
        <v>3000</v>
      </c>
      <c r="AC96" s="4">
        <v>394</v>
      </c>
      <c r="AD96" s="5">
        <f t="shared" si="39"/>
        <v>1.7730684862519004</v>
      </c>
      <c r="AE96" s="27">
        <f t="shared" si="53"/>
        <v>4.9251902395886123E-4</v>
      </c>
      <c r="AF96" s="27">
        <f t="shared" si="59"/>
        <v>7.3010165647030875E-2</v>
      </c>
      <c r="AG96" s="27">
        <f t="shared" si="54"/>
        <v>101.40300784309844</v>
      </c>
      <c r="AH96" s="1"/>
      <c r="AI96" s="1"/>
      <c r="AK96" s="1"/>
      <c r="AL96" s="19"/>
      <c r="AM96" s="19"/>
      <c r="AN96" s="19"/>
      <c r="AO96" s="19"/>
      <c r="AP96" s="19"/>
    </row>
    <row r="97" spans="1:42" x14ac:dyDescent="0.25">
      <c r="A97" s="4">
        <v>53.308369999999996</v>
      </c>
      <c r="B97" s="4">
        <v>-6.0970000000000003E-2</v>
      </c>
      <c r="C97" s="4">
        <v>123</v>
      </c>
      <c r="D97" s="5">
        <f t="shared" si="40"/>
        <v>1178.544303797471</v>
      </c>
      <c r="E97" s="4">
        <v>21</v>
      </c>
      <c r="F97" s="4">
        <v>23</v>
      </c>
      <c r="G97" s="5">
        <f t="shared" si="41"/>
        <v>6.3888888888888884</v>
      </c>
      <c r="H97" s="5">
        <f t="shared" si="42"/>
        <v>2.0276031033074808</v>
      </c>
      <c r="I97" s="5">
        <f t="shared" si="55"/>
        <v>238.80086753344051</v>
      </c>
      <c r="J97" s="5">
        <f t="shared" si="56"/>
        <v>6.849905125037975E-2</v>
      </c>
      <c r="K97" s="5">
        <f t="shared" si="35"/>
        <v>42.44475211678531</v>
      </c>
      <c r="L97" s="5">
        <f t="shared" si="43"/>
        <v>20.267312499999999</v>
      </c>
      <c r="M97" s="5">
        <f t="shared" si="36"/>
        <v>127.65203640000001</v>
      </c>
      <c r="N97" s="5">
        <f t="shared" si="37"/>
        <v>12.646202160493825</v>
      </c>
      <c r="O97" s="5">
        <f t="shared" si="44"/>
        <v>0</v>
      </c>
      <c r="P97" s="5">
        <f t="shared" si="45"/>
        <v>0</v>
      </c>
      <c r="Q97" s="5">
        <f t="shared" si="46"/>
        <v>0</v>
      </c>
      <c r="R97" s="5">
        <f t="shared" si="38"/>
        <v>0</v>
      </c>
      <c r="S97" s="4">
        <f t="shared" si="34"/>
        <v>486.29347200000007</v>
      </c>
      <c r="T97" s="5">
        <f t="shared" si="47"/>
        <v>0.54900553661678531</v>
      </c>
      <c r="U97" s="5">
        <f t="shared" si="48"/>
        <v>3.5075353728294614</v>
      </c>
      <c r="V97" s="5">
        <f t="shared" si="49"/>
        <v>3.5075353728294614</v>
      </c>
      <c r="W97" s="5">
        <f t="shared" si="50"/>
        <v>0</v>
      </c>
      <c r="X97" s="26">
        <f t="shared" si="51"/>
        <v>0</v>
      </c>
      <c r="Y97" s="26">
        <f t="shared" si="57"/>
        <v>0</v>
      </c>
      <c r="Z97" s="27">
        <f t="shared" si="52"/>
        <v>3.5075353728294614</v>
      </c>
      <c r="AA97" s="27">
        <f t="shared" si="58"/>
        <v>2705.5368933701666</v>
      </c>
      <c r="AB97" s="28">
        <v>3000</v>
      </c>
      <c r="AC97" s="4">
        <v>394</v>
      </c>
      <c r="AD97" s="5">
        <f t="shared" si="39"/>
        <v>1.818380180124747</v>
      </c>
      <c r="AE97" s="27">
        <f t="shared" si="53"/>
        <v>5.0510560559020748E-4</v>
      </c>
      <c r="AF97" s="27">
        <f t="shared" si="59"/>
        <v>7.3515271252621084E-2</v>
      </c>
      <c r="AG97" s="27">
        <f t="shared" si="54"/>
        <v>102.10454340641817</v>
      </c>
      <c r="AH97" s="1"/>
      <c r="AI97" s="1"/>
      <c r="AK97" s="1"/>
      <c r="AL97" s="19"/>
      <c r="AM97" s="19"/>
      <c r="AN97" s="19"/>
      <c r="AO97" s="19"/>
      <c r="AP97" s="19"/>
    </row>
    <row r="98" spans="1:42" x14ac:dyDescent="0.25">
      <c r="A98" s="4">
        <v>53.308599999999998</v>
      </c>
      <c r="B98" s="4">
        <v>-6.0830000000000002E-2</v>
      </c>
      <c r="C98" s="4">
        <v>122</v>
      </c>
      <c r="D98" s="5">
        <f t="shared" si="40"/>
        <v>1191.6392405063318</v>
      </c>
      <c r="E98" s="4">
        <v>21</v>
      </c>
      <c r="F98" s="4">
        <v>23.5</v>
      </c>
      <c r="G98" s="5">
        <f t="shared" si="41"/>
        <v>6.5277777777777777</v>
      </c>
      <c r="H98" s="5">
        <f t="shared" si="42"/>
        <v>1.9849167221852184</v>
      </c>
      <c r="I98" s="5">
        <f t="shared" si="55"/>
        <v>240.78578425562574</v>
      </c>
      <c r="J98" s="5">
        <f t="shared" si="56"/>
        <v>6.9972149126732053E-2</v>
      </c>
      <c r="K98" s="5">
        <f t="shared" si="35"/>
        <v>43.357542484888249</v>
      </c>
      <c r="L98" s="5">
        <f t="shared" si="43"/>
        <v>21.158078124999999</v>
      </c>
      <c r="M98" s="5">
        <f t="shared" si="36"/>
        <v>127.65203640000001</v>
      </c>
      <c r="N98" s="5">
        <f t="shared" si="37"/>
        <v>13.202013503086418</v>
      </c>
      <c r="O98" s="5">
        <f t="shared" si="44"/>
        <v>0</v>
      </c>
      <c r="P98" s="5">
        <f t="shared" si="45"/>
        <v>0</v>
      </c>
      <c r="Q98" s="5">
        <f t="shared" si="46"/>
        <v>0</v>
      </c>
      <c r="R98" s="5">
        <f t="shared" si="38"/>
        <v>0</v>
      </c>
      <c r="S98" s="4">
        <f t="shared" si="34"/>
        <v>486.29347200000007</v>
      </c>
      <c r="T98" s="5">
        <f t="shared" si="47"/>
        <v>0.5508090926098882</v>
      </c>
      <c r="U98" s="5">
        <f t="shared" si="48"/>
        <v>3.5955593545367699</v>
      </c>
      <c r="V98" s="5">
        <f t="shared" si="49"/>
        <v>3.5955593545367699</v>
      </c>
      <c r="W98" s="5">
        <f t="shared" si="50"/>
        <v>0</v>
      </c>
      <c r="X98" s="26">
        <f t="shared" si="51"/>
        <v>0</v>
      </c>
      <c r="Y98" s="26">
        <f t="shared" si="57"/>
        <v>0</v>
      </c>
      <c r="Z98" s="27">
        <f t="shared" si="52"/>
        <v>3.5955593545367699</v>
      </c>
      <c r="AA98" s="27">
        <f t="shared" si="58"/>
        <v>2709.1324527247034</v>
      </c>
      <c r="AB98" s="28">
        <v>3000</v>
      </c>
      <c r="AC98" s="4">
        <v>394</v>
      </c>
      <c r="AD98" s="5">
        <f t="shared" si="39"/>
        <v>1.8640136653782728</v>
      </c>
      <c r="AE98" s="27">
        <f t="shared" si="53"/>
        <v>5.177815737161869E-4</v>
      </c>
      <c r="AF98" s="27">
        <f t="shared" si="59"/>
        <v>7.4033052826337264E-2</v>
      </c>
      <c r="AG98" s="27">
        <f t="shared" si="54"/>
        <v>102.82368448102399</v>
      </c>
      <c r="AH98" s="1"/>
      <c r="AI98" s="1"/>
      <c r="AK98" s="1"/>
      <c r="AL98" s="19"/>
      <c r="AM98" s="19"/>
      <c r="AN98" s="19"/>
      <c r="AO98" s="19"/>
      <c r="AP98" s="19"/>
    </row>
    <row r="99" spans="1:42" x14ac:dyDescent="0.25">
      <c r="A99" s="4">
        <v>53.308819999999997</v>
      </c>
      <c r="B99" s="4">
        <v>-6.0690000000000001E-2</v>
      </c>
      <c r="C99" s="4">
        <v>117</v>
      </c>
      <c r="D99" s="5">
        <f t="shared" si="40"/>
        <v>1204.7341772151926</v>
      </c>
      <c r="E99" s="4">
        <v>21</v>
      </c>
      <c r="F99" s="4">
        <v>24</v>
      </c>
      <c r="G99" s="5">
        <f t="shared" si="41"/>
        <v>6.6666666666666661</v>
      </c>
      <c r="H99" s="5">
        <f t="shared" si="42"/>
        <v>1.9439906042020179</v>
      </c>
      <c r="I99" s="5">
        <f t="shared" si="55"/>
        <v>242.72977485982776</v>
      </c>
      <c r="J99" s="5">
        <f t="shared" si="56"/>
        <v>7.1445247003084508E-2</v>
      </c>
      <c r="K99" s="5">
        <f t="shared" si="35"/>
        <v>44.270332852991281</v>
      </c>
      <c r="L99" s="5">
        <f t="shared" si="43"/>
        <v>22.067999999999998</v>
      </c>
      <c r="M99" s="5">
        <f t="shared" si="36"/>
        <v>127.65203640000001</v>
      </c>
      <c r="N99" s="5">
        <f t="shared" si="37"/>
        <v>13.769777777777776</v>
      </c>
      <c r="O99" s="5">
        <f t="shared" si="44"/>
        <v>0</v>
      </c>
      <c r="P99" s="5">
        <f t="shared" si="45"/>
        <v>0</v>
      </c>
      <c r="Q99" s="5">
        <f t="shared" si="46"/>
        <v>0</v>
      </c>
      <c r="R99" s="5">
        <f t="shared" si="38"/>
        <v>0</v>
      </c>
      <c r="S99" s="4">
        <f t="shared" si="34"/>
        <v>486.29347200000007</v>
      </c>
      <c r="T99" s="5">
        <f t="shared" si="47"/>
        <v>0.55263180485299135</v>
      </c>
      <c r="U99" s="5">
        <f t="shared" si="48"/>
        <v>3.6842120323532752</v>
      </c>
      <c r="V99" s="5">
        <f t="shared" si="49"/>
        <v>3.6842120323532752</v>
      </c>
      <c r="W99" s="5">
        <f t="shared" si="50"/>
        <v>0</v>
      </c>
      <c r="X99" s="26">
        <f t="shared" si="51"/>
        <v>0</v>
      </c>
      <c r="Y99" s="26">
        <f t="shared" si="57"/>
        <v>0</v>
      </c>
      <c r="Z99" s="27">
        <f t="shared" si="52"/>
        <v>3.6842120323532752</v>
      </c>
      <c r="AA99" s="27">
        <f t="shared" si="58"/>
        <v>2712.8166647570565</v>
      </c>
      <c r="AB99" s="28">
        <v>3000</v>
      </c>
      <c r="AC99" s="4">
        <v>394</v>
      </c>
      <c r="AD99" s="5">
        <f t="shared" si="39"/>
        <v>1.9099730799305137</v>
      </c>
      <c r="AE99" s="27">
        <f t="shared" si="53"/>
        <v>5.3054807775847603E-4</v>
      </c>
      <c r="AF99" s="27">
        <f t="shared" si="59"/>
        <v>7.4563600904095736E-2</v>
      </c>
      <c r="AG99" s="27">
        <f t="shared" si="54"/>
        <v>103.56055681124408</v>
      </c>
      <c r="AH99" s="1"/>
      <c r="AI99" s="1"/>
      <c r="AK99" s="1"/>
      <c r="AL99" s="19"/>
      <c r="AM99" s="19"/>
      <c r="AN99" s="19"/>
      <c r="AO99" s="19"/>
      <c r="AP99" s="19"/>
    </row>
    <row r="100" spans="1:42" x14ac:dyDescent="0.25">
      <c r="A100" s="4">
        <v>53.308979999999998</v>
      </c>
      <c r="B100" s="4">
        <v>-6.0609999999999997E-2</v>
      </c>
      <c r="C100" s="4">
        <v>113</v>
      </c>
      <c r="D100" s="5">
        <f t="shared" si="40"/>
        <v>1217.8291139240534</v>
      </c>
      <c r="E100" s="4">
        <v>21</v>
      </c>
      <c r="F100" s="4">
        <v>24.5</v>
      </c>
      <c r="G100" s="5">
        <f t="shared" si="41"/>
        <v>6.8055555555555554</v>
      </c>
      <c r="H100" s="5">
        <f t="shared" si="42"/>
        <v>1.9047180667433912</v>
      </c>
      <c r="I100" s="5">
        <f t="shared" si="55"/>
        <v>244.63449292657114</v>
      </c>
      <c r="J100" s="5">
        <f t="shared" si="56"/>
        <v>7.2918344879437338E-2</v>
      </c>
      <c r="K100" s="5">
        <f t="shared" si="35"/>
        <v>45.183123221094554</v>
      </c>
      <c r="L100" s="5">
        <f t="shared" si="43"/>
        <v>22.997078124999998</v>
      </c>
      <c r="M100" s="5">
        <f t="shared" si="36"/>
        <v>127.65203640000001</v>
      </c>
      <c r="N100" s="5">
        <f t="shared" si="37"/>
        <v>14.349494984567901</v>
      </c>
      <c r="O100" s="5">
        <f t="shared" si="44"/>
        <v>0</v>
      </c>
      <c r="P100" s="5">
        <f t="shared" si="45"/>
        <v>0</v>
      </c>
      <c r="Q100" s="5">
        <f t="shared" si="46"/>
        <v>0</v>
      </c>
      <c r="R100" s="5">
        <f t="shared" si="38"/>
        <v>0</v>
      </c>
      <c r="S100" s="4">
        <f t="shared" si="34"/>
        <v>486.29347200000007</v>
      </c>
      <c r="T100" s="5">
        <f t="shared" si="47"/>
        <v>0.55447367334609465</v>
      </c>
      <c r="U100" s="5">
        <f t="shared" si="48"/>
        <v>3.7735013880498109</v>
      </c>
      <c r="V100" s="5">
        <f t="shared" si="49"/>
        <v>3.7735013880498109</v>
      </c>
      <c r="W100" s="5">
        <f t="shared" si="50"/>
        <v>0</v>
      </c>
      <c r="X100" s="26">
        <f t="shared" si="51"/>
        <v>0</v>
      </c>
      <c r="Y100" s="26">
        <f t="shared" si="57"/>
        <v>0</v>
      </c>
      <c r="Z100" s="27">
        <f t="shared" si="52"/>
        <v>3.7735013880498109</v>
      </c>
      <c r="AA100" s="27">
        <f t="shared" si="58"/>
        <v>2716.5901661451062</v>
      </c>
      <c r="AB100" s="28">
        <v>3000</v>
      </c>
      <c r="AC100" s="4">
        <v>394</v>
      </c>
      <c r="AD100" s="5">
        <f t="shared" si="39"/>
        <v>1.9562625616995071</v>
      </c>
      <c r="AE100" s="27">
        <f t="shared" si="53"/>
        <v>5.4340626713875195E-4</v>
      </c>
      <c r="AF100" s="27">
        <f t="shared" si="59"/>
        <v>7.5107007171234488E-2</v>
      </c>
      <c r="AG100" s="27">
        <f t="shared" si="54"/>
        <v>104.31528773782568</v>
      </c>
      <c r="AH100" s="1"/>
      <c r="AI100" s="1"/>
      <c r="AK100" s="1"/>
      <c r="AL100" s="19"/>
      <c r="AM100" s="19"/>
      <c r="AN100" s="19"/>
      <c r="AO100" s="19"/>
      <c r="AP100" s="19"/>
    </row>
    <row r="101" spans="1:42" x14ac:dyDescent="0.25">
      <c r="A101" s="4">
        <v>53.309089999999998</v>
      </c>
      <c r="B101" s="4">
        <v>-6.0600000000000001E-2</v>
      </c>
      <c r="C101" s="4">
        <v>111</v>
      </c>
      <c r="D101" s="5">
        <f t="shared" si="40"/>
        <v>1230.9240506329143</v>
      </c>
      <c r="E101" s="4">
        <v>21</v>
      </c>
      <c r="F101" s="4">
        <v>25</v>
      </c>
      <c r="G101" s="5">
        <f t="shared" si="41"/>
        <v>6.9444444444444446</v>
      </c>
      <c r="H101" s="5">
        <f t="shared" si="42"/>
        <v>1.8670008773029279</v>
      </c>
      <c r="I101" s="5">
        <f t="shared" si="55"/>
        <v>246.50149380387407</v>
      </c>
      <c r="J101" s="5">
        <f t="shared" si="56"/>
        <v>7.4391442755789364E-2</v>
      </c>
      <c r="K101" s="5">
        <f t="shared" si="35"/>
        <v>46.095913589197323</v>
      </c>
      <c r="L101" s="5">
        <f t="shared" si="43"/>
        <v>23.945312500000004</v>
      </c>
      <c r="M101" s="5">
        <f t="shared" si="36"/>
        <v>127.65203640000001</v>
      </c>
      <c r="N101" s="5">
        <f t="shared" si="37"/>
        <v>14.941165123456791</v>
      </c>
      <c r="O101" s="5">
        <f t="shared" si="44"/>
        <v>0</v>
      </c>
      <c r="P101" s="5">
        <f t="shared" si="45"/>
        <v>0</v>
      </c>
      <c r="Q101" s="5">
        <f t="shared" si="46"/>
        <v>0</v>
      </c>
      <c r="R101" s="5">
        <f t="shared" si="38"/>
        <v>0</v>
      </c>
      <c r="S101" s="4">
        <f t="shared" ref="S101:S135" si="60" xml:space="preserve"> ($Q$3*($L$2*$G$2))</f>
        <v>486.29347200000007</v>
      </c>
      <c r="T101" s="5">
        <f t="shared" si="47"/>
        <v>0.55633469808919744</v>
      </c>
      <c r="U101" s="5">
        <f t="shared" si="48"/>
        <v>3.8634354033972045</v>
      </c>
      <c r="V101" s="5">
        <f t="shared" si="49"/>
        <v>3.8634354033972045</v>
      </c>
      <c r="W101" s="5">
        <f t="shared" si="50"/>
        <v>0</v>
      </c>
      <c r="X101" s="26">
        <f t="shared" si="51"/>
        <v>0</v>
      </c>
      <c r="Y101" s="26">
        <f t="shared" si="57"/>
        <v>0</v>
      </c>
      <c r="Z101" s="27">
        <f t="shared" si="52"/>
        <v>3.8634354033972045</v>
      </c>
      <c r="AA101" s="27">
        <f t="shared" si="58"/>
        <v>2720.4536015485032</v>
      </c>
      <c r="AB101" s="28">
        <v>3000</v>
      </c>
      <c r="AC101" s="4">
        <v>394</v>
      </c>
      <c r="AD101" s="5">
        <f t="shared" si="39"/>
        <v>2.0028862486032879</v>
      </c>
      <c r="AE101" s="27">
        <f t="shared" si="53"/>
        <v>5.5635729127869111E-4</v>
      </c>
      <c r="AF101" s="27">
        <f t="shared" si="59"/>
        <v>7.5663364462513177E-2</v>
      </c>
      <c r="AG101" s="27">
        <f t="shared" si="54"/>
        <v>105.08800619793497</v>
      </c>
      <c r="AH101" s="1"/>
      <c r="AI101" s="1"/>
      <c r="AK101" s="1"/>
      <c r="AL101" s="19"/>
      <c r="AM101" s="19"/>
      <c r="AN101" s="19"/>
      <c r="AO101" s="19"/>
      <c r="AP101" s="19"/>
    </row>
    <row r="102" spans="1:42" x14ac:dyDescent="0.25">
      <c r="A102" s="4">
        <v>53.309190000000001</v>
      </c>
      <c r="B102" s="4">
        <v>-6.0639999999999999E-2</v>
      </c>
      <c r="C102" s="4">
        <v>109</v>
      </c>
      <c r="D102" s="5">
        <f t="shared" si="40"/>
        <v>1244.0189873417751</v>
      </c>
      <c r="E102" s="4">
        <v>21</v>
      </c>
      <c r="F102" s="4">
        <v>25.5</v>
      </c>
      <c r="G102" s="5">
        <f t="shared" si="41"/>
        <v>7.083333333333333</v>
      </c>
      <c r="H102" s="5">
        <f t="shared" si="42"/>
        <v>1.8307484330834536</v>
      </c>
      <c r="I102" s="5">
        <f t="shared" si="55"/>
        <v>248.33224223695751</v>
      </c>
      <c r="J102" s="5">
        <f t="shared" si="56"/>
        <v>7.5864540632141597E-2</v>
      </c>
      <c r="K102" s="5">
        <f t="shared" si="35"/>
        <v>47.00870395730022</v>
      </c>
      <c r="L102" s="5">
        <f t="shared" si="43"/>
        <v>24.912703124999997</v>
      </c>
      <c r="M102" s="5">
        <f t="shared" si="36"/>
        <v>127.65203640000001</v>
      </c>
      <c r="N102" s="5">
        <f t="shared" si="37"/>
        <v>15.544788194444443</v>
      </c>
      <c r="O102" s="5">
        <f t="shared" si="44"/>
        <v>0</v>
      </c>
      <c r="P102" s="5">
        <f t="shared" si="45"/>
        <v>0</v>
      </c>
      <c r="Q102" s="5">
        <f t="shared" si="46"/>
        <v>0</v>
      </c>
      <c r="R102" s="5">
        <f t="shared" si="38"/>
        <v>0</v>
      </c>
      <c r="S102" s="4">
        <f t="shared" si="60"/>
        <v>486.29347200000007</v>
      </c>
      <c r="T102" s="5">
        <f t="shared" si="47"/>
        <v>0.55821487908230027</v>
      </c>
      <c r="U102" s="5">
        <f t="shared" si="48"/>
        <v>3.9540220601662934</v>
      </c>
      <c r="V102" s="5">
        <f t="shared" si="49"/>
        <v>3.9540220601662934</v>
      </c>
      <c r="W102" s="5">
        <f t="shared" si="50"/>
        <v>0</v>
      </c>
      <c r="X102" s="26">
        <f t="shared" si="51"/>
        <v>0</v>
      </c>
      <c r="Y102" s="26">
        <f t="shared" si="57"/>
        <v>0</v>
      </c>
      <c r="Z102" s="27">
        <f t="shared" si="52"/>
        <v>3.9540220601662934</v>
      </c>
      <c r="AA102" s="27">
        <f t="shared" si="58"/>
        <v>2724.4076236086694</v>
      </c>
      <c r="AB102" s="28">
        <v>3000</v>
      </c>
      <c r="AC102" s="4">
        <v>394</v>
      </c>
      <c r="AD102" s="5">
        <f t="shared" si="39"/>
        <v>2.0498482785598942</v>
      </c>
      <c r="AE102" s="27">
        <f t="shared" si="53"/>
        <v>5.6940229959997059E-4</v>
      </c>
      <c r="AF102" s="27">
        <f t="shared" si="59"/>
        <v>7.6232766762113144E-2</v>
      </c>
      <c r="AG102" s="27">
        <f t="shared" si="54"/>
        <v>105.87884272515714</v>
      </c>
      <c r="AH102" s="1"/>
      <c r="AI102" s="1"/>
      <c r="AK102" s="1"/>
      <c r="AL102" s="19"/>
      <c r="AM102" s="19"/>
      <c r="AN102" s="19"/>
      <c r="AO102" s="19"/>
      <c r="AP102" s="19"/>
    </row>
    <row r="103" spans="1:42" x14ac:dyDescent="0.25">
      <c r="A103" s="4">
        <v>53.309289999999997</v>
      </c>
      <c r="B103" s="4">
        <v>-6.0769999999999998E-2</v>
      </c>
      <c r="C103" s="4">
        <v>108</v>
      </c>
      <c r="D103" s="5">
        <f t="shared" si="40"/>
        <v>1257.1139240506359</v>
      </c>
      <c r="E103" s="4">
        <v>21</v>
      </c>
      <c r="F103" s="4">
        <v>26</v>
      </c>
      <c r="G103" s="5">
        <f t="shared" si="41"/>
        <v>7.2222222222222223</v>
      </c>
      <c r="H103" s="5">
        <f t="shared" si="42"/>
        <v>1.7958770343580546</v>
      </c>
      <c r="I103" s="5">
        <f t="shared" si="55"/>
        <v>250.12811927131557</v>
      </c>
      <c r="J103" s="5">
        <f t="shared" si="56"/>
        <v>7.7337638508493789E-2</v>
      </c>
      <c r="K103" s="5">
        <f t="shared" ref="K103:K134" si="61">J103*$L$2</f>
        <v>47.921494325403089</v>
      </c>
      <c r="L103" s="5">
        <f t="shared" si="43"/>
        <v>25.899250000000002</v>
      </c>
      <c r="M103" s="5">
        <f t="shared" ref="M103:M134" si="62">($L$2*$G$2*E103)/1000</f>
        <v>127.65203640000001</v>
      </c>
      <c r="N103" s="5">
        <f t="shared" ref="N103:N134" si="63">(0.5*$L$2*(G103^2))/1000</f>
        <v>16.160364197530864</v>
      </c>
      <c r="O103" s="5">
        <f t="shared" si="44"/>
        <v>0</v>
      </c>
      <c r="P103" s="5">
        <f t="shared" si="45"/>
        <v>0</v>
      </c>
      <c r="Q103" s="5">
        <f t="shared" si="46"/>
        <v>0</v>
      </c>
      <c r="R103" s="5">
        <f t="shared" ref="R103:R134" si="64">($L$2*$G$2*SIN(Q103))</f>
        <v>0</v>
      </c>
      <c r="S103" s="4">
        <f t="shared" si="60"/>
        <v>486.29347200000007</v>
      </c>
      <c r="T103" s="5">
        <f t="shared" si="47"/>
        <v>0.56011421632540315</v>
      </c>
      <c r="U103" s="5">
        <f t="shared" si="48"/>
        <v>4.0452693401279118</v>
      </c>
      <c r="V103" s="5">
        <f t="shared" si="49"/>
        <v>4.0452693401279118</v>
      </c>
      <c r="W103" s="5">
        <f t="shared" si="50"/>
        <v>0</v>
      </c>
      <c r="X103" s="26">
        <f t="shared" si="51"/>
        <v>0</v>
      </c>
      <c r="Y103" s="26">
        <f t="shared" si="57"/>
        <v>0</v>
      </c>
      <c r="Z103" s="27">
        <f t="shared" si="52"/>
        <v>4.0452693401279118</v>
      </c>
      <c r="AA103" s="27">
        <f t="shared" si="58"/>
        <v>2728.4528929487974</v>
      </c>
      <c r="AB103" s="28">
        <v>3000</v>
      </c>
      <c r="AC103" s="4">
        <v>394</v>
      </c>
      <c r="AD103" s="5">
        <f t="shared" ref="AD103:AD134" si="65">IF(V103&lt;0,((V103=0)*AC103/760),V103*AC103/760)</f>
        <v>2.0971527894873647</v>
      </c>
      <c r="AE103" s="27">
        <f t="shared" si="53"/>
        <v>5.8254244152426801E-4</v>
      </c>
      <c r="AF103" s="27">
        <f t="shared" si="59"/>
        <v>7.6815309203637411E-2</v>
      </c>
      <c r="AG103" s="27">
        <f t="shared" si="54"/>
        <v>106.68792944949641</v>
      </c>
      <c r="AH103" s="1"/>
      <c r="AI103" s="1"/>
      <c r="AK103" s="1"/>
      <c r="AL103" s="19"/>
      <c r="AM103" s="19"/>
      <c r="AN103" s="19"/>
      <c r="AO103" s="19"/>
      <c r="AP103" s="19"/>
    </row>
    <row r="104" spans="1:42" x14ac:dyDescent="0.25">
      <c r="A104" s="4">
        <v>53.309370000000001</v>
      </c>
      <c r="B104" s="4">
        <v>-6.0940000000000001E-2</v>
      </c>
      <c r="C104" s="4">
        <v>108</v>
      </c>
      <c r="D104" s="5">
        <f t="shared" ref="D104:D135" si="66">D103+$A$2</f>
        <v>1270.2088607594967</v>
      </c>
      <c r="E104" s="4">
        <v>21</v>
      </c>
      <c r="F104" s="4">
        <v>26.5</v>
      </c>
      <c r="G104" s="5">
        <f t="shared" si="41"/>
        <v>7.3611111111111107</v>
      </c>
      <c r="H104" s="5">
        <f t="shared" si="42"/>
        <v>1.7623092393233246</v>
      </c>
      <c r="I104" s="5">
        <f t="shared" si="55"/>
        <v>251.89042851063888</v>
      </c>
      <c r="J104" s="5">
        <f t="shared" si="56"/>
        <v>7.8810736384846078E-2</v>
      </c>
      <c r="K104" s="5">
        <f t="shared" si="61"/>
        <v>48.834284693506021</v>
      </c>
      <c r="L104" s="5">
        <f t="shared" si="43"/>
        <v>26.904953124999995</v>
      </c>
      <c r="M104" s="5">
        <f t="shared" si="62"/>
        <v>127.65203640000001</v>
      </c>
      <c r="N104" s="5">
        <f t="shared" si="63"/>
        <v>16.787893132716047</v>
      </c>
      <c r="O104" s="5">
        <f t="shared" ref="O104:O135" si="67">(E105-E104)/$A$2</f>
        <v>0</v>
      </c>
      <c r="P104" s="5">
        <f t="shared" si="45"/>
        <v>0</v>
      </c>
      <c r="Q104" s="5">
        <f t="shared" si="46"/>
        <v>0</v>
      </c>
      <c r="R104" s="5">
        <f t="shared" si="64"/>
        <v>0</v>
      </c>
      <c r="S104" s="4">
        <f t="shared" si="60"/>
        <v>486.29347200000007</v>
      </c>
      <c r="T104" s="5">
        <f t="shared" si="47"/>
        <v>0.56203270981850606</v>
      </c>
      <c r="U104" s="5">
        <f t="shared" si="48"/>
        <v>4.1371852250528915</v>
      </c>
      <c r="V104" s="5">
        <f t="shared" si="49"/>
        <v>4.1371852250528915</v>
      </c>
      <c r="W104" s="5">
        <f t="shared" si="50"/>
        <v>0</v>
      </c>
      <c r="X104" s="26">
        <f t="shared" si="51"/>
        <v>0</v>
      </c>
      <c r="Y104" s="26">
        <f t="shared" si="57"/>
        <v>0</v>
      </c>
      <c r="Z104" s="27">
        <f t="shared" si="52"/>
        <v>4.1371852250528915</v>
      </c>
      <c r="AA104" s="27">
        <f t="shared" si="58"/>
        <v>2732.5900781738501</v>
      </c>
      <c r="AB104" s="28">
        <v>3000</v>
      </c>
      <c r="AC104" s="4">
        <v>394</v>
      </c>
      <c r="AD104" s="5">
        <f t="shared" si="65"/>
        <v>2.1448039193037358</v>
      </c>
      <c r="AE104" s="27">
        <f t="shared" si="53"/>
        <v>5.9577886647325994E-4</v>
      </c>
      <c r="AF104" s="27">
        <f t="shared" si="59"/>
        <v>7.741108807011067E-2</v>
      </c>
      <c r="AG104" s="27">
        <f t="shared" si="54"/>
        <v>107.51540009737593</v>
      </c>
      <c r="AH104" s="1"/>
      <c r="AI104" s="1"/>
      <c r="AK104" s="1"/>
      <c r="AL104" s="19"/>
      <c r="AM104" s="19"/>
      <c r="AN104" s="19"/>
      <c r="AO104" s="19"/>
      <c r="AP104" s="19"/>
    </row>
    <row r="105" spans="1:42" x14ac:dyDescent="0.25">
      <c r="A105" s="4">
        <v>53.309429999999999</v>
      </c>
      <c r="B105" s="4">
        <v>-6.1109999999999998E-2</v>
      </c>
      <c r="C105" s="4">
        <v>109</v>
      </c>
      <c r="D105" s="5">
        <f t="shared" si="66"/>
        <v>1283.3037974683575</v>
      </c>
      <c r="E105" s="4">
        <v>21</v>
      </c>
      <c r="F105" s="4">
        <v>27</v>
      </c>
      <c r="G105" s="5">
        <f t="shared" si="41"/>
        <v>7.5</v>
      </c>
      <c r="H105" s="5">
        <f t="shared" si="42"/>
        <v>1.7299732899779423</v>
      </c>
      <c r="I105" s="5">
        <f t="shared" si="55"/>
        <v>253.62040180061683</v>
      </c>
      <c r="J105" s="5">
        <f t="shared" si="56"/>
        <v>8.0283834261198131E-2</v>
      </c>
      <c r="K105" s="5">
        <f t="shared" si="61"/>
        <v>49.747075061608811</v>
      </c>
      <c r="L105" s="5">
        <f t="shared" si="43"/>
        <v>27.929812500000004</v>
      </c>
      <c r="M105" s="5">
        <f t="shared" si="62"/>
        <v>127.65203640000001</v>
      </c>
      <c r="N105" s="5">
        <f t="shared" si="63"/>
        <v>17.427375000000001</v>
      </c>
      <c r="O105" s="5">
        <f t="shared" si="67"/>
        <v>0</v>
      </c>
      <c r="P105" s="5">
        <f t="shared" si="45"/>
        <v>0</v>
      </c>
      <c r="Q105" s="5">
        <f t="shared" si="46"/>
        <v>0</v>
      </c>
      <c r="R105" s="5">
        <f t="shared" si="64"/>
        <v>0</v>
      </c>
      <c r="S105" s="4">
        <f t="shared" si="60"/>
        <v>486.29347200000007</v>
      </c>
      <c r="T105" s="5">
        <f t="shared" si="47"/>
        <v>0.5639703595616089</v>
      </c>
      <c r="U105" s="5">
        <f t="shared" si="48"/>
        <v>4.229777696712067</v>
      </c>
      <c r="V105" s="5">
        <f t="shared" si="49"/>
        <v>4.229777696712067</v>
      </c>
      <c r="W105" s="5">
        <f t="shared" si="50"/>
        <v>0</v>
      </c>
      <c r="X105" s="26">
        <f t="shared" si="51"/>
        <v>0</v>
      </c>
      <c r="Y105" s="26">
        <f t="shared" si="57"/>
        <v>0</v>
      </c>
      <c r="Z105" s="27">
        <f t="shared" si="52"/>
        <v>4.229777696712067</v>
      </c>
      <c r="AA105" s="27">
        <f t="shared" si="58"/>
        <v>2736.8198558705622</v>
      </c>
      <c r="AB105" s="28">
        <v>3000</v>
      </c>
      <c r="AC105" s="4">
        <v>394</v>
      </c>
      <c r="AD105" s="5">
        <f t="shared" si="65"/>
        <v>2.1928058059270454</v>
      </c>
      <c r="AE105" s="27">
        <f t="shared" si="53"/>
        <v>6.0911272386862377E-4</v>
      </c>
      <c r="AF105" s="27">
        <f t="shared" si="59"/>
        <v>7.8020200793979297E-2</v>
      </c>
      <c r="AG105" s="27">
        <f t="shared" si="54"/>
        <v>108.36138999163791</v>
      </c>
      <c r="AH105" s="1"/>
      <c r="AI105" s="1"/>
      <c r="AK105" s="1"/>
      <c r="AL105" s="19"/>
      <c r="AM105" s="19"/>
      <c r="AN105" s="19"/>
      <c r="AO105" s="19"/>
      <c r="AP105" s="19"/>
    </row>
    <row r="106" spans="1:42" x14ac:dyDescent="0.25">
      <c r="A106" s="4">
        <v>53.3095</v>
      </c>
      <c r="B106" s="4">
        <v>-6.1260000000000002E-2</v>
      </c>
      <c r="C106" s="4">
        <v>111</v>
      </c>
      <c r="D106" s="5">
        <f t="shared" si="66"/>
        <v>1296.3987341772183</v>
      </c>
      <c r="E106" s="4">
        <v>21</v>
      </c>
      <c r="F106" s="4">
        <v>27.5</v>
      </c>
      <c r="G106" s="5">
        <f t="shared" si="41"/>
        <v>7.6388888888888884</v>
      </c>
      <c r="H106" s="5">
        <f t="shared" si="42"/>
        <v>1.69880260006843</v>
      </c>
      <c r="I106" s="5">
        <f t="shared" si="55"/>
        <v>255.31920440068527</v>
      </c>
      <c r="J106" s="5">
        <f t="shared" si="56"/>
        <v>8.1756932137550017E-2</v>
      </c>
      <c r="K106" s="5">
        <f t="shared" si="61"/>
        <v>50.659865429711495</v>
      </c>
      <c r="L106" s="5">
        <f t="shared" si="43"/>
        <v>28.973828124999997</v>
      </c>
      <c r="M106" s="5">
        <f t="shared" si="62"/>
        <v>127.65203640000001</v>
      </c>
      <c r="N106" s="5">
        <f t="shared" si="63"/>
        <v>18.078809799382714</v>
      </c>
      <c r="O106" s="5">
        <f t="shared" si="67"/>
        <v>0</v>
      </c>
      <c r="P106" s="5">
        <f t="shared" si="45"/>
        <v>0</v>
      </c>
      <c r="Q106" s="5">
        <f t="shared" si="46"/>
        <v>0</v>
      </c>
      <c r="R106" s="5">
        <f t="shared" si="64"/>
        <v>0</v>
      </c>
      <c r="S106" s="4">
        <f t="shared" si="60"/>
        <v>486.29347200000007</v>
      </c>
      <c r="T106" s="5">
        <f t="shared" si="47"/>
        <v>0.56592716555471156</v>
      </c>
      <c r="U106" s="5">
        <f t="shared" si="48"/>
        <v>4.3230547368762684</v>
      </c>
      <c r="V106" s="5">
        <f t="shared" si="49"/>
        <v>4.3230547368762684</v>
      </c>
      <c r="W106" s="5">
        <f t="shared" si="50"/>
        <v>0</v>
      </c>
      <c r="X106" s="26">
        <f t="shared" si="51"/>
        <v>0</v>
      </c>
      <c r="Y106" s="26">
        <f t="shared" si="57"/>
        <v>0</v>
      </c>
      <c r="Z106" s="27">
        <f t="shared" si="52"/>
        <v>4.3230547368762684</v>
      </c>
      <c r="AA106" s="27">
        <f t="shared" si="58"/>
        <v>2741.1429106074384</v>
      </c>
      <c r="AB106" s="28">
        <v>3000</v>
      </c>
      <c r="AC106" s="4">
        <v>394</v>
      </c>
      <c r="AD106" s="5">
        <f t="shared" si="65"/>
        <v>2.2411625872753285</v>
      </c>
      <c r="AE106" s="27">
        <f t="shared" si="53"/>
        <v>6.2254516313203572E-4</v>
      </c>
      <c r="AF106" s="27">
        <f t="shared" si="59"/>
        <v>7.8642745957111335E-2</v>
      </c>
      <c r="AG106" s="27">
        <f t="shared" si="54"/>
        <v>109.22603605154352</v>
      </c>
      <c r="AH106" s="1"/>
      <c r="AI106" s="1"/>
      <c r="AK106" s="1"/>
      <c r="AL106" s="19"/>
      <c r="AM106" s="19"/>
      <c r="AN106" s="19"/>
      <c r="AO106" s="19"/>
      <c r="AP106" s="19"/>
    </row>
    <row r="107" spans="1:42" x14ac:dyDescent="0.25">
      <c r="A107" s="4">
        <v>53.309609999999999</v>
      </c>
      <c r="B107" s="4">
        <v>-6.1269999999999998E-2</v>
      </c>
      <c r="C107" s="4">
        <v>112</v>
      </c>
      <c r="D107" s="5">
        <f t="shared" si="66"/>
        <v>1309.4936708860791</v>
      </c>
      <c r="E107" s="4">
        <v>21</v>
      </c>
      <c r="F107" s="4">
        <v>28</v>
      </c>
      <c r="G107" s="5">
        <f t="shared" si="41"/>
        <v>7.7777777777777777</v>
      </c>
      <c r="H107" s="5">
        <f t="shared" si="42"/>
        <v>1.6687352974123517</v>
      </c>
      <c r="I107" s="5">
        <f t="shared" si="55"/>
        <v>256.98793969809759</v>
      </c>
      <c r="J107" s="5">
        <f t="shared" si="56"/>
        <v>8.3230030013904235E-2</v>
      </c>
      <c r="K107" s="5">
        <f t="shared" si="61"/>
        <v>51.572655797815621</v>
      </c>
      <c r="L107" s="5">
        <f t="shared" si="43"/>
        <v>30.036999999999999</v>
      </c>
      <c r="M107" s="5">
        <f t="shared" si="62"/>
        <v>127.65203640000001</v>
      </c>
      <c r="N107" s="5">
        <f t="shared" si="63"/>
        <v>18.742197530864196</v>
      </c>
      <c r="O107" s="5">
        <f t="shared" si="67"/>
        <v>0</v>
      </c>
      <c r="P107" s="5">
        <f t="shared" si="45"/>
        <v>0</v>
      </c>
      <c r="Q107" s="5">
        <f t="shared" si="46"/>
        <v>0</v>
      </c>
      <c r="R107" s="5">
        <f t="shared" si="64"/>
        <v>0</v>
      </c>
      <c r="S107" s="4">
        <f t="shared" si="60"/>
        <v>486.29347200000007</v>
      </c>
      <c r="T107" s="5">
        <f t="shared" si="47"/>
        <v>0.56790312779781571</v>
      </c>
      <c r="U107" s="5">
        <f t="shared" si="48"/>
        <v>4.4170243273163443</v>
      </c>
      <c r="V107" s="5">
        <f t="shared" si="49"/>
        <v>4.4170243273163443</v>
      </c>
      <c r="W107" s="5">
        <f t="shared" si="50"/>
        <v>0</v>
      </c>
      <c r="X107" s="26">
        <f t="shared" si="51"/>
        <v>0</v>
      </c>
      <c r="Y107" s="26">
        <f t="shared" si="57"/>
        <v>0</v>
      </c>
      <c r="Z107" s="27">
        <f t="shared" si="52"/>
        <v>4.4170243273163443</v>
      </c>
      <c r="AA107" s="27">
        <f t="shared" si="58"/>
        <v>2745.5599349347549</v>
      </c>
      <c r="AB107" s="28">
        <v>3000</v>
      </c>
      <c r="AC107" s="4">
        <v>394</v>
      </c>
      <c r="AD107" s="5">
        <f t="shared" si="65"/>
        <v>2.2898784012666309</v>
      </c>
      <c r="AE107" s="27">
        <f t="shared" si="53"/>
        <v>6.3607733368517528E-4</v>
      </c>
      <c r="AF107" s="27">
        <f t="shared" si="59"/>
        <v>7.927882329079651E-2</v>
      </c>
      <c r="AG107" s="27">
        <f t="shared" si="54"/>
        <v>110.10947679277292</v>
      </c>
      <c r="AH107" s="1"/>
      <c r="AI107" s="1"/>
      <c r="AK107" s="1"/>
      <c r="AL107" s="19"/>
      <c r="AM107" s="19"/>
      <c r="AN107" s="19"/>
      <c r="AO107" s="19"/>
      <c r="AP107" s="19"/>
    </row>
    <row r="108" spans="1:42" x14ac:dyDescent="0.25">
      <c r="A108" s="4">
        <v>53.309800000000003</v>
      </c>
      <c r="B108" s="4">
        <v>-6.1280000000000001E-2</v>
      </c>
      <c r="C108" s="4">
        <v>115</v>
      </c>
      <c r="D108" s="5">
        <f t="shared" si="66"/>
        <v>1322.58860759494</v>
      </c>
      <c r="E108" s="4">
        <v>21</v>
      </c>
      <c r="F108" s="4">
        <v>28.5</v>
      </c>
      <c r="G108" s="5">
        <f t="shared" si="41"/>
        <v>7.9166666666666661</v>
      </c>
      <c r="H108" s="5">
        <f t="shared" si="42"/>
        <v>1.6397138139790934</v>
      </c>
      <c r="I108" s="5">
        <f t="shared" si="55"/>
        <v>258.62765351207668</v>
      </c>
      <c r="J108" s="5">
        <f t="shared" si="56"/>
        <v>8.4703127890255081E-2</v>
      </c>
      <c r="K108" s="5">
        <f t="shared" si="61"/>
        <v>52.485446165917658</v>
      </c>
      <c r="L108" s="5">
        <f t="shared" si="43"/>
        <v>31.119328124999996</v>
      </c>
      <c r="M108" s="5">
        <f t="shared" si="62"/>
        <v>127.65203640000001</v>
      </c>
      <c r="N108" s="5">
        <f t="shared" si="63"/>
        <v>19.417538194444443</v>
      </c>
      <c r="O108" s="5">
        <f t="shared" si="67"/>
        <v>0</v>
      </c>
      <c r="P108" s="5">
        <f t="shared" si="45"/>
        <v>0</v>
      </c>
      <c r="Q108" s="5">
        <f t="shared" si="46"/>
        <v>0</v>
      </c>
      <c r="R108" s="5">
        <f t="shared" si="64"/>
        <v>0</v>
      </c>
      <c r="S108" s="4">
        <f t="shared" si="60"/>
        <v>486.29347200000007</v>
      </c>
      <c r="T108" s="5">
        <f t="shared" si="47"/>
        <v>0.56989824629091779</v>
      </c>
      <c r="U108" s="5">
        <f t="shared" si="48"/>
        <v>4.5116944498030991</v>
      </c>
      <c r="V108" s="5">
        <f t="shared" si="49"/>
        <v>4.5116944498030991</v>
      </c>
      <c r="W108" s="5">
        <f t="shared" si="50"/>
        <v>0</v>
      </c>
      <c r="X108" s="26">
        <f t="shared" si="51"/>
        <v>0</v>
      </c>
      <c r="Y108" s="26">
        <f t="shared" si="57"/>
        <v>0</v>
      </c>
      <c r="Z108" s="27">
        <f t="shared" si="52"/>
        <v>4.5116944498030991</v>
      </c>
      <c r="AA108" s="27">
        <f t="shared" si="58"/>
        <v>2750.071629384558</v>
      </c>
      <c r="AB108" s="28">
        <v>3000</v>
      </c>
      <c r="AC108" s="4">
        <v>394</v>
      </c>
      <c r="AD108" s="5">
        <f t="shared" si="65"/>
        <v>2.3389573858189752</v>
      </c>
      <c r="AE108" s="27">
        <f t="shared" si="53"/>
        <v>6.4971038494971529E-4</v>
      </c>
      <c r="AF108" s="27">
        <f t="shared" si="59"/>
        <v>7.9928533675746219E-2</v>
      </c>
      <c r="AG108" s="27">
        <f t="shared" si="54"/>
        <v>111.0118523274253</v>
      </c>
      <c r="AH108" s="1"/>
      <c r="AI108" s="1"/>
      <c r="AK108" s="1"/>
      <c r="AL108" s="19"/>
      <c r="AM108" s="19"/>
      <c r="AN108" s="19"/>
      <c r="AO108" s="19"/>
      <c r="AP108" s="19"/>
    </row>
    <row r="109" spans="1:42" x14ac:dyDescent="0.25">
      <c r="A109" s="4">
        <v>53.30997</v>
      </c>
      <c r="B109" s="4">
        <v>-6.1219999999999997E-2</v>
      </c>
      <c r="C109" s="4">
        <v>118</v>
      </c>
      <c r="D109" s="5">
        <f t="shared" si="66"/>
        <v>1335.6835443038008</v>
      </c>
      <c r="E109" s="4">
        <v>21</v>
      </c>
      <c r="F109" s="4">
        <v>29</v>
      </c>
      <c r="G109" s="5">
        <f t="shared" si="41"/>
        <v>8.0555555555555554</v>
      </c>
      <c r="H109" s="5">
        <f t="shared" si="42"/>
        <v>1.6116845180136388</v>
      </c>
      <c r="I109" s="5">
        <f t="shared" si="55"/>
        <v>260.23933803009032</v>
      </c>
      <c r="J109" s="5">
        <f t="shared" si="56"/>
        <v>8.6176225766607065E-2</v>
      </c>
      <c r="K109" s="5">
        <f t="shared" si="61"/>
        <v>53.398236534020398</v>
      </c>
      <c r="L109" s="5">
        <f t="shared" si="43"/>
        <v>32.220812500000001</v>
      </c>
      <c r="M109" s="5">
        <f t="shared" si="62"/>
        <v>127.65203640000001</v>
      </c>
      <c r="N109" s="5">
        <f t="shared" si="63"/>
        <v>20.104831790123455</v>
      </c>
      <c r="O109" s="5">
        <f t="shared" si="67"/>
        <v>0</v>
      </c>
      <c r="P109" s="5">
        <f t="shared" si="45"/>
        <v>0</v>
      </c>
      <c r="Q109" s="5">
        <f t="shared" si="46"/>
        <v>0</v>
      </c>
      <c r="R109" s="5">
        <f t="shared" si="64"/>
        <v>0</v>
      </c>
      <c r="S109" s="4">
        <f t="shared" si="60"/>
        <v>486.29347200000007</v>
      </c>
      <c r="T109" s="5">
        <f t="shared" si="47"/>
        <v>0.57191252103402046</v>
      </c>
      <c r="U109" s="5">
        <f t="shared" si="48"/>
        <v>4.6070730861073868</v>
      </c>
      <c r="V109" s="5">
        <f t="shared" si="49"/>
        <v>4.6070730861073868</v>
      </c>
      <c r="W109" s="5">
        <f t="shared" si="50"/>
        <v>0</v>
      </c>
      <c r="X109" s="26">
        <f t="shared" si="51"/>
        <v>0</v>
      </c>
      <c r="Y109" s="26">
        <f t="shared" si="57"/>
        <v>0</v>
      </c>
      <c r="Z109" s="27">
        <f t="shared" si="52"/>
        <v>4.6070730861073868</v>
      </c>
      <c r="AA109" s="27">
        <f t="shared" si="58"/>
        <v>2754.6787024706655</v>
      </c>
      <c r="AB109" s="28">
        <v>3000</v>
      </c>
      <c r="AC109" s="4">
        <v>394</v>
      </c>
      <c r="AD109" s="5">
        <f t="shared" si="65"/>
        <v>2.3884036788504086</v>
      </c>
      <c r="AE109" s="27">
        <f t="shared" si="53"/>
        <v>6.6344546634733578E-4</v>
      </c>
      <c r="AF109" s="27">
        <f t="shared" si="59"/>
        <v>8.0591979142093553E-2</v>
      </c>
      <c r="AG109" s="27">
        <f t="shared" si="54"/>
        <v>111.93330436401882</v>
      </c>
      <c r="AH109" s="1"/>
      <c r="AI109" s="1"/>
      <c r="AK109" s="1"/>
      <c r="AL109" s="19"/>
      <c r="AM109" s="19"/>
      <c r="AN109" s="19"/>
      <c r="AO109" s="19"/>
      <c r="AP109" s="19"/>
    </row>
    <row r="110" spans="1:42" x14ac:dyDescent="0.25">
      <c r="A110" s="4">
        <v>53.310110000000002</v>
      </c>
      <c r="B110" s="4">
        <v>-6.1150000000000003E-2</v>
      </c>
      <c r="C110" s="4">
        <v>120</v>
      </c>
      <c r="D110" s="5">
        <f t="shared" si="66"/>
        <v>1348.7784810126616</v>
      </c>
      <c r="E110" s="4">
        <v>21</v>
      </c>
      <c r="F110" s="4">
        <v>29.5</v>
      </c>
      <c r="G110" s="5">
        <f t="shared" si="41"/>
        <v>8.1944444444444446</v>
      </c>
      <c r="H110" s="5">
        <f t="shared" si="42"/>
        <v>1.5845973832571068</v>
      </c>
      <c r="I110" s="5">
        <f t="shared" si="55"/>
        <v>261.82393541334744</v>
      </c>
      <c r="J110" s="5">
        <f t="shared" si="56"/>
        <v>8.7649323642959076E-2</v>
      </c>
      <c r="K110" s="5">
        <f t="shared" si="61"/>
        <v>54.31102690212316</v>
      </c>
      <c r="L110" s="5">
        <f t="shared" si="43"/>
        <v>33.341453125000001</v>
      </c>
      <c r="M110" s="5">
        <f t="shared" si="62"/>
        <v>127.65203640000001</v>
      </c>
      <c r="N110" s="5">
        <f t="shared" si="63"/>
        <v>20.804078317901233</v>
      </c>
      <c r="O110" s="5">
        <f t="shared" si="67"/>
        <v>0</v>
      </c>
      <c r="P110" s="5">
        <f t="shared" si="45"/>
        <v>0</v>
      </c>
      <c r="Q110" s="5">
        <f t="shared" si="46"/>
        <v>0</v>
      </c>
      <c r="R110" s="5">
        <f t="shared" si="64"/>
        <v>0</v>
      </c>
      <c r="S110" s="4">
        <f t="shared" si="60"/>
        <v>486.29347200000007</v>
      </c>
      <c r="T110" s="5">
        <f t="shared" si="47"/>
        <v>0.57394595202712317</v>
      </c>
      <c r="U110" s="5">
        <f t="shared" si="48"/>
        <v>4.7031682180000374</v>
      </c>
      <c r="V110" s="5">
        <f t="shared" si="49"/>
        <v>4.7031682180000374</v>
      </c>
      <c r="W110" s="5">
        <f t="shared" si="50"/>
        <v>0</v>
      </c>
      <c r="X110" s="26">
        <f t="shared" si="51"/>
        <v>0</v>
      </c>
      <c r="Y110" s="26">
        <f t="shared" si="57"/>
        <v>0</v>
      </c>
      <c r="Z110" s="27">
        <f t="shared" si="52"/>
        <v>4.7031682180000374</v>
      </c>
      <c r="AA110" s="27">
        <f t="shared" si="58"/>
        <v>2759.3818706886655</v>
      </c>
      <c r="AB110" s="28">
        <v>3000</v>
      </c>
      <c r="AC110" s="4">
        <v>394</v>
      </c>
      <c r="AD110" s="5">
        <f t="shared" si="65"/>
        <v>2.438221418278967</v>
      </c>
      <c r="AE110" s="27">
        <f t="shared" si="53"/>
        <v>6.7728372729971306E-4</v>
      </c>
      <c r="AF110" s="27">
        <f t="shared" si="59"/>
        <v>8.1269262869393261E-2</v>
      </c>
      <c r="AG110" s="27">
        <f t="shared" si="54"/>
        <v>112.87397620749066</v>
      </c>
      <c r="AH110" s="1"/>
      <c r="AI110" s="1"/>
      <c r="AK110" s="1"/>
      <c r="AL110" s="19"/>
      <c r="AM110" s="19"/>
      <c r="AN110" s="19"/>
      <c r="AO110" s="19"/>
      <c r="AP110" s="19"/>
    </row>
    <row r="111" spans="1:42" x14ac:dyDescent="0.25">
      <c r="A111" s="4">
        <v>53.31035</v>
      </c>
      <c r="B111" s="4">
        <v>-6.0999999999999999E-2</v>
      </c>
      <c r="C111" s="4">
        <v>120</v>
      </c>
      <c r="D111" s="5">
        <f t="shared" si="66"/>
        <v>1361.8734177215224</v>
      </c>
      <c r="E111" s="4">
        <v>21</v>
      </c>
      <c r="F111" s="4">
        <v>30</v>
      </c>
      <c r="G111" s="5">
        <f t="shared" si="41"/>
        <v>8.3333333333333339</v>
      </c>
      <c r="H111" s="5">
        <f t="shared" si="42"/>
        <v>1.5584056909718653</v>
      </c>
      <c r="I111" s="5">
        <f t="shared" si="55"/>
        <v>263.38234110431932</v>
      </c>
      <c r="J111" s="5">
        <f t="shared" si="56"/>
        <v>8.9122421519311115E-2</v>
      </c>
      <c r="K111" s="5">
        <f t="shared" si="61"/>
        <v>55.223817270225936</v>
      </c>
      <c r="L111" s="5">
        <f t="shared" si="43"/>
        <v>34.481250000000003</v>
      </c>
      <c r="M111" s="5">
        <f t="shared" si="62"/>
        <v>127.65203640000001</v>
      </c>
      <c r="N111" s="5">
        <f t="shared" si="63"/>
        <v>21.515277777777779</v>
      </c>
      <c r="O111" s="5">
        <f t="shared" si="67"/>
        <v>0</v>
      </c>
      <c r="P111" s="5">
        <f t="shared" si="45"/>
        <v>0</v>
      </c>
      <c r="Q111" s="5">
        <f t="shared" si="46"/>
        <v>0</v>
      </c>
      <c r="R111" s="5">
        <f t="shared" si="64"/>
        <v>0</v>
      </c>
      <c r="S111" s="4">
        <f t="shared" si="60"/>
        <v>486.29347200000007</v>
      </c>
      <c r="T111" s="5">
        <f t="shared" si="47"/>
        <v>0.57599853927022604</v>
      </c>
      <c r="U111" s="5">
        <f t="shared" si="48"/>
        <v>4.7999878272518837</v>
      </c>
      <c r="V111" s="5">
        <f t="shared" si="49"/>
        <v>4.7999878272518837</v>
      </c>
      <c r="W111" s="5">
        <f t="shared" si="50"/>
        <v>0</v>
      </c>
      <c r="X111" s="26">
        <f t="shared" si="51"/>
        <v>0</v>
      </c>
      <c r="Y111" s="26">
        <f t="shared" si="57"/>
        <v>0</v>
      </c>
      <c r="Z111" s="27">
        <f t="shared" si="52"/>
        <v>4.7999878272518837</v>
      </c>
      <c r="AA111" s="27">
        <f t="shared" si="58"/>
        <v>2764.1818585159172</v>
      </c>
      <c r="AB111" s="28">
        <v>3000</v>
      </c>
      <c r="AC111" s="4">
        <v>394</v>
      </c>
      <c r="AD111" s="5">
        <f t="shared" si="65"/>
        <v>2.488414742022687</v>
      </c>
      <c r="AE111" s="27">
        <f t="shared" si="53"/>
        <v>6.9122631722852413E-4</v>
      </c>
      <c r="AF111" s="27">
        <f t="shared" si="59"/>
        <v>8.1960489186621785E-2</v>
      </c>
      <c r="AG111" s="27">
        <f t="shared" si="54"/>
        <v>113.83401275919692</v>
      </c>
      <c r="AH111" s="1"/>
      <c r="AI111" s="1"/>
      <c r="AK111" s="1"/>
      <c r="AL111" s="19"/>
      <c r="AM111" s="19"/>
      <c r="AN111" s="19"/>
      <c r="AO111" s="19"/>
      <c r="AP111" s="19"/>
    </row>
    <row r="112" spans="1:42" x14ac:dyDescent="0.25">
      <c r="A112" s="4">
        <v>53.310600000000001</v>
      </c>
      <c r="B112" s="4">
        <v>-6.087E-2</v>
      </c>
      <c r="C112" s="4">
        <v>118</v>
      </c>
      <c r="D112" s="5">
        <f t="shared" si="66"/>
        <v>1374.9683544303832</v>
      </c>
      <c r="E112" s="4">
        <v>21</v>
      </c>
      <c r="F112" s="4">
        <v>30.5</v>
      </c>
      <c r="G112" s="5">
        <f t="shared" si="41"/>
        <v>8.4722222222222214</v>
      </c>
      <c r="H112" s="5">
        <f t="shared" si="42"/>
        <v>1.5330657610373637</v>
      </c>
      <c r="I112" s="5">
        <f t="shared" si="55"/>
        <v>264.91540686535672</v>
      </c>
      <c r="J112" s="5">
        <f t="shared" si="56"/>
        <v>9.0595519395661447E-2</v>
      </c>
      <c r="K112" s="5">
        <f t="shared" si="61"/>
        <v>56.136607638327661</v>
      </c>
      <c r="L112" s="5">
        <f t="shared" si="43"/>
        <v>35.640203124999999</v>
      </c>
      <c r="M112" s="5">
        <f t="shared" si="62"/>
        <v>127.65203640000001</v>
      </c>
      <c r="N112" s="5">
        <f t="shared" si="63"/>
        <v>22.238430169753084</v>
      </c>
      <c r="O112" s="5">
        <f t="shared" si="67"/>
        <v>0</v>
      </c>
      <c r="P112" s="5">
        <f t="shared" si="45"/>
        <v>0</v>
      </c>
      <c r="Q112" s="5">
        <f t="shared" si="46"/>
        <v>0</v>
      </c>
      <c r="R112" s="5">
        <f t="shared" si="64"/>
        <v>0</v>
      </c>
      <c r="S112" s="4">
        <f t="shared" si="60"/>
        <v>486.29347200000007</v>
      </c>
      <c r="T112" s="5">
        <f t="shared" si="47"/>
        <v>0.57807028276332761</v>
      </c>
      <c r="U112" s="5">
        <f t="shared" si="48"/>
        <v>4.8975398956337477</v>
      </c>
      <c r="V112" s="5">
        <f t="shared" si="49"/>
        <v>4.8975398956337477</v>
      </c>
      <c r="W112" s="5">
        <f t="shared" si="50"/>
        <v>0</v>
      </c>
      <c r="X112" s="26">
        <f t="shared" si="51"/>
        <v>0</v>
      </c>
      <c r="Y112" s="26">
        <f t="shared" si="57"/>
        <v>0</v>
      </c>
      <c r="Z112" s="27">
        <f t="shared" si="52"/>
        <v>4.8975398956337477</v>
      </c>
      <c r="AA112" s="27">
        <f t="shared" si="58"/>
        <v>2769.0793984115508</v>
      </c>
      <c r="AB112" s="28">
        <v>3000</v>
      </c>
      <c r="AC112" s="4">
        <v>394</v>
      </c>
      <c r="AD112" s="5">
        <f t="shared" si="65"/>
        <v>2.5389877879996008</v>
      </c>
      <c r="AE112" s="27">
        <f t="shared" si="53"/>
        <v>7.0527438555544465E-4</v>
      </c>
      <c r="AF112" s="27">
        <f t="shared" si="59"/>
        <v>8.2665763572177225E-2</v>
      </c>
      <c r="AG112" s="27">
        <f t="shared" si="54"/>
        <v>114.81356051691282</v>
      </c>
      <c r="AH112" s="1"/>
      <c r="AI112" s="1"/>
      <c r="AK112" s="1"/>
      <c r="AL112" s="19"/>
      <c r="AM112" s="19"/>
      <c r="AN112" s="19"/>
      <c r="AO112" s="19"/>
      <c r="AP112" s="19"/>
    </row>
    <row r="113" spans="1:42" x14ac:dyDescent="0.25">
      <c r="A113" s="4">
        <v>53.310769999999998</v>
      </c>
      <c r="B113" s="4">
        <v>-6.0749999999999998E-2</v>
      </c>
      <c r="C113" s="4">
        <v>117</v>
      </c>
      <c r="D113" s="5">
        <f t="shared" si="66"/>
        <v>1388.063291139244</v>
      </c>
      <c r="E113" s="4">
        <v>21</v>
      </c>
      <c r="F113" s="4">
        <v>31</v>
      </c>
      <c r="G113" s="5">
        <f t="shared" si="41"/>
        <v>8.6111111111111107</v>
      </c>
      <c r="H113" s="5">
        <f t="shared" si="42"/>
        <v>1.5085367088607657</v>
      </c>
      <c r="I113" s="5">
        <f t="shared" si="55"/>
        <v>266.4239435742175</v>
      </c>
      <c r="J113" s="5">
        <f t="shared" si="56"/>
        <v>9.2068617272015166E-2</v>
      </c>
      <c r="K113" s="5">
        <f t="shared" si="61"/>
        <v>57.049398006431474</v>
      </c>
      <c r="L113" s="5">
        <f t="shared" si="43"/>
        <v>36.818312499999998</v>
      </c>
      <c r="M113" s="5">
        <f t="shared" si="62"/>
        <v>127.65203640000001</v>
      </c>
      <c r="N113" s="5">
        <f t="shared" si="63"/>
        <v>22.973535493827161</v>
      </c>
      <c r="O113" s="5">
        <f t="shared" si="67"/>
        <v>0</v>
      </c>
      <c r="P113" s="5">
        <f t="shared" si="45"/>
        <v>0</v>
      </c>
      <c r="Q113" s="5">
        <f t="shared" si="46"/>
        <v>0</v>
      </c>
      <c r="R113" s="5">
        <f t="shared" si="64"/>
        <v>0</v>
      </c>
      <c r="S113" s="4">
        <f t="shared" si="60"/>
        <v>486.29347200000007</v>
      </c>
      <c r="T113" s="5">
        <f t="shared" si="47"/>
        <v>0.58016118250643156</v>
      </c>
      <c r="U113" s="5">
        <f t="shared" si="48"/>
        <v>4.9958324049164942</v>
      </c>
      <c r="V113" s="5">
        <f t="shared" si="49"/>
        <v>4.9958324049164942</v>
      </c>
      <c r="W113" s="5">
        <f t="shared" si="50"/>
        <v>0</v>
      </c>
      <c r="X113" s="26">
        <f t="shared" si="51"/>
        <v>0</v>
      </c>
      <c r="Y113" s="26">
        <f t="shared" si="57"/>
        <v>0</v>
      </c>
      <c r="Z113" s="27">
        <f t="shared" si="52"/>
        <v>4.9958324049164942</v>
      </c>
      <c r="AA113" s="27">
        <f t="shared" si="58"/>
        <v>2774.0752308164674</v>
      </c>
      <c r="AB113" s="28">
        <v>3000</v>
      </c>
      <c r="AC113" s="4">
        <v>394</v>
      </c>
      <c r="AD113" s="5">
        <f t="shared" si="65"/>
        <v>2.5899446941277615</v>
      </c>
      <c r="AE113" s="27">
        <f t="shared" si="53"/>
        <v>7.1942908170215595E-4</v>
      </c>
      <c r="AF113" s="27">
        <f t="shared" si="59"/>
        <v>8.3385192653879378E-2</v>
      </c>
      <c r="AG113" s="27">
        <f t="shared" si="54"/>
        <v>115.81276757483246</v>
      </c>
      <c r="AH113" s="1"/>
      <c r="AI113" s="1"/>
      <c r="AK113" s="1"/>
      <c r="AL113" s="19"/>
      <c r="AM113" s="19"/>
      <c r="AN113" s="19"/>
      <c r="AO113" s="19"/>
      <c r="AP113" s="19"/>
    </row>
    <row r="114" spans="1:42" x14ac:dyDescent="0.25">
      <c r="A114" s="4">
        <v>53.31091</v>
      </c>
      <c r="B114" s="4">
        <v>-6.0659999999999999E-2</v>
      </c>
      <c r="C114" s="4">
        <v>118</v>
      </c>
      <c r="D114" s="5">
        <f t="shared" si="66"/>
        <v>1401.1582278481048</v>
      </c>
      <c r="E114" s="4">
        <v>21</v>
      </c>
      <c r="F114" s="4">
        <v>31.5</v>
      </c>
      <c r="G114" s="5">
        <f t="shared" si="41"/>
        <v>8.75</v>
      </c>
      <c r="H114" s="5">
        <f t="shared" si="42"/>
        <v>1.4847802252566593</v>
      </c>
      <c r="I114" s="5">
        <f t="shared" si="55"/>
        <v>267.90872379947416</v>
      </c>
      <c r="J114" s="5">
        <f t="shared" si="56"/>
        <v>9.3541715148368967E-2</v>
      </c>
      <c r="K114" s="5">
        <f t="shared" si="61"/>
        <v>57.962188374535344</v>
      </c>
      <c r="L114" s="5">
        <f t="shared" si="43"/>
        <v>38.015578124999998</v>
      </c>
      <c r="M114" s="5">
        <f t="shared" si="62"/>
        <v>127.65203640000001</v>
      </c>
      <c r="N114" s="5">
        <f t="shared" si="63"/>
        <v>23.720593749999999</v>
      </c>
      <c r="O114" s="5">
        <f t="shared" si="67"/>
        <v>0</v>
      </c>
      <c r="P114" s="5">
        <f t="shared" si="45"/>
        <v>0</v>
      </c>
      <c r="Q114" s="5">
        <f t="shared" si="46"/>
        <v>0</v>
      </c>
      <c r="R114" s="5">
        <f t="shared" si="64"/>
        <v>0</v>
      </c>
      <c r="S114" s="4">
        <f t="shared" si="60"/>
        <v>486.29347200000007</v>
      </c>
      <c r="T114" s="5">
        <f t="shared" si="47"/>
        <v>0.58227123849953544</v>
      </c>
      <c r="U114" s="5">
        <f t="shared" si="48"/>
        <v>5.0948733368709354</v>
      </c>
      <c r="V114" s="5">
        <f t="shared" si="49"/>
        <v>5.0948733368709354</v>
      </c>
      <c r="W114" s="5">
        <f t="shared" si="50"/>
        <v>0</v>
      </c>
      <c r="X114" s="26">
        <f t="shared" si="51"/>
        <v>0</v>
      </c>
      <c r="Y114" s="26">
        <f t="shared" si="57"/>
        <v>0</v>
      </c>
      <c r="Z114" s="27">
        <f t="shared" si="52"/>
        <v>5.0948733368709354</v>
      </c>
      <c r="AA114" s="27">
        <f t="shared" si="58"/>
        <v>2779.1701041533383</v>
      </c>
      <c r="AB114" s="28">
        <v>3000</v>
      </c>
      <c r="AC114" s="4">
        <v>394</v>
      </c>
      <c r="AD114" s="5">
        <f t="shared" si="65"/>
        <v>2.6412895983251956</v>
      </c>
      <c r="AE114" s="27">
        <f t="shared" si="53"/>
        <v>7.3369155509033206E-4</v>
      </c>
      <c r="AF114" s="27">
        <f t="shared" si="59"/>
        <v>8.4118884208969708E-2</v>
      </c>
      <c r="AG114" s="27">
        <f t="shared" si="54"/>
        <v>116.83178362356904</v>
      </c>
      <c r="AH114" s="1"/>
      <c r="AI114" s="1"/>
      <c r="AK114" s="1"/>
      <c r="AL114" s="19"/>
      <c r="AM114" s="19"/>
      <c r="AN114" s="19"/>
      <c r="AO114" s="19"/>
      <c r="AP114" s="19"/>
    </row>
    <row r="115" spans="1:42" x14ac:dyDescent="0.25">
      <c r="A115" s="4">
        <v>53.311050000000002</v>
      </c>
      <c r="B115" s="4">
        <v>-6.0569999999999999E-2</v>
      </c>
      <c r="C115" s="4">
        <v>119</v>
      </c>
      <c r="D115" s="5">
        <f t="shared" si="66"/>
        <v>1414.2531645569657</v>
      </c>
      <c r="E115" s="4">
        <v>21</v>
      </c>
      <c r="F115" s="4">
        <v>32</v>
      </c>
      <c r="G115" s="5">
        <f t="shared" si="41"/>
        <v>8.8888888888888893</v>
      </c>
      <c r="H115" s="5">
        <f t="shared" si="42"/>
        <v>1.4617603768030678</v>
      </c>
      <c r="I115" s="5">
        <f t="shared" si="55"/>
        <v>269.37048417627722</v>
      </c>
      <c r="J115" s="5">
        <f t="shared" si="56"/>
        <v>9.5014813024721811E-2</v>
      </c>
      <c r="K115" s="5">
        <f t="shared" si="61"/>
        <v>58.874978742638625</v>
      </c>
      <c r="L115" s="5">
        <f t="shared" si="43"/>
        <v>39.231999999999999</v>
      </c>
      <c r="M115" s="5">
        <f t="shared" si="62"/>
        <v>127.65203640000001</v>
      </c>
      <c r="N115" s="5">
        <f t="shared" si="63"/>
        <v>24.47960493827161</v>
      </c>
      <c r="O115" s="5">
        <f t="shared" si="67"/>
        <v>0</v>
      </c>
      <c r="P115" s="5">
        <f t="shared" si="45"/>
        <v>0</v>
      </c>
      <c r="Q115" s="5">
        <f t="shared" si="46"/>
        <v>0</v>
      </c>
      <c r="R115" s="5">
        <f t="shared" si="64"/>
        <v>0</v>
      </c>
      <c r="S115" s="4">
        <f t="shared" si="60"/>
        <v>486.29347200000007</v>
      </c>
      <c r="T115" s="5">
        <f t="shared" si="47"/>
        <v>0.58440045074263869</v>
      </c>
      <c r="U115" s="5">
        <f t="shared" si="48"/>
        <v>5.1946706732678996</v>
      </c>
      <c r="V115" s="5">
        <f t="shared" si="49"/>
        <v>5.1946706732678996</v>
      </c>
      <c r="W115" s="5">
        <f t="shared" si="50"/>
        <v>0</v>
      </c>
      <c r="X115" s="26">
        <f t="shared" si="51"/>
        <v>0</v>
      </c>
      <c r="Y115" s="26">
        <f t="shared" si="57"/>
        <v>0</v>
      </c>
      <c r="Z115" s="27">
        <f t="shared" si="52"/>
        <v>5.1946706732678996</v>
      </c>
      <c r="AA115" s="27">
        <f t="shared" si="58"/>
        <v>2784.3647748266062</v>
      </c>
      <c r="AB115" s="28">
        <v>3000</v>
      </c>
      <c r="AC115" s="4">
        <v>394</v>
      </c>
      <c r="AD115" s="5">
        <f t="shared" si="65"/>
        <v>2.6930266385099375</v>
      </c>
      <c r="AE115" s="27">
        <f t="shared" si="53"/>
        <v>7.4806295514164933E-4</v>
      </c>
      <c r="AF115" s="27">
        <f t="shared" si="59"/>
        <v>8.4866947164111362E-2</v>
      </c>
      <c r="AG115" s="27">
        <f t="shared" si="54"/>
        <v>117.87075995015466</v>
      </c>
      <c r="AH115" s="1"/>
      <c r="AI115" s="1"/>
      <c r="AK115" s="1"/>
      <c r="AL115" s="19"/>
      <c r="AM115" s="19"/>
      <c r="AN115" s="19"/>
      <c r="AO115" s="19"/>
      <c r="AP115" s="19"/>
    </row>
    <row r="116" spans="1:42" x14ac:dyDescent="0.25">
      <c r="A116" s="4">
        <v>53.311169999999997</v>
      </c>
      <c r="B116" s="4">
        <v>-6.0510000000000001E-2</v>
      </c>
      <c r="C116" s="4">
        <v>121</v>
      </c>
      <c r="D116" s="5">
        <f t="shared" si="66"/>
        <v>1427.3481012658265</v>
      </c>
      <c r="E116" s="4">
        <v>21</v>
      </c>
      <c r="F116" s="4">
        <v>32.5</v>
      </c>
      <c r="G116" s="5">
        <f t="shared" si="41"/>
        <v>9.0277777777777768</v>
      </c>
      <c r="H116" s="5">
        <f t="shared" si="42"/>
        <v>1.4394434244854637</v>
      </c>
      <c r="I116" s="5">
        <f t="shared" si="55"/>
        <v>270.80992760076271</v>
      </c>
      <c r="J116" s="5">
        <f t="shared" si="56"/>
        <v>9.6487910901070381E-2</v>
      </c>
      <c r="K116" s="5">
        <f t="shared" si="61"/>
        <v>59.787769110739248</v>
      </c>
      <c r="L116" s="5">
        <f t="shared" si="43"/>
        <v>40.467578124999989</v>
      </c>
      <c r="M116" s="5">
        <f t="shared" si="62"/>
        <v>127.65203640000001</v>
      </c>
      <c r="N116" s="5">
        <f t="shared" si="63"/>
        <v>25.250569058641968</v>
      </c>
      <c r="O116" s="5">
        <f t="shared" si="67"/>
        <v>0</v>
      </c>
      <c r="P116" s="5">
        <f t="shared" si="45"/>
        <v>0</v>
      </c>
      <c r="Q116" s="5">
        <f t="shared" si="46"/>
        <v>0</v>
      </c>
      <c r="R116" s="5">
        <f t="shared" si="64"/>
        <v>0</v>
      </c>
      <c r="S116" s="4">
        <f t="shared" si="60"/>
        <v>486.29347200000007</v>
      </c>
      <c r="T116" s="5">
        <f t="shared" si="47"/>
        <v>0.58654881923573932</v>
      </c>
      <c r="U116" s="5">
        <f t="shared" si="48"/>
        <v>5.2952323958782017</v>
      </c>
      <c r="V116" s="5">
        <f t="shared" si="49"/>
        <v>5.2952323958782017</v>
      </c>
      <c r="W116" s="5">
        <f t="shared" si="50"/>
        <v>0</v>
      </c>
      <c r="X116" s="26">
        <f t="shared" si="51"/>
        <v>0</v>
      </c>
      <c r="Y116" s="26">
        <f t="shared" si="57"/>
        <v>0</v>
      </c>
      <c r="Z116" s="27">
        <f t="shared" si="52"/>
        <v>5.2952323958782017</v>
      </c>
      <c r="AA116" s="27">
        <f t="shared" si="58"/>
        <v>2789.6600072224846</v>
      </c>
      <c r="AB116" s="28">
        <v>3000</v>
      </c>
      <c r="AC116" s="4">
        <v>394</v>
      </c>
      <c r="AD116" s="5">
        <f t="shared" si="65"/>
        <v>2.745159952600015</v>
      </c>
      <c r="AE116" s="27">
        <f t="shared" si="53"/>
        <v>7.6254443127778192E-4</v>
      </c>
      <c r="AF116" s="27">
        <f t="shared" si="59"/>
        <v>8.5629491595389143E-2</v>
      </c>
      <c r="AG116" s="27">
        <f t="shared" si="54"/>
        <v>118.92984943804048</v>
      </c>
      <c r="AH116" s="1"/>
      <c r="AI116" s="1"/>
      <c r="AK116" s="1"/>
      <c r="AL116" s="19"/>
      <c r="AM116" s="19"/>
      <c r="AN116" s="19"/>
      <c r="AO116" s="19"/>
      <c r="AP116" s="19"/>
    </row>
    <row r="117" spans="1:42" x14ac:dyDescent="0.25">
      <c r="A117" s="4">
        <v>53.311259999999997</v>
      </c>
      <c r="B117" s="4">
        <v>-6.0420000000000001E-2</v>
      </c>
      <c r="C117" s="4">
        <v>121</v>
      </c>
      <c r="D117" s="5">
        <f t="shared" si="66"/>
        <v>1440.4430379746873</v>
      </c>
      <c r="E117" s="4">
        <v>21</v>
      </c>
      <c r="F117" s="4">
        <v>33</v>
      </c>
      <c r="G117" s="5">
        <f t="shared" si="41"/>
        <v>9.1666666666666661</v>
      </c>
      <c r="H117" s="5">
        <f t="shared" si="42"/>
        <v>1.4177976587037273</v>
      </c>
      <c r="I117" s="5">
        <f t="shared" si="55"/>
        <v>272.22772525946641</v>
      </c>
      <c r="J117" s="5">
        <f t="shared" si="56"/>
        <v>9.7961008777427125E-2</v>
      </c>
      <c r="K117" s="5">
        <f t="shared" si="61"/>
        <v>60.700559478844944</v>
      </c>
      <c r="L117" s="5">
        <f t="shared" si="43"/>
        <v>41.722312500000001</v>
      </c>
      <c r="M117" s="5">
        <f t="shared" si="62"/>
        <v>127.65203640000001</v>
      </c>
      <c r="N117" s="5">
        <f t="shared" si="63"/>
        <v>26.03348611111111</v>
      </c>
      <c r="O117" s="5">
        <f t="shared" si="67"/>
        <v>0</v>
      </c>
      <c r="P117" s="5">
        <f t="shared" si="45"/>
        <v>0</v>
      </c>
      <c r="Q117" s="5">
        <f t="shared" si="46"/>
        <v>0</v>
      </c>
      <c r="R117" s="5">
        <f t="shared" si="64"/>
        <v>0</v>
      </c>
      <c r="S117" s="4">
        <f t="shared" si="60"/>
        <v>486.29347200000007</v>
      </c>
      <c r="T117" s="5">
        <f t="shared" si="47"/>
        <v>0.58871634397884509</v>
      </c>
      <c r="U117" s="5">
        <f t="shared" si="48"/>
        <v>5.3965664864727465</v>
      </c>
      <c r="V117" s="5">
        <f t="shared" si="49"/>
        <v>5.3965664864727465</v>
      </c>
      <c r="W117" s="5">
        <f t="shared" si="50"/>
        <v>0</v>
      </c>
      <c r="X117" s="26">
        <f t="shared" si="51"/>
        <v>0</v>
      </c>
      <c r="Y117" s="26">
        <f t="shared" si="57"/>
        <v>0</v>
      </c>
      <c r="Z117" s="27">
        <f t="shared" si="52"/>
        <v>5.3965664864727465</v>
      </c>
      <c r="AA117" s="27">
        <f t="shared" si="58"/>
        <v>2795.0565737089573</v>
      </c>
      <c r="AB117" s="28">
        <v>3000</v>
      </c>
      <c r="AC117" s="4">
        <v>394</v>
      </c>
      <c r="AD117" s="5">
        <f t="shared" si="65"/>
        <v>2.7976936785135025</v>
      </c>
      <c r="AE117" s="27">
        <f t="shared" si="53"/>
        <v>7.771371329204173E-4</v>
      </c>
      <c r="AF117" s="27">
        <f t="shared" si="59"/>
        <v>8.6406628728309565E-2</v>
      </c>
      <c r="AG117" s="27">
        <f t="shared" si="54"/>
        <v>120.00920656709663</v>
      </c>
      <c r="AH117" s="1"/>
      <c r="AI117" s="1"/>
      <c r="AK117" s="1"/>
      <c r="AL117" s="19"/>
      <c r="AM117" s="19"/>
      <c r="AN117" s="19"/>
      <c r="AO117" s="19"/>
      <c r="AP117" s="19"/>
    </row>
    <row r="118" spans="1:42" x14ac:dyDescent="0.25">
      <c r="A118" s="4">
        <v>53.311329999999998</v>
      </c>
      <c r="B118" s="4">
        <v>-6.0249999999999998E-2</v>
      </c>
      <c r="C118" s="4">
        <v>121</v>
      </c>
      <c r="D118" s="5">
        <f t="shared" si="66"/>
        <v>1453.5379746835481</v>
      </c>
      <c r="E118" s="4">
        <v>21</v>
      </c>
      <c r="F118" s="4">
        <v>33.5</v>
      </c>
      <c r="G118" s="5">
        <f t="shared" si="41"/>
        <v>9.3055555555555554</v>
      </c>
      <c r="H118" s="5">
        <f t="shared" si="42"/>
        <v>1.3967932489451536</v>
      </c>
      <c r="I118" s="5">
        <f t="shared" si="55"/>
        <v>273.62451850841154</v>
      </c>
      <c r="J118" s="5">
        <f t="shared" si="56"/>
        <v>9.9434106653779539E-2</v>
      </c>
      <c r="K118" s="5">
        <f t="shared" si="61"/>
        <v>61.613349846947955</v>
      </c>
      <c r="L118" s="5">
        <f t="shared" si="43"/>
        <v>42.996203124999994</v>
      </c>
      <c r="M118" s="5">
        <f t="shared" si="62"/>
        <v>127.65203640000001</v>
      </c>
      <c r="N118" s="5">
        <f t="shared" si="63"/>
        <v>26.828356095679009</v>
      </c>
      <c r="O118" s="5">
        <f t="shared" si="67"/>
        <v>0</v>
      </c>
      <c r="P118" s="5">
        <f t="shared" si="45"/>
        <v>0</v>
      </c>
      <c r="Q118" s="5">
        <f t="shared" si="46"/>
        <v>0</v>
      </c>
      <c r="R118" s="5">
        <f t="shared" si="64"/>
        <v>0</v>
      </c>
      <c r="S118" s="4">
        <f t="shared" si="60"/>
        <v>486.29347200000007</v>
      </c>
      <c r="T118" s="5">
        <f t="shared" si="47"/>
        <v>0.59090302497194791</v>
      </c>
      <c r="U118" s="5">
        <f t="shared" si="48"/>
        <v>5.4986809268222929</v>
      </c>
      <c r="V118" s="5">
        <f t="shared" si="49"/>
        <v>5.4986809268222929</v>
      </c>
      <c r="W118" s="5">
        <f t="shared" si="50"/>
        <v>0</v>
      </c>
      <c r="X118" s="26">
        <f t="shared" si="51"/>
        <v>0</v>
      </c>
      <c r="Y118" s="26">
        <f t="shared" si="57"/>
        <v>0</v>
      </c>
      <c r="Z118" s="27">
        <f t="shared" si="52"/>
        <v>5.4986809268222929</v>
      </c>
      <c r="AA118" s="27">
        <f t="shared" si="58"/>
        <v>2800.5552546357794</v>
      </c>
      <c r="AB118" s="28">
        <v>3000</v>
      </c>
      <c r="AC118" s="4">
        <v>394</v>
      </c>
      <c r="AD118" s="5">
        <f t="shared" si="65"/>
        <v>2.8506319541683989</v>
      </c>
      <c r="AE118" s="27">
        <f t="shared" si="53"/>
        <v>7.9184220949122196E-4</v>
      </c>
      <c r="AF118" s="27">
        <f t="shared" si="59"/>
        <v>8.7198470937800782E-2</v>
      </c>
      <c r="AG118" s="27">
        <f t="shared" si="54"/>
        <v>121.1089874136122</v>
      </c>
      <c r="AH118" s="1"/>
      <c r="AI118" s="1"/>
      <c r="AK118" s="1"/>
      <c r="AL118" s="19"/>
      <c r="AM118" s="19"/>
      <c r="AN118" s="19"/>
      <c r="AO118" s="19"/>
      <c r="AP118" s="19"/>
    </row>
    <row r="119" spans="1:42" x14ac:dyDescent="0.25">
      <c r="A119" s="4">
        <v>53.31138</v>
      </c>
      <c r="B119" s="4">
        <v>-6.0089999999999998E-2</v>
      </c>
      <c r="C119" s="4">
        <v>121</v>
      </c>
      <c r="D119" s="5">
        <f t="shared" si="66"/>
        <v>1466.6329113924089</v>
      </c>
      <c r="E119" s="4">
        <v>21</v>
      </c>
      <c r="F119" s="4">
        <v>34</v>
      </c>
      <c r="G119" s="5">
        <f t="shared" si="41"/>
        <v>9.4444444444444446</v>
      </c>
      <c r="H119" s="5">
        <f t="shared" si="42"/>
        <v>1.3764021066247862</v>
      </c>
      <c r="I119" s="5">
        <f t="shared" si="55"/>
        <v>275.00092061503631</v>
      </c>
      <c r="J119" s="5">
        <f t="shared" si="56"/>
        <v>0.10090720453013158</v>
      </c>
      <c r="K119" s="5">
        <f t="shared" si="61"/>
        <v>62.526140215050731</v>
      </c>
      <c r="L119" s="5">
        <f t="shared" si="43"/>
        <v>44.289250000000003</v>
      </c>
      <c r="M119" s="5">
        <f t="shared" si="62"/>
        <v>127.65203640000001</v>
      </c>
      <c r="N119" s="5">
        <f t="shared" si="63"/>
        <v>27.635179012345677</v>
      </c>
      <c r="O119" s="5">
        <f t="shared" si="67"/>
        <v>0</v>
      </c>
      <c r="P119" s="5">
        <f t="shared" si="45"/>
        <v>0</v>
      </c>
      <c r="Q119" s="5">
        <f t="shared" si="46"/>
        <v>0</v>
      </c>
      <c r="R119" s="5">
        <f t="shared" si="64"/>
        <v>0</v>
      </c>
      <c r="S119" s="4">
        <f t="shared" si="60"/>
        <v>486.29347200000007</v>
      </c>
      <c r="T119" s="5">
        <f t="shared" si="47"/>
        <v>0.59310886221505088</v>
      </c>
      <c r="U119" s="5">
        <f t="shared" si="48"/>
        <v>5.601583698697703</v>
      </c>
      <c r="V119" s="5">
        <f t="shared" si="49"/>
        <v>5.601583698697703</v>
      </c>
      <c r="W119" s="5">
        <f t="shared" si="50"/>
        <v>0</v>
      </c>
      <c r="X119" s="26">
        <f t="shared" si="51"/>
        <v>0</v>
      </c>
      <c r="Y119" s="26">
        <f t="shared" si="57"/>
        <v>0</v>
      </c>
      <c r="Z119" s="27">
        <f t="shared" si="52"/>
        <v>5.601583698697703</v>
      </c>
      <c r="AA119" s="27">
        <f t="shared" si="58"/>
        <v>2806.156838334477</v>
      </c>
      <c r="AB119" s="28">
        <v>3000</v>
      </c>
      <c r="AC119" s="4">
        <v>394</v>
      </c>
      <c r="AD119" s="5">
        <f t="shared" si="65"/>
        <v>2.9039789174827564</v>
      </c>
      <c r="AE119" s="27">
        <f t="shared" si="53"/>
        <v>8.0666081041187677E-4</v>
      </c>
      <c r="AF119" s="27">
        <f t="shared" si="59"/>
        <v>8.8005131748212659E-2</v>
      </c>
      <c r="AG119" s="27">
        <f t="shared" si="54"/>
        <v>122.22934965029536</v>
      </c>
      <c r="AH119" s="1"/>
      <c r="AI119" s="1"/>
      <c r="AK119" s="1"/>
      <c r="AL119" s="19"/>
      <c r="AM119" s="19"/>
      <c r="AN119" s="19"/>
      <c r="AO119" s="19"/>
      <c r="AP119" s="19"/>
    </row>
    <row r="120" spans="1:42" x14ac:dyDescent="0.25">
      <c r="A120" s="4">
        <v>53.311459999999997</v>
      </c>
      <c r="B120" s="4">
        <v>-5.9959999999999999E-2</v>
      </c>
      <c r="C120" s="4">
        <v>120</v>
      </c>
      <c r="D120" s="5">
        <f t="shared" si="66"/>
        <v>1479.7278481012697</v>
      </c>
      <c r="E120" s="4">
        <v>21</v>
      </c>
      <c r="F120" s="4">
        <v>34.5</v>
      </c>
      <c r="G120" s="5">
        <f t="shared" si="41"/>
        <v>9.5833333333333339</v>
      </c>
      <c r="H120" s="5">
        <f t="shared" si="42"/>
        <v>1.3565977597668757</v>
      </c>
      <c r="I120" s="5">
        <f t="shared" si="55"/>
        <v>276.35751837480319</v>
      </c>
      <c r="J120" s="5">
        <f t="shared" si="56"/>
        <v>0.1023803024064817</v>
      </c>
      <c r="K120" s="5">
        <f t="shared" si="61"/>
        <v>63.43893058315232</v>
      </c>
      <c r="L120" s="5">
        <f t="shared" si="43"/>
        <v>45.601453125000006</v>
      </c>
      <c r="M120" s="5">
        <f t="shared" si="62"/>
        <v>127.65203640000001</v>
      </c>
      <c r="N120" s="5">
        <f t="shared" si="63"/>
        <v>28.453954861111114</v>
      </c>
      <c r="O120" s="5">
        <f t="shared" si="67"/>
        <v>0</v>
      </c>
      <c r="P120" s="5">
        <f t="shared" si="45"/>
        <v>0</v>
      </c>
      <c r="Q120" s="5">
        <f t="shared" si="46"/>
        <v>0</v>
      </c>
      <c r="R120" s="5">
        <f t="shared" si="64"/>
        <v>0</v>
      </c>
      <c r="S120" s="4">
        <f t="shared" si="60"/>
        <v>486.29347200000007</v>
      </c>
      <c r="T120" s="5">
        <f t="shared" si="47"/>
        <v>0.59533385570815245</v>
      </c>
      <c r="U120" s="5">
        <f t="shared" si="48"/>
        <v>5.7052827838697944</v>
      </c>
      <c r="V120" s="5">
        <f t="shared" si="49"/>
        <v>5.7052827838697944</v>
      </c>
      <c r="W120" s="5">
        <f t="shared" si="50"/>
        <v>0</v>
      </c>
      <c r="X120" s="26">
        <f t="shared" si="51"/>
        <v>0</v>
      </c>
      <c r="Y120" s="26">
        <f t="shared" si="57"/>
        <v>0</v>
      </c>
      <c r="Z120" s="27">
        <f t="shared" si="52"/>
        <v>5.7052827838697944</v>
      </c>
      <c r="AA120" s="27">
        <f t="shared" si="58"/>
        <v>2811.8621211183467</v>
      </c>
      <c r="AB120" s="28">
        <v>3000</v>
      </c>
      <c r="AC120" s="4">
        <v>394</v>
      </c>
      <c r="AD120" s="5">
        <f t="shared" si="65"/>
        <v>2.9577387063746037</v>
      </c>
      <c r="AE120" s="27">
        <f t="shared" si="53"/>
        <v>8.2159408510405654E-4</v>
      </c>
      <c r="AF120" s="27">
        <f t="shared" si="59"/>
        <v>8.8826725833316716E-2</v>
      </c>
      <c r="AG120" s="27">
        <f t="shared" si="54"/>
        <v>123.37045254627323</v>
      </c>
      <c r="AH120" s="1"/>
      <c r="AI120" s="1"/>
      <c r="AK120" s="1"/>
      <c r="AL120" s="19"/>
      <c r="AM120" s="19"/>
      <c r="AN120" s="19"/>
      <c r="AO120" s="19"/>
      <c r="AP120" s="19"/>
    </row>
    <row r="121" spans="1:42" x14ac:dyDescent="0.25">
      <c r="A121" s="4">
        <v>53.31156</v>
      </c>
      <c r="B121" s="4">
        <v>-5.9839999999999997E-2</v>
      </c>
      <c r="C121" s="4">
        <v>118</v>
      </c>
      <c r="D121" s="5">
        <f t="shared" si="66"/>
        <v>1492.8227848101305</v>
      </c>
      <c r="E121" s="4">
        <v>21</v>
      </c>
      <c r="F121" s="4">
        <v>35</v>
      </c>
      <c r="G121" s="5">
        <f t="shared" si="41"/>
        <v>9.7222222222222214</v>
      </c>
      <c r="H121" s="5">
        <f t="shared" si="42"/>
        <v>1.3373552383517429</v>
      </c>
      <c r="I121" s="5">
        <f t="shared" si="55"/>
        <v>277.69487361315493</v>
      </c>
      <c r="J121" s="5">
        <f t="shared" si="56"/>
        <v>0.10385340028283403</v>
      </c>
      <c r="K121" s="5">
        <f t="shared" si="61"/>
        <v>64.351720951255274</v>
      </c>
      <c r="L121" s="5">
        <f t="shared" si="43"/>
        <v>46.932812499999997</v>
      </c>
      <c r="M121" s="5">
        <f t="shared" si="62"/>
        <v>127.65203640000001</v>
      </c>
      <c r="N121" s="5">
        <f t="shared" si="63"/>
        <v>29.284683641975306</v>
      </c>
      <c r="O121" s="5">
        <f t="shared" si="67"/>
        <v>0</v>
      </c>
      <c r="P121" s="5">
        <f t="shared" si="45"/>
        <v>0</v>
      </c>
      <c r="Q121" s="5">
        <f t="shared" si="46"/>
        <v>0</v>
      </c>
      <c r="R121" s="5">
        <f t="shared" si="64"/>
        <v>0</v>
      </c>
      <c r="S121" s="4">
        <f t="shared" si="60"/>
        <v>486.29347200000007</v>
      </c>
      <c r="T121" s="5">
        <f t="shared" si="47"/>
        <v>0.59757800545125528</v>
      </c>
      <c r="U121" s="5">
        <f t="shared" si="48"/>
        <v>5.8097861641094255</v>
      </c>
      <c r="V121" s="5">
        <f t="shared" si="49"/>
        <v>5.8097861641094255</v>
      </c>
      <c r="W121" s="5">
        <f t="shared" si="50"/>
        <v>0</v>
      </c>
      <c r="X121" s="26">
        <f t="shared" si="51"/>
        <v>0</v>
      </c>
      <c r="Y121" s="26">
        <f t="shared" si="57"/>
        <v>0</v>
      </c>
      <c r="Z121" s="27">
        <f t="shared" si="52"/>
        <v>5.8097861641094255</v>
      </c>
      <c r="AA121" s="27">
        <f t="shared" si="58"/>
        <v>2817.6719072824562</v>
      </c>
      <c r="AB121" s="28">
        <v>3000</v>
      </c>
      <c r="AC121" s="4">
        <v>394</v>
      </c>
      <c r="AD121" s="5">
        <f t="shared" si="65"/>
        <v>3.0119154587619916</v>
      </c>
      <c r="AE121" s="27">
        <f t="shared" si="53"/>
        <v>8.3664318298944215E-4</v>
      </c>
      <c r="AF121" s="27">
        <f t="shared" si="59"/>
        <v>8.9663369016306158E-2</v>
      </c>
      <c r="AG121" s="27">
        <f t="shared" si="54"/>
        <v>124.53245696709189</v>
      </c>
      <c r="AH121" s="1"/>
      <c r="AI121" s="1"/>
      <c r="AK121" s="1"/>
      <c r="AL121" s="19"/>
      <c r="AM121" s="19"/>
      <c r="AN121" s="19"/>
      <c r="AO121" s="19"/>
      <c r="AP121" s="19"/>
    </row>
    <row r="122" spans="1:42" x14ac:dyDescent="0.25">
      <c r="A122" s="4">
        <v>53.311700000000002</v>
      </c>
      <c r="B122" s="4">
        <v>-5.9749999999999998E-2</v>
      </c>
      <c r="C122" s="4">
        <v>118</v>
      </c>
      <c r="D122" s="5">
        <f t="shared" si="66"/>
        <v>1505.9177215189914</v>
      </c>
      <c r="E122" s="4">
        <v>21</v>
      </c>
      <c r="F122" s="4">
        <v>35.5</v>
      </c>
      <c r="G122" s="5">
        <f t="shared" si="41"/>
        <v>9.8611111111111107</v>
      </c>
      <c r="H122" s="5">
        <f t="shared" si="42"/>
        <v>1.3186509692838861</v>
      </c>
      <c r="I122" s="5">
        <f t="shared" si="55"/>
        <v>279.01352458243883</v>
      </c>
      <c r="J122" s="5">
        <f t="shared" si="56"/>
        <v>0.10532649815918517</v>
      </c>
      <c r="K122" s="5">
        <f t="shared" si="61"/>
        <v>65.264511319357496</v>
      </c>
      <c r="L122" s="5">
        <f t="shared" si="43"/>
        <v>48.28332812499999</v>
      </c>
      <c r="M122" s="5">
        <f t="shared" si="62"/>
        <v>127.65203640000001</v>
      </c>
      <c r="N122" s="5">
        <f t="shared" si="63"/>
        <v>30.127365354938267</v>
      </c>
      <c r="O122" s="5">
        <f t="shared" si="67"/>
        <v>0</v>
      </c>
      <c r="P122" s="5">
        <f t="shared" si="45"/>
        <v>0</v>
      </c>
      <c r="Q122" s="5">
        <f t="shared" si="46"/>
        <v>0</v>
      </c>
      <c r="R122" s="5">
        <f t="shared" si="64"/>
        <v>0</v>
      </c>
      <c r="S122" s="4">
        <f t="shared" si="60"/>
        <v>486.29347200000007</v>
      </c>
      <c r="T122" s="5">
        <f t="shared" si="47"/>
        <v>0.59984131144435759</v>
      </c>
      <c r="U122" s="5">
        <f t="shared" si="48"/>
        <v>5.9151018211874149</v>
      </c>
      <c r="V122" s="5">
        <f t="shared" si="49"/>
        <v>5.9151018211874149</v>
      </c>
      <c r="W122" s="5">
        <f t="shared" si="50"/>
        <v>0</v>
      </c>
      <c r="X122" s="26">
        <f t="shared" si="51"/>
        <v>0</v>
      </c>
      <c r="Y122" s="26">
        <f t="shared" si="57"/>
        <v>0</v>
      </c>
      <c r="Z122" s="27">
        <f t="shared" si="52"/>
        <v>5.9151018211874149</v>
      </c>
      <c r="AA122" s="27">
        <f t="shared" si="58"/>
        <v>2823.5870091036436</v>
      </c>
      <c r="AB122" s="28">
        <v>0</v>
      </c>
      <c r="AC122" s="4">
        <v>394</v>
      </c>
      <c r="AD122" s="5">
        <f t="shared" si="65"/>
        <v>3.0665133125629493</v>
      </c>
      <c r="AE122" s="27">
        <f t="shared" si="53"/>
        <v>8.518092534897082E-4</v>
      </c>
      <c r="AF122" s="27">
        <f t="shared" si="59"/>
        <v>9.0515178269795868E-2</v>
      </c>
      <c r="AG122" s="27">
        <f t="shared" si="54"/>
        <v>125.71552537471648</v>
      </c>
      <c r="AH122" s="1"/>
      <c r="AI122" s="1"/>
      <c r="AK122" s="1"/>
      <c r="AL122" s="19"/>
      <c r="AM122" s="19"/>
      <c r="AN122" s="19"/>
      <c r="AO122" s="19"/>
      <c r="AP122" s="19"/>
    </row>
    <row r="123" spans="1:42" x14ac:dyDescent="0.25">
      <c r="A123" s="4">
        <v>53.31185</v>
      </c>
      <c r="B123" s="4">
        <v>-5.9740000000000001E-2</v>
      </c>
      <c r="C123" s="4">
        <v>121</v>
      </c>
      <c r="D123" s="5">
        <f t="shared" si="66"/>
        <v>1519.0126582278522</v>
      </c>
      <c r="E123" s="4">
        <v>21</v>
      </c>
      <c r="F123" s="4">
        <v>36</v>
      </c>
      <c r="G123" s="5">
        <f t="shared" si="41"/>
        <v>10</v>
      </c>
      <c r="H123" s="5">
        <f t="shared" si="42"/>
        <v>1.3004626800523842</v>
      </c>
      <c r="I123" s="5">
        <f t="shared" si="55"/>
        <v>280.3139872624912</v>
      </c>
      <c r="J123" s="5">
        <f t="shared" si="56"/>
        <v>0.10679959603554098</v>
      </c>
      <c r="K123" s="5">
        <f t="shared" si="61"/>
        <v>66.177301687462617</v>
      </c>
      <c r="L123" s="5">
        <f t="shared" si="43"/>
        <v>49.652999999999999</v>
      </c>
      <c r="M123" s="5">
        <f t="shared" si="62"/>
        <v>127.65203640000001</v>
      </c>
      <c r="N123" s="5">
        <f t="shared" si="63"/>
        <v>30.981999999999999</v>
      </c>
      <c r="O123" s="5">
        <f t="shared" si="67"/>
        <v>-3.8182696955050749E-2</v>
      </c>
      <c r="P123" s="5">
        <f t="shared" si="45"/>
        <v>-3.8164157418355833E-2</v>
      </c>
      <c r="Q123" s="5">
        <f t="shared" si="46"/>
        <v>-2.186645148744681</v>
      </c>
      <c r="R123" s="5">
        <f t="shared" si="64"/>
        <v>-4961.9162163721066</v>
      </c>
      <c r="S123" s="4">
        <f t="shared" si="60"/>
        <v>486.29347200000007</v>
      </c>
      <c r="T123" s="5">
        <f t="shared" si="47"/>
        <v>-4.3597924426846442</v>
      </c>
      <c r="U123" s="5">
        <f t="shared" si="48"/>
        <v>-43.59792442684644</v>
      </c>
      <c r="V123" s="5">
        <v>0</v>
      </c>
      <c r="W123" s="5">
        <v>-43.385151818983367</v>
      </c>
      <c r="X123" s="26">
        <f t="shared" si="51"/>
        <v>-43.59792442684644</v>
      </c>
      <c r="Y123" s="26">
        <f t="shared" si="57"/>
        <v>-43.59792442684644</v>
      </c>
      <c r="Z123" s="27">
        <f t="shared" si="52"/>
        <v>0</v>
      </c>
      <c r="AA123" s="27">
        <f t="shared" si="58"/>
        <v>2823.5870091036436</v>
      </c>
      <c r="AB123" s="28">
        <v>0</v>
      </c>
      <c r="AC123" s="4">
        <v>394</v>
      </c>
      <c r="AD123" s="5">
        <f t="shared" si="65"/>
        <v>0</v>
      </c>
      <c r="AE123" s="27">
        <f t="shared" si="53"/>
        <v>0</v>
      </c>
      <c r="AF123" s="27">
        <f t="shared" si="59"/>
        <v>9.0515178269795868E-2</v>
      </c>
      <c r="AG123" s="27">
        <f t="shared" si="54"/>
        <v>125.71552537471648</v>
      </c>
      <c r="AH123" s="1"/>
      <c r="AI123" s="1"/>
      <c r="AK123" s="1"/>
      <c r="AL123" s="19"/>
      <c r="AM123" s="19"/>
      <c r="AN123" s="19"/>
      <c r="AO123" s="19"/>
      <c r="AP123" s="19"/>
    </row>
    <row r="124" spans="1:42" x14ac:dyDescent="0.25">
      <c r="A124" s="4">
        <v>53.311999999999998</v>
      </c>
      <c r="B124" s="4">
        <v>-5.9790000000000003E-2</v>
      </c>
      <c r="C124" s="4">
        <v>123</v>
      </c>
      <c r="D124" s="5">
        <f t="shared" si="66"/>
        <v>1532.107594936713</v>
      </c>
      <c r="E124" s="4">
        <v>20.5</v>
      </c>
      <c r="F124" s="4">
        <v>36.5</v>
      </c>
      <c r="G124" s="5">
        <f t="shared" si="41"/>
        <v>10.138888888888889</v>
      </c>
      <c r="H124" s="5">
        <f t="shared" si="42"/>
        <v>1.2827693102557534</v>
      </c>
      <c r="I124" s="5">
        <f t="shared" si="55"/>
        <v>281.59675657274693</v>
      </c>
      <c r="J124" s="5">
        <f t="shared" si="56"/>
        <v>0.10827269391189337</v>
      </c>
      <c r="K124" s="5">
        <f t="shared" si="61"/>
        <v>67.090092055565606</v>
      </c>
      <c r="L124" s="5">
        <f t="shared" si="43"/>
        <v>51.041828124999995</v>
      </c>
      <c r="M124" s="5">
        <f t="shared" si="62"/>
        <v>124.61270220000002</v>
      </c>
      <c r="N124" s="5">
        <f t="shared" si="63"/>
        <v>31.848587577160494</v>
      </c>
      <c r="O124" s="5">
        <f t="shared" si="67"/>
        <v>-3.8182696955050749E-2</v>
      </c>
      <c r="P124" s="5">
        <f t="shared" si="45"/>
        <v>-3.8164157418355833E-2</v>
      </c>
      <c r="Q124" s="5">
        <f t="shared" si="46"/>
        <v>-2.186645148744681</v>
      </c>
      <c r="R124" s="5">
        <f t="shared" si="64"/>
        <v>-4961.9162163721066</v>
      </c>
      <c r="S124" s="4">
        <f t="shared" si="60"/>
        <v>486.29347200000007</v>
      </c>
      <c r="T124" s="5">
        <f t="shared" si="47"/>
        <v>-4.3574908241915402</v>
      </c>
      <c r="U124" s="5">
        <f t="shared" si="48"/>
        <v>-44.180115300830899</v>
      </c>
      <c r="V124" s="5">
        <v>0</v>
      </c>
      <c r="W124" s="5">
        <v>-43.964432175229938</v>
      </c>
      <c r="X124" s="26">
        <f t="shared" si="51"/>
        <v>-44.180115300830899</v>
      </c>
      <c r="Y124" s="26">
        <f t="shared" si="57"/>
        <v>-87.778039727677339</v>
      </c>
      <c r="Z124" s="27">
        <f t="shared" si="52"/>
        <v>0</v>
      </c>
      <c r="AA124" s="27">
        <f t="shared" si="58"/>
        <v>2823.5870091036436</v>
      </c>
      <c r="AB124" s="28">
        <v>0</v>
      </c>
      <c r="AC124" s="4">
        <v>394</v>
      </c>
      <c r="AD124" s="5">
        <f t="shared" si="65"/>
        <v>0</v>
      </c>
      <c r="AE124" s="27">
        <f t="shared" si="53"/>
        <v>0</v>
      </c>
      <c r="AF124" s="27">
        <f t="shared" si="59"/>
        <v>9.0515178269795868E-2</v>
      </c>
      <c r="AG124" s="27">
        <f t="shared" si="54"/>
        <v>125.71552537471648</v>
      </c>
      <c r="AH124" s="1"/>
      <c r="AI124" s="1"/>
      <c r="AK124" s="1"/>
      <c r="AL124" s="19"/>
      <c r="AM124" s="19"/>
      <c r="AN124" s="19"/>
      <c r="AO124" s="19"/>
      <c r="AP124" s="19"/>
    </row>
    <row r="125" spans="1:42" x14ac:dyDescent="0.25">
      <c r="A125" s="4">
        <v>53.312150000000003</v>
      </c>
      <c r="B125" s="4">
        <v>-5.9810000000000002E-2</v>
      </c>
      <c r="C125" s="4">
        <v>124</v>
      </c>
      <c r="D125" s="5">
        <f t="shared" si="66"/>
        <v>1545.2025316455738</v>
      </c>
      <c r="E125" s="4">
        <v>20</v>
      </c>
      <c r="F125" s="4">
        <v>37</v>
      </c>
      <c r="G125" s="5">
        <f t="shared" si="41"/>
        <v>10.277777777777777</v>
      </c>
      <c r="H125" s="5">
        <f t="shared" si="42"/>
        <v>1.2655509302523205</v>
      </c>
      <c r="I125" s="5">
        <f t="shared" si="55"/>
        <v>282.86230750299927</v>
      </c>
      <c r="J125" s="5">
        <f t="shared" si="56"/>
        <v>0.10974579178824012</v>
      </c>
      <c r="K125" s="5">
        <f t="shared" si="61"/>
        <v>68.002882423665113</v>
      </c>
      <c r="L125" s="5">
        <f t="shared" si="43"/>
        <v>52.449812499999993</v>
      </c>
      <c r="M125" s="5">
        <f t="shared" si="62"/>
        <v>121.57336800000002</v>
      </c>
      <c r="N125" s="5">
        <f t="shared" si="63"/>
        <v>32.727128086419746</v>
      </c>
      <c r="O125" s="5">
        <f t="shared" si="67"/>
        <v>-3.8182696955050749E-2</v>
      </c>
      <c r="P125" s="5">
        <f t="shared" si="45"/>
        <v>-3.8164157418355833E-2</v>
      </c>
      <c r="Q125" s="5">
        <f t="shared" si="46"/>
        <v>-2.186645148744681</v>
      </c>
      <c r="R125" s="5">
        <f t="shared" si="64"/>
        <v>-4961.9162163721066</v>
      </c>
      <c r="S125" s="4">
        <f t="shared" si="60"/>
        <v>486.29347200000007</v>
      </c>
      <c r="T125" s="5">
        <f t="shared" si="47"/>
        <v>-4.3551700494484411</v>
      </c>
      <c r="U125" s="5">
        <f t="shared" si="48"/>
        <v>-44.761469952664527</v>
      </c>
      <c r="V125" s="5">
        <v>0</v>
      </c>
      <c r="W125" s="5">
        <v>-44.542877532815297</v>
      </c>
      <c r="X125" s="26">
        <f t="shared" si="51"/>
        <v>-44.761469952664527</v>
      </c>
      <c r="Y125" s="26">
        <f t="shared" si="57"/>
        <v>-132.53950968034187</v>
      </c>
      <c r="Z125" s="27">
        <f t="shared" si="52"/>
        <v>0</v>
      </c>
      <c r="AA125" s="27">
        <f t="shared" si="58"/>
        <v>2823.5870091036436</v>
      </c>
      <c r="AB125" s="28">
        <v>0</v>
      </c>
      <c r="AC125" s="4">
        <v>394</v>
      </c>
      <c r="AD125" s="5">
        <f t="shared" si="65"/>
        <v>0</v>
      </c>
      <c r="AE125" s="27">
        <f t="shared" si="53"/>
        <v>0</v>
      </c>
      <c r="AF125" s="27">
        <f t="shared" si="59"/>
        <v>9.0515178269795868E-2</v>
      </c>
      <c r="AG125" s="27">
        <f t="shared" si="54"/>
        <v>125.71552537471648</v>
      </c>
      <c r="AH125" s="1"/>
      <c r="AI125" s="1"/>
      <c r="AK125" s="1"/>
      <c r="AL125" s="19"/>
      <c r="AM125" s="19"/>
      <c r="AN125" s="19"/>
      <c r="AO125" s="19"/>
      <c r="AP125" s="19"/>
    </row>
    <row r="126" spans="1:42" x14ac:dyDescent="0.25">
      <c r="A126" s="4">
        <v>53.312150000000003</v>
      </c>
      <c r="B126" s="4">
        <v>-5.9799999999999999E-2</v>
      </c>
      <c r="C126" s="4">
        <v>124</v>
      </c>
      <c r="D126" s="5">
        <f t="shared" si="66"/>
        <v>1558.2974683544346</v>
      </c>
      <c r="E126" s="4">
        <v>19.5</v>
      </c>
      <c r="F126" s="4">
        <v>37.5</v>
      </c>
      <c r="G126" s="5">
        <f t="shared" si="41"/>
        <v>10.416666666666666</v>
      </c>
      <c r="H126" s="5">
        <f t="shared" si="42"/>
        <v>1.2487886662754684</v>
      </c>
      <c r="I126" s="5">
        <f t="shared" si="55"/>
        <v>284.11109616927473</v>
      </c>
      <c r="J126" s="5">
        <f t="shared" si="56"/>
        <v>0.11121888966459681</v>
      </c>
      <c r="K126" s="5">
        <f t="shared" si="61"/>
        <v>68.91567279177076</v>
      </c>
      <c r="L126" s="5">
        <f t="shared" si="43"/>
        <v>53.876953124999993</v>
      </c>
      <c r="M126" s="5">
        <f t="shared" si="62"/>
        <v>118.5340338</v>
      </c>
      <c r="N126" s="5">
        <f t="shared" si="63"/>
        <v>33.617621527777771</v>
      </c>
      <c r="O126" s="5">
        <f t="shared" si="67"/>
        <v>-3.8182696955050749E-2</v>
      </c>
      <c r="P126" s="5">
        <f t="shared" si="45"/>
        <v>-3.8164157418355833E-2</v>
      </c>
      <c r="Q126" s="5">
        <f t="shared" si="46"/>
        <v>-2.186645148744681</v>
      </c>
      <c r="R126" s="5">
        <f t="shared" si="64"/>
        <v>-4961.9162163721066</v>
      </c>
      <c r="S126" s="4">
        <f t="shared" si="60"/>
        <v>486.29347200000007</v>
      </c>
      <c r="T126" s="5">
        <f t="shared" si="47"/>
        <v>-4.3528301184553353</v>
      </c>
      <c r="U126" s="5">
        <f t="shared" si="48"/>
        <v>-45.341980400576404</v>
      </c>
      <c r="V126" s="5">
        <v>0</v>
      </c>
      <c r="W126" s="5">
        <v>-45.12047990996853</v>
      </c>
      <c r="X126" s="26">
        <f t="shared" si="51"/>
        <v>-45.341980400576404</v>
      </c>
      <c r="Y126" s="26">
        <f t="shared" si="57"/>
        <v>-177.88149008091827</v>
      </c>
      <c r="Z126" s="27">
        <f t="shared" si="52"/>
        <v>0</v>
      </c>
      <c r="AA126" s="27">
        <f t="shared" si="58"/>
        <v>2823.5870091036436</v>
      </c>
      <c r="AB126" s="28">
        <v>0</v>
      </c>
      <c r="AC126" s="4">
        <v>394</v>
      </c>
      <c r="AD126" s="5">
        <f t="shared" si="65"/>
        <v>0</v>
      </c>
      <c r="AE126" s="27">
        <f t="shared" si="53"/>
        <v>0</v>
      </c>
      <c r="AF126" s="27">
        <f t="shared" si="59"/>
        <v>9.0515178269795868E-2</v>
      </c>
      <c r="AG126" s="27">
        <f t="shared" si="54"/>
        <v>125.71552537471648</v>
      </c>
      <c r="AH126" s="1"/>
      <c r="AI126" s="1"/>
      <c r="AK126" s="1"/>
      <c r="AL126" s="19"/>
      <c r="AM126" s="19"/>
      <c r="AN126" s="19"/>
      <c r="AO126" s="19"/>
      <c r="AP126" s="19"/>
    </row>
    <row r="127" spans="1:42" x14ac:dyDescent="0.25">
      <c r="A127" s="4">
        <v>53.312249999999999</v>
      </c>
      <c r="B127" s="4">
        <v>-5.9729999999999998E-2</v>
      </c>
      <c r="C127" s="4">
        <v>125</v>
      </c>
      <c r="D127" s="5">
        <f t="shared" si="66"/>
        <v>1571.3924050632954</v>
      </c>
      <c r="E127" s="4">
        <v>19</v>
      </c>
      <c r="F127" s="4">
        <v>38</v>
      </c>
      <c r="G127" s="5">
        <f t="shared" si="41"/>
        <v>10.555555555555555</v>
      </c>
      <c r="H127" s="5">
        <f t="shared" si="42"/>
        <v>1.2324646314221943</v>
      </c>
      <c r="I127" s="5">
        <f t="shared" si="55"/>
        <v>285.34356080069693</v>
      </c>
      <c r="J127" s="5">
        <f t="shared" si="56"/>
        <v>0.11269198754094739</v>
      </c>
      <c r="K127" s="5">
        <f t="shared" si="61"/>
        <v>69.828463159872641</v>
      </c>
      <c r="L127" s="5">
        <f t="shared" si="43"/>
        <v>55.323250000000002</v>
      </c>
      <c r="M127" s="5">
        <f t="shared" si="62"/>
        <v>115.4946996</v>
      </c>
      <c r="N127" s="5">
        <f t="shared" si="63"/>
        <v>34.520067901234562</v>
      </c>
      <c r="O127" s="5">
        <f t="shared" si="67"/>
        <v>-3.8182696955050749E-2</v>
      </c>
      <c r="P127" s="5">
        <f t="shared" si="45"/>
        <v>-3.8164157418355833E-2</v>
      </c>
      <c r="Q127" s="5">
        <f t="shared" si="46"/>
        <v>-2.186645148744681</v>
      </c>
      <c r="R127" s="5">
        <f t="shared" si="64"/>
        <v>-4961.9162163721066</v>
      </c>
      <c r="S127" s="4">
        <f t="shared" si="60"/>
        <v>486.29347200000007</v>
      </c>
      <c r="T127" s="5">
        <f t="shared" si="47"/>
        <v>-4.3504710312122334</v>
      </c>
      <c r="U127" s="5">
        <f t="shared" si="48"/>
        <v>-45.921638662795793</v>
      </c>
      <c r="V127" s="5">
        <v>0</v>
      </c>
      <c r="W127" s="5">
        <v>-45.69723132491891</v>
      </c>
      <c r="X127" s="26">
        <f t="shared" si="51"/>
        <v>-45.921638662795793</v>
      </c>
      <c r="Y127" s="26">
        <f t="shared" si="57"/>
        <v>-223.80312874371407</v>
      </c>
      <c r="Z127" s="27">
        <f t="shared" si="52"/>
        <v>0</v>
      </c>
      <c r="AA127" s="27">
        <f t="shared" si="58"/>
        <v>2823.5870091036436</v>
      </c>
      <c r="AB127" s="28">
        <v>0</v>
      </c>
      <c r="AC127" s="4">
        <v>394</v>
      </c>
      <c r="AD127" s="5">
        <f t="shared" si="65"/>
        <v>0</v>
      </c>
      <c r="AE127" s="27">
        <f t="shared" si="53"/>
        <v>0</v>
      </c>
      <c r="AF127" s="27">
        <f t="shared" si="59"/>
        <v>9.0515178269795868E-2</v>
      </c>
      <c r="AG127" s="27">
        <f t="shared" si="54"/>
        <v>125.71552537471648</v>
      </c>
      <c r="AH127" s="1"/>
      <c r="AI127" s="1"/>
      <c r="AK127" s="1"/>
      <c r="AL127" s="19"/>
      <c r="AM127" s="19"/>
      <c r="AN127" s="19"/>
      <c r="AO127" s="19"/>
      <c r="AP127" s="19"/>
    </row>
    <row r="128" spans="1:42" x14ac:dyDescent="0.25">
      <c r="A128" s="4">
        <v>53.312429999999999</v>
      </c>
      <c r="B128" s="4">
        <v>-5.9540000000000003E-2</v>
      </c>
      <c r="C128" s="4">
        <v>125</v>
      </c>
      <c r="D128" s="5">
        <f t="shared" si="66"/>
        <v>1584.4873417721562</v>
      </c>
      <c r="E128" s="4">
        <v>18.5</v>
      </c>
      <c r="F128" s="4">
        <v>38.5</v>
      </c>
      <c r="G128" s="5">
        <f t="shared" si="41"/>
        <v>10.694444444444445</v>
      </c>
      <c r="H128" s="5">
        <f t="shared" si="42"/>
        <v>1.2165618619844885</v>
      </c>
      <c r="I128" s="5">
        <f t="shared" si="55"/>
        <v>286.56012266268141</v>
      </c>
      <c r="J128" s="5">
        <f t="shared" si="56"/>
        <v>0.11416508541730191</v>
      </c>
      <c r="K128" s="5">
        <f t="shared" si="61"/>
        <v>70.741253527976951</v>
      </c>
      <c r="L128" s="5">
        <f t="shared" si="43"/>
        <v>56.788703125000005</v>
      </c>
      <c r="M128" s="5">
        <f t="shared" si="62"/>
        <v>112.45536540000001</v>
      </c>
      <c r="N128" s="5">
        <f t="shared" si="63"/>
        <v>35.434467206790124</v>
      </c>
      <c r="O128" s="5">
        <f t="shared" si="67"/>
        <v>-3.8182696955050749E-2</v>
      </c>
      <c r="P128" s="5">
        <f t="shared" si="45"/>
        <v>-3.8164157418355833E-2</v>
      </c>
      <c r="Q128" s="5">
        <f t="shared" si="46"/>
        <v>-2.186645148744681</v>
      </c>
      <c r="R128" s="5">
        <f t="shared" si="64"/>
        <v>-4961.9162163721066</v>
      </c>
      <c r="S128" s="4">
        <f t="shared" si="60"/>
        <v>486.29347200000007</v>
      </c>
      <c r="T128" s="5">
        <f t="shared" si="47"/>
        <v>-4.3480927877191284</v>
      </c>
      <c r="U128" s="5">
        <f t="shared" si="48"/>
        <v>-46.500436757551789</v>
      </c>
      <c r="V128" s="5">
        <v>0</v>
      </c>
      <c r="W128" s="5">
        <v>-46.273123795895515</v>
      </c>
      <c r="X128" s="26">
        <f t="shared" si="51"/>
        <v>-46.500436757551789</v>
      </c>
      <c r="Y128" s="26">
        <f t="shared" si="57"/>
        <v>-270.30356550126584</v>
      </c>
      <c r="Z128" s="27">
        <f t="shared" si="52"/>
        <v>0</v>
      </c>
      <c r="AA128" s="27">
        <f t="shared" si="58"/>
        <v>2823.5870091036436</v>
      </c>
      <c r="AB128" s="28">
        <v>0</v>
      </c>
      <c r="AC128" s="4">
        <v>394</v>
      </c>
      <c r="AD128" s="5">
        <f t="shared" si="65"/>
        <v>0</v>
      </c>
      <c r="AE128" s="27">
        <f t="shared" si="53"/>
        <v>0</v>
      </c>
      <c r="AF128" s="27">
        <f t="shared" si="59"/>
        <v>9.0515178269795868E-2</v>
      </c>
      <c r="AG128" s="27">
        <f t="shared" si="54"/>
        <v>125.71552537471648</v>
      </c>
      <c r="AH128" s="1"/>
      <c r="AI128" s="1"/>
      <c r="AK128" s="1"/>
      <c r="AL128" s="19"/>
      <c r="AM128" s="19"/>
      <c r="AN128" s="19"/>
      <c r="AO128" s="19"/>
      <c r="AP128" s="19"/>
    </row>
    <row r="129" spans="1:42" x14ac:dyDescent="0.25">
      <c r="A129" s="4">
        <v>53.312600000000003</v>
      </c>
      <c r="B129" s="4">
        <v>-5.9450000000000003E-2</v>
      </c>
      <c r="C129" s="4">
        <v>125</v>
      </c>
      <c r="D129" s="5">
        <f t="shared" si="66"/>
        <v>1597.5822784810171</v>
      </c>
      <c r="E129" s="4">
        <v>18</v>
      </c>
      <c r="F129" s="4">
        <v>39</v>
      </c>
      <c r="G129" s="5">
        <f t="shared" si="41"/>
        <v>10.833333333333334</v>
      </c>
      <c r="H129" s="5">
        <f t="shared" si="42"/>
        <v>1.2010642586471065</v>
      </c>
      <c r="I129" s="5">
        <f t="shared" si="55"/>
        <v>287.76118692132849</v>
      </c>
      <c r="J129" s="5">
        <f t="shared" si="56"/>
        <v>0.11563818329365538</v>
      </c>
      <c r="K129" s="5">
        <f t="shared" si="61"/>
        <v>71.654043896080623</v>
      </c>
      <c r="L129" s="5">
        <f t="shared" si="43"/>
        <v>58.27331250000001</v>
      </c>
      <c r="M129" s="5">
        <f t="shared" si="62"/>
        <v>109.41603120000001</v>
      </c>
      <c r="N129" s="5">
        <f t="shared" si="63"/>
        <v>36.360819444444452</v>
      </c>
      <c r="O129" s="5">
        <f t="shared" si="67"/>
        <v>-3.8182696955050749E-2</v>
      </c>
      <c r="P129" s="5">
        <f t="shared" si="45"/>
        <v>-3.8164157418355833E-2</v>
      </c>
      <c r="Q129" s="5">
        <f t="shared" si="46"/>
        <v>-2.186645148744681</v>
      </c>
      <c r="R129" s="5">
        <f t="shared" si="64"/>
        <v>-4961.9162163721066</v>
      </c>
      <c r="S129" s="4">
        <f t="shared" si="60"/>
        <v>486.29347200000007</v>
      </c>
      <c r="T129" s="5">
        <f t="shared" si="47"/>
        <v>-4.3456953879760247</v>
      </c>
      <c r="U129" s="5">
        <f t="shared" si="48"/>
        <v>-47.078366703073605</v>
      </c>
      <c r="V129" s="5">
        <v>0</v>
      </c>
      <c r="W129" s="5">
        <v>-46.848149341127559</v>
      </c>
      <c r="X129" s="26">
        <f t="shared" si="51"/>
        <v>-47.078366703073605</v>
      </c>
      <c r="Y129" s="26">
        <f t="shared" si="57"/>
        <v>-317.38193220433942</v>
      </c>
      <c r="Z129" s="27">
        <f t="shared" si="52"/>
        <v>0</v>
      </c>
      <c r="AA129" s="27">
        <f t="shared" si="58"/>
        <v>2823.5870091036436</v>
      </c>
      <c r="AB129" s="28">
        <v>0</v>
      </c>
      <c r="AC129" s="4">
        <v>394</v>
      </c>
      <c r="AD129" s="5">
        <f t="shared" si="65"/>
        <v>0</v>
      </c>
      <c r="AE129" s="27">
        <f t="shared" si="53"/>
        <v>0</v>
      </c>
      <c r="AF129" s="27">
        <f t="shared" si="59"/>
        <v>9.0515178269795868E-2</v>
      </c>
      <c r="AG129" s="27">
        <f t="shared" si="54"/>
        <v>125.71552537471648</v>
      </c>
      <c r="AH129" s="1"/>
      <c r="AI129" s="1"/>
      <c r="AK129" s="1"/>
      <c r="AL129" s="19"/>
      <c r="AM129" s="19"/>
      <c r="AN129" s="19"/>
      <c r="AO129" s="19"/>
      <c r="AP129" s="19"/>
    </row>
    <row r="130" spans="1:42" x14ac:dyDescent="0.25">
      <c r="A130" s="4">
        <v>53.312739999999998</v>
      </c>
      <c r="B130" s="4">
        <v>-5.9470000000000002E-2</v>
      </c>
      <c r="C130" s="4">
        <v>124</v>
      </c>
      <c r="D130" s="5">
        <f t="shared" si="66"/>
        <v>1610.6772151898779</v>
      </c>
      <c r="E130" s="4">
        <v>17.5</v>
      </c>
      <c r="F130" s="4">
        <v>39.5</v>
      </c>
      <c r="G130" s="5">
        <f t="shared" si="41"/>
        <v>10.972222222222221</v>
      </c>
      <c r="H130" s="5">
        <f t="shared" si="42"/>
        <v>1.1859565321232437</v>
      </c>
      <c r="I130" s="5">
        <f t="shared" si="55"/>
        <v>288.94714345345176</v>
      </c>
      <c r="J130" s="5">
        <f t="shared" si="56"/>
        <v>0.11711128117000084</v>
      </c>
      <c r="K130" s="5">
        <f t="shared" si="61"/>
        <v>72.56683426417932</v>
      </c>
      <c r="L130" s="5">
        <f t="shared" si="43"/>
        <v>59.777078124999996</v>
      </c>
      <c r="M130" s="5">
        <f t="shared" si="62"/>
        <v>106.37669700000002</v>
      </c>
      <c r="N130" s="5">
        <f t="shared" si="63"/>
        <v>37.299124614197524</v>
      </c>
      <c r="O130" s="5">
        <f t="shared" si="67"/>
        <v>-3.8182696955050749E-2</v>
      </c>
      <c r="P130" s="5">
        <f t="shared" si="45"/>
        <v>-3.8164157418355833E-2</v>
      </c>
      <c r="Q130" s="5">
        <f t="shared" si="46"/>
        <v>-2.186645148744681</v>
      </c>
      <c r="R130" s="5">
        <f t="shared" si="64"/>
        <v>-4961.9162163721066</v>
      </c>
      <c r="S130" s="4">
        <f t="shared" si="60"/>
        <v>486.29347200000007</v>
      </c>
      <c r="T130" s="5">
        <f t="shared" si="47"/>
        <v>-4.3432788319829267</v>
      </c>
      <c r="U130" s="5">
        <f t="shared" si="48"/>
        <v>-47.655420517590443</v>
      </c>
      <c r="V130" s="5">
        <v>0</v>
      </c>
      <c r="W130" s="5">
        <v>-47.422299978844258</v>
      </c>
      <c r="X130" s="26">
        <f t="shared" si="51"/>
        <v>-47.655420517590443</v>
      </c>
      <c r="Y130" s="26">
        <f t="shared" si="57"/>
        <v>-365.03735272192989</v>
      </c>
      <c r="Z130" s="27">
        <f t="shared" si="52"/>
        <v>0</v>
      </c>
      <c r="AA130" s="27">
        <f t="shared" si="58"/>
        <v>2823.5870091036436</v>
      </c>
      <c r="AB130" s="28">
        <v>0</v>
      </c>
      <c r="AC130" s="4">
        <v>394</v>
      </c>
      <c r="AD130" s="5">
        <f t="shared" si="65"/>
        <v>0</v>
      </c>
      <c r="AE130" s="27">
        <f t="shared" si="53"/>
        <v>0</v>
      </c>
      <c r="AF130" s="27">
        <f t="shared" si="59"/>
        <v>9.0515178269795868E-2</v>
      </c>
      <c r="AG130" s="27">
        <f t="shared" si="54"/>
        <v>125.71552537471648</v>
      </c>
      <c r="AH130" s="1"/>
      <c r="AI130" s="1"/>
      <c r="AK130" s="1"/>
      <c r="AL130" s="19"/>
      <c r="AM130" s="19"/>
      <c r="AN130" s="19"/>
      <c r="AO130" s="19"/>
      <c r="AP130" s="19"/>
    </row>
    <row r="131" spans="1:42" x14ac:dyDescent="0.25">
      <c r="A131" s="4">
        <v>53.312919999999998</v>
      </c>
      <c r="B131" s="4">
        <v>-5.9520000000000003E-2</v>
      </c>
      <c r="C131" s="4">
        <v>120</v>
      </c>
      <c r="D131" s="5">
        <f t="shared" si="66"/>
        <v>1623.7721518987387</v>
      </c>
      <c r="E131" s="4">
        <v>17</v>
      </c>
      <c r="F131" s="4">
        <v>40</v>
      </c>
      <c r="G131" s="5">
        <f t="shared" si="41"/>
        <v>11.111111111111111</v>
      </c>
      <c r="H131" s="5">
        <f t="shared" si="42"/>
        <v>1.1712241528422096</v>
      </c>
      <c r="I131" s="5">
        <f t="shared" si="55"/>
        <v>290.11836760629399</v>
      </c>
      <c r="J131" s="5">
        <f t="shared" si="56"/>
        <v>0.1185843790463554</v>
      </c>
      <c r="K131" s="5">
        <f t="shared" si="61"/>
        <v>73.479624632283659</v>
      </c>
      <c r="L131" s="5">
        <f t="shared" si="43"/>
        <v>61.3</v>
      </c>
      <c r="M131" s="5">
        <f t="shared" si="62"/>
        <v>103.33736280000001</v>
      </c>
      <c r="N131" s="5">
        <f t="shared" si="63"/>
        <v>38.249382716049382</v>
      </c>
      <c r="O131" s="5">
        <f t="shared" si="67"/>
        <v>-3.8182696955050749E-2</v>
      </c>
      <c r="P131" s="5">
        <f t="shared" si="45"/>
        <v>-3.8164157418355833E-2</v>
      </c>
      <c r="Q131" s="5">
        <f t="shared" si="46"/>
        <v>-2.186645148744681</v>
      </c>
      <c r="R131" s="5">
        <f t="shared" si="64"/>
        <v>-4961.9162163721066</v>
      </c>
      <c r="S131" s="4">
        <f t="shared" si="60"/>
        <v>486.29347200000007</v>
      </c>
      <c r="T131" s="5">
        <f t="shared" si="47"/>
        <v>-4.3408431197398221</v>
      </c>
      <c r="U131" s="5">
        <f t="shared" si="48"/>
        <v>-48.231590219331352</v>
      </c>
      <c r="V131" s="5">
        <v>0</v>
      </c>
      <c r="W131" s="5">
        <v>-47.995567727274647</v>
      </c>
      <c r="X131" s="26">
        <f t="shared" si="51"/>
        <v>-48.231590219331352</v>
      </c>
      <c r="Y131" s="26">
        <f t="shared" si="57"/>
        <v>-413.26894294126123</v>
      </c>
      <c r="Z131" s="27">
        <f t="shared" si="52"/>
        <v>0</v>
      </c>
      <c r="AA131" s="27">
        <f t="shared" si="58"/>
        <v>2823.5870091036436</v>
      </c>
      <c r="AB131" s="28">
        <v>0</v>
      </c>
      <c r="AC131" s="4">
        <v>394</v>
      </c>
      <c r="AD131" s="5">
        <f t="shared" si="65"/>
        <v>0</v>
      </c>
      <c r="AE131" s="27">
        <f t="shared" si="53"/>
        <v>0</v>
      </c>
      <c r="AF131" s="27">
        <f t="shared" si="59"/>
        <v>9.0515178269795868E-2</v>
      </c>
      <c r="AG131" s="27">
        <f t="shared" si="54"/>
        <v>125.71552537471648</v>
      </c>
      <c r="AH131" s="1"/>
      <c r="AI131" s="1"/>
      <c r="AK131" s="1"/>
      <c r="AL131" s="19"/>
      <c r="AM131" s="19"/>
      <c r="AN131" s="19"/>
      <c r="AO131" s="19"/>
      <c r="AP131" s="19"/>
    </row>
    <row r="132" spans="1:42" x14ac:dyDescent="0.25">
      <c r="A132" s="4">
        <v>53.313020000000002</v>
      </c>
      <c r="B132" s="4">
        <v>-5.9549999999999999E-2</v>
      </c>
      <c r="C132" s="4">
        <v>119</v>
      </c>
      <c r="D132" s="5">
        <f t="shared" si="66"/>
        <v>1636.8670886075995</v>
      </c>
      <c r="E132" s="4">
        <v>16.5</v>
      </c>
      <c r="F132" s="4">
        <v>40.5</v>
      </c>
      <c r="G132" s="5">
        <f t="shared" si="41"/>
        <v>11.25</v>
      </c>
      <c r="H132" s="5">
        <f t="shared" si="42"/>
        <v>1.156853304341078</v>
      </c>
      <c r="I132" s="5">
        <f t="shared" si="55"/>
        <v>291.27522091063508</v>
      </c>
      <c r="J132" s="5">
        <f t="shared" si="56"/>
        <v>0.12005747692270749</v>
      </c>
      <c r="K132" s="5">
        <f t="shared" si="61"/>
        <v>74.392415000386464</v>
      </c>
      <c r="L132" s="5">
        <f t="shared" si="43"/>
        <v>62.842078125</v>
      </c>
      <c r="M132" s="5">
        <f t="shared" si="62"/>
        <v>100.29802860000001</v>
      </c>
      <c r="N132" s="5">
        <f t="shared" si="63"/>
        <v>39.211593749999999</v>
      </c>
      <c r="O132" s="5">
        <f t="shared" si="67"/>
        <v>-3.8182696955050749E-2</v>
      </c>
      <c r="P132" s="5">
        <f t="shared" si="45"/>
        <v>-3.8164157418355833E-2</v>
      </c>
      <c r="Q132" s="5">
        <f t="shared" si="46"/>
        <v>-2.186645148744681</v>
      </c>
      <c r="R132" s="5">
        <f t="shared" si="64"/>
        <v>-4961.9162163721066</v>
      </c>
      <c r="S132" s="4">
        <f t="shared" si="60"/>
        <v>486.29347200000007</v>
      </c>
      <c r="T132" s="5">
        <f t="shared" si="47"/>
        <v>-4.3383882512467196</v>
      </c>
      <c r="U132" s="5">
        <f t="shared" si="48"/>
        <v>-48.806867826525597</v>
      </c>
      <c r="V132" s="5">
        <v>0</v>
      </c>
      <c r="W132" s="5">
        <v>-48.567944604647991</v>
      </c>
      <c r="X132" s="26">
        <f t="shared" si="51"/>
        <v>-48.806867826525597</v>
      </c>
      <c r="Y132" s="26">
        <f t="shared" si="57"/>
        <v>-462.07581076778683</v>
      </c>
      <c r="Z132" s="27">
        <f t="shared" si="52"/>
        <v>0</v>
      </c>
      <c r="AA132" s="27">
        <f t="shared" si="58"/>
        <v>2823.5870091036436</v>
      </c>
      <c r="AB132" s="28">
        <v>0</v>
      </c>
      <c r="AC132" s="4">
        <v>394</v>
      </c>
      <c r="AD132" s="5">
        <f t="shared" si="65"/>
        <v>0</v>
      </c>
      <c r="AE132" s="27">
        <f t="shared" si="53"/>
        <v>0</v>
      </c>
      <c r="AF132" s="27">
        <f t="shared" si="59"/>
        <v>9.0515178269795868E-2</v>
      </c>
      <c r="AG132" s="27">
        <f t="shared" si="54"/>
        <v>125.71552537471648</v>
      </c>
      <c r="AH132" s="1"/>
      <c r="AI132" s="1"/>
      <c r="AK132" s="1"/>
      <c r="AL132" s="19"/>
      <c r="AM132" s="19"/>
      <c r="AN132" s="19"/>
      <c r="AO132" s="19"/>
      <c r="AP132" s="19"/>
    </row>
    <row r="133" spans="1:42" x14ac:dyDescent="0.25">
      <c r="A133" s="4">
        <v>53.313079999999999</v>
      </c>
      <c r="B133" s="4">
        <v>-5.9459999999999999E-2</v>
      </c>
      <c r="C133" s="4">
        <v>117</v>
      </c>
      <c r="D133" s="5">
        <f t="shared" si="66"/>
        <v>1649.9620253164603</v>
      </c>
      <c r="E133" s="4">
        <v>16</v>
      </c>
      <c r="F133" s="4">
        <v>41</v>
      </c>
      <c r="G133" s="5">
        <f t="shared" si="41"/>
        <v>11.388888888888889</v>
      </c>
      <c r="H133" s="5">
        <f t="shared" si="42"/>
        <v>1.1428308400460347</v>
      </c>
      <c r="I133" s="5">
        <f t="shared" si="55"/>
        <v>292.41805175068112</v>
      </c>
      <c r="J133" s="5">
        <f t="shared" si="56"/>
        <v>0.12153057479906222</v>
      </c>
      <c r="K133" s="5">
        <f t="shared" si="61"/>
        <v>75.305205368490917</v>
      </c>
      <c r="L133" s="5">
        <f t="shared" si="43"/>
        <v>64.403312500000013</v>
      </c>
      <c r="M133" s="5">
        <f t="shared" si="62"/>
        <v>97.25869440000001</v>
      </c>
      <c r="N133" s="5">
        <f t="shared" si="63"/>
        <v>40.185757716049388</v>
      </c>
      <c r="O133" s="5">
        <f t="shared" si="67"/>
        <v>-3.8182696955050749E-2</v>
      </c>
      <c r="P133" s="5">
        <f t="shared" si="45"/>
        <v>-3.8164157418355833E-2</v>
      </c>
      <c r="Q133" s="5">
        <f t="shared" si="46"/>
        <v>-2.186645148744681</v>
      </c>
      <c r="R133" s="5">
        <f t="shared" si="64"/>
        <v>-4961.9162163721066</v>
      </c>
      <c r="S133" s="4">
        <f t="shared" si="60"/>
        <v>486.29347200000007</v>
      </c>
      <c r="T133" s="5">
        <f t="shared" si="47"/>
        <v>-4.3359142265036166</v>
      </c>
      <c r="U133" s="5">
        <f t="shared" si="48"/>
        <v>-49.3812453574023</v>
      </c>
      <c r="V133" s="5">
        <v>0</v>
      </c>
      <c r="W133" s="5">
        <v>-49.139422629193419</v>
      </c>
      <c r="X133" s="26">
        <f t="shared" si="51"/>
        <v>-49.3812453574023</v>
      </c>
      <c r="Y133" s="26">
        <f t="shared" si="57"/>
        <v>-511.45705612518913</v>
      </c>
      <c r="Z133" s="27">
        <f t="shared" si="52"/>
        <v>0</v>
      </c>
      <c r="AA133" s="27">
        <f t="shared" si="58"/>
        <v>2823.5870091036436</v>
      </c>
      <c r="AB133" s="28">
        <v>0</v>
      </c>
      <c r="AC133" s="4">
        <v>394</v>
      </c>
      <c r="AD133" s="5">
        <f t="shared" si="65"/>
        <v>0</v>
      </c>
      <c r="AE133" s="27">
        <f t="shared" si="53"/>
        <v>0</v>
      </c>
      <c r="AF133" s="27">
        <f t="shared" si="59"/>
        <v>9.0515178269795868E-2</v>
      </c>
      <c r="AG133" s="27">
        <f t="shared" si="54"/>
        <v>125.71552537471648</v>
      </c>
      <c r="AH133" s="1"/>
      <c r="AI133" s="1"/>
      <c r="AK133" s="1"/>
      <c r="AL133" s="19"/>
      <c r="AM133" s="19"/>
      <c r="AN133" s="19"/>
      <c r="AO133" s="19"/>
      <c r="AP133" s="19"/>
    </row>
    <row r="134" spans="1:42" x14ac:dyDescent="0.25">
      <c r="A134" s="4">
        <v>53.313119999999998</v>
      </c>
      <c r="B134" s="4">
        <v>-5.9299999999999999E-2</v>
      </c>
      <c r="C134" s="4">
        <v>115</v>
      </c>
      <c r="D134" s="5">
        <f t="shared" si="66"/>
        <v>1663.0569620253211</v>
      </c>
      <c r="E134" s="4">
        <v>15.5</v>
      </c>
      <c r="F134" s="4">
        <v>41.5</v>
      </c>
      <c r="G134" s="5">
        <f t="shared" si="41"/>
        <v>11.527777777777777</v>
      </c>
      <c r="H134" s="5">
        <f t="shared" si="42"/>
        <v>1.129144243159256</v>
      </c>
      <c r="I134" s="5">
        <f t="shared" si="55"/>
        <v>293.54719599384038</v>
      </c>
      <c r="J134" s="5">
        <f t="shared" si="56"/>
        <v>0.12300367267541207</v>
      </c>
      <c r="K134" s="5">
        <f t="shared" si="61"/>
        <v>76.217995736592329</v>
      </c>
      <c r="L134" s="5">
        <f t="shared" si="43"/>
        <v>65.983703124999991</v>
      </c>
      <c r="M134" s="5">
        <f t="shared" si="62"/>
        <v>94.219360200000011</v>
      </c>
      <c r="N134" s="5">
        <f t="shared" si="63"/>
        <v>41.17187461419752</v>
      </c>
      <c r="O134" s="5">
        <f t="shared" si="67"/>
        <v>-3.8182696955050749E-2</v>
      </c>
      <c r="P134" s="5">
        <f t="shared" si="45"/>
        <v>-3.8164157418355833E-2</v>
      </c>
      <c r="Q134" s="5">
        <f t="shared" si="46"/>
        <v>-2.186645148744681</v>
      </c>
      <c r="R134" s="5">
        <f t="shared" si="64"/>
        <v>-4961.9162163721066</v>
      </c>
      <c r="S134" s="4">
        <f t="shared" si="60"/>
        <v>486.29347200000007</v>
      </c>
      <c r="T134" s="5">
        <f t="shared" si="47"/>
        <v>-4.333421045510514</v>
      </c>
      <c r="U134" s="5">
        <f t="shared" si="48"/>
        <v>-49.954714830190646</v>
      </c>
      <c r="V134" s="5">
        <v>0</v>
      </c>
      <c r="W134" s="5">
        <v>-49.709993819140131</v>
      </c>
      <c r="X134" s="26">
        <f t="shared" si="51"/>
        <v>-49.954714830190646</v>
      </c>
      <c r="Y134" s="26">
        <f t="shared" si="57"/>
        <v>-561.41177095537978</v>
      </c>
      <c r="Z134" s="27">
        <f t="shared" si="52"/>
        <v>0</v>
      </c>
      <c r="AA134" s="27">
        <f t="shared" si="58"/>
        <v>2823.5870091036436</v>
      </c>
      <c r="AB134" s="28">
        <v>0</v>
      </c>
      <c r="AC134" s="4">
        <v>394</v>
      </c>
      <c r="AD134" s="5">
        <f t="shared" si="65"/>
        <v>0</v>
      </c>
      <c r="AE134" s="27">
        <f t="shared" si="53"/>
        <v>0</v>
      </c>
      <c r="AF134" s="27">
        <f t="shared" si="59"/>
        <v>9.0515178269795868E-2</v>
      </c>
      <c r="AG134" s="27">
        <f t="shared" si="54"/>
        <v>125.71552537471648</v>
      </c>
      <c r="AH134" s="1"/>
      <c r="AI134" s="1"/>
      <c r="AK134" s="1"/>
      <c r="AL134" s="19"/>
      <c r="AM134" s="19"/>
      <c r="AN134" s="19"/>
      <c r="AO134" s="19"/>
      <c r="AP134" s="19"/>
    </row>
    <row r="135" spans="1:42" x14ac:dyDescent="0.25">
      <c r="A135" s="4">
        <v>53.313079999999999</v>
      </c>
      <c r="B135" s="4">
        <v>-5.9150000000000001E-2</v>
      </c>
      <c r="C135" s="4">
        <v>116</v>
      </c>
      <c r="D135" s="5">
        <f t="shared" si="66"/>
        <v>1676.1518987341819</v>
      </c>
      <c r="E135" s="4">
        <v>15</v>
      </c>
      <c r="F135" s="4">
        <v>42</v>
      </c>
      <c r="G135" s="5">
        <f t="shared" si="41"/>
        <v>11.666666666666666</v>
      </c>
      <c r="H135" s="5">
        <f t="shared" si="42"/>
        <v>1.1157815893940575</v>
      </c>
      <c r="I135" s="5">
        <f t="shared" si="55"/>
        <v>294.66297758323441</v>
      </c>
      <c r="J135" s="5">
        <f t="shared" si="56"/>
        <v>0.12447677055176916</v>
      </c>
      <c r="K135" s="5">
        <f t="shared" ref="K135:K165" si="68">J135*$L$2</f>
        <v>77.130786104698245</v>
      </c>
      <c r="L135" s="5">
        <f t="shared" si="43"/>
        <v>67.583249999999992</v>
      </c>
      <c r="M135" s="5">
        <f t="shared" ref="M135:M165" si="69">($L$2*$G$2*E135)/1000</f>
        <v>91.180026000000012</v>
      </c>
      <c r="N135" s="5">
        <f t="shared" ref="N135:N165" si="70">(0.5*$L$2*(G135^2))/1000</f>
        <v>42.16994444444444</v>
      </c>
      <c r="O135" s="5">
        <f t="shared" si="67"/>
        <v>-3.8182696955050749E-2</v>
      </c>
      <c r="P135" s="5">
        <f t="shared" si="45"/>
        <v>-3.8164157418355833E-2</v>
      </c>
      <c r="Q135" s="5">
        <f t="shared" si="46"/>
        <v>-2.186645148744681</v>
      </c>
      <c r="R135" s="5">
        <f t="shared" ref="R135:R144" si="71">($L$2*$G$2*SIN(Q135))</f>
        <v>-4961.9162163721066</v>
      </c>
      <c r="S135" s="4">
        <f t="shared" si="60"/>
        <v>486.29347200000007</v>
      </c>
      <c r="T135" s="5">
        <f t="shared" si="47"/>
        <v>-4.3309087082674083</v>
      </c>
      <c r="U135" s="5">
        <f t="shared" si="48"/>
        <v>-50.527268263119758</v>
      </c>
      <c r="V135" s="5">
        <v>0</v>
      </c>
      <c r="W135" s="5">
        <v>-50.279650192717234</v>
      </c>
      <c r="X135" s="26">
        <f t="shared" si="51"/>
        <v>-50.527268263119758</v>
      </c>
      <c r="Y135" s="26">
        <f t="shared" si="57"/>
        <v>-611.93903921849949</v>
      </c>
      <c r="Z135" s="27">
        <f t="shared" si="52"/>
        <v>0</v>
      </c>
      <c r="AA135" s="27">
        <f t="shared" si="58"/>
        <v>2823.5870091036436</v>
      </c>
      <c r="AB135" s="28">
        <v>0</v>
      </c>
      <c r="AC135" s="4">
        <v>394</v>
      </c>
      <c r="AD135" s="5">
        <f t="shared" ref="AD135:AD165" si="72">IF(V135&lt;0,((V135=0)*AC135/760),V135*AC135/760)</f>
        <v>0</v>
      </c>
      <c r="AE135" s="27">
        <f t="shared" si="53"/>
        <v>0</v>
      </c>
      <c r="AF135" s="27">
        <f t="shared" si="59"/>
        <v>9.0515178269795868E-2</v>
      </c>
      <c r="AG135" s="27">
        <f t="shared" si="54"/>
        <v>125.71552537471648</v>
      </c>
      <c r="AH135" s="1"/>
      <c r="AI135" s="1"/>
      <c r="AK135" s="1"/>
      <c r="AL135" s="19"/>
      <c r="AM135" s="19"/>
      <c r="AN135" s="19"/>
      <c r="AO135" s="19"/>
      <c r="AP135" s="19"/>
    </row>
    <row r="136" spans="1:42" x14ac:dyDescent="0.25">
      <c r="A136" s="6">
        <v>53.313040000000001</v>
      </c>
      <c r="B136" s="6">
        <v>-5.8880000000000002E-2</v>
      </c>
      <c r="C136" s="6">
        <v>115</v>
      </c>
      <c r="D136" s="7">
        <f t="shared" ref="D136:D165" si="73">D135+$A$2</f>
        <v>1689.2468354430428</v>
      </c>
      <c r="E136" s="6">
        <v>14.5</v>
      </c>
      <c r="F136" s="6">
        <v>42.5</v>
      </c>
      <c r="G136" s="7">
        <f t="shared" ref="G136:G165" si="74">F136/3.6</f>
        <v>11.805555555555555</v>
      </c>
      <c r="H136" s="7">
        <f t="shared" ref="H136:H164" si="75">(2*(D137-D136))/(G137+G136)</f>
        <v>1.1027315123251211</v>
      </c>
      <c r="I136" s="7">
        <f t="shared" si="55"/>
        <v>295.76570909555954</v>
      </c>
      <c r="J136" s="7">
        <f t="shared" si="56"/>
        <v>0.12594986842811698</v>
      </c>
      <c r="K136" s="7">
        <f t="shared" si="68"/>
        <v>78.043576472798406</v>
      </c>
      <c r="L136" s="7">
        <f t="shared" ref="L136:L165" si="76">0.5*1.226*(G136^2)*$D$2*$E$2</f>
        <v>69.201953124999989</v>
      </c>
      <c r="M136" s="7">
        <f t="shared" si="69"/>
        <v>88.140691799999999</v>
      </c>
      <c r="N136" s="7">
        <f t="shared" si="70"/>
        <v>43.179967206790117</v>
      </c>
      <c r="O136" s="7">
        <f t="shared" ref="O136:O165" si="77">(E137-E136)/$A$2</f>
        <v>-3.8182696955050749E-2</v>
      </c>
      <c r="P136" s="7">
        <f t="shared" ref="P136:P165" si="78">ATAN(O136)</f>
        <v>-3.8164157418355833E-2</v>
      </c>
      <c r="Q136" s="7">
        <f t="shared" ref="Q136:Q165" si="79">P136*(180/PI())</f>
        <v>-2.186645148744681</v>
      </c>
      <c r="R136" s="7">
        <f t="shared" si="71"/>
        <v>-4961.9162163721066</v>
      </c>
      <c r="S136" s="6">
        <f t="shared" ref="S136:S165" si="80" xml:space="preserve"> ($R$3*($L$2*$G$2))</f>
        <v>1215.73368</v>
      </c>
      <c r="T136" s="7">
        <f t="shared" ref="T136:T165" si="81">(S136+R136+L136+K136)/1000</f>
        <v>-3.5989370067743081</v>
      </c>
      <c r="U136" s="7">
        <f t="shared" ref="U136:U165" si="82">(T136*G136)</f>
        <v>-42.487450774418917</v>
      </c>
      <c r="V136" s="7">
        <v>0</v>
      </c>
      <c r="W136" s="7">
        <v>-42.278490393153994</v>
      </c>
      <c r="X136" s="23">
        <f t="shared" ref="X136:X165" si="83">IF(U136&gt;0,0,U136)</f>
        <v>-42.487450774418917</v>
      </c>
      <c r="Y136" s="23">
        <f t="shared" si="57"/>
        <v>-654.42648999291839</v>
      </c>
      <c r="Z136" s="24">
        <f t="shared" ref="Z136:Z165" si="84">IF(U136&lt;0,0,U136)</f>
        <v>0</v>
      </c>
      <c r="AA136" s="24">
        <f t="shared" si="58"/>
        <v>2823.5870091036436</v>
      </c>
      <c r="AB136" s="25">
        <v>0</v>
      </c>
      <c r="AC136" s="6">
        <v>394</v>
      </c>
      <c r="AD136" s="7">
        <f t="shared" si="72"/>
        <v>0</v>
      </c>
      <c r="AE136" s="24">
        <f t="shared" ref="AE136:AE165" si="85">AD136/3600</f>
        <v>0</v>
      </c>
      <c r="AF136" s="24">
        <f t="shared" si="59"/>
        <v>9.0515178269795868E-2</v>
      </c>
      <c r="AG136" s="24">
        <f t="shared" ref="AG136:AG165" si="86">(AF136/0.72)*1000</f>
        <v>125.71552537471648</v>
      </c>
      <c r="AH136" s="1"/>
      <c r="AI136" s="1"/>
      <c r="AK136" s="1"/>
      <c r="AL136" s="19"/>
      <c r="AM136" s="19"/>
      <c r="AN136" s="19"/>
      <c r="AO136" s="19"/>
      <c r="AP136" s="19"/>
    </row>
    <row r="137" spans="1:42" x14ac:dyDescent="0.25">
      <c r="A137" s="6">
        <v>53.313040000000001</v>
      </c>
      <c r="B137" s="6">
        <v>-5.8860000000000003E-2</v>
      </c>
      <c r="C137" s="6">
        <v>115</v>
      </c>
      <c r="D137" s="7">
        <f t="shared" si="73"/>
        <v>1702.3417721519036</v>
      </c>
      <c r="E137" s="6">
        <v>14</v>
      </c>
      <c r="F137" s="6">
        <v>43</v>
      </c>
      <c r="G137" s="7">
        <f t="shared" si="74"/>
        <v>11.944444444444445</v>
      </c>
      <c r="H137" s="7">
        <f t="shared" si="75"/>
        <v>1.0899831711421717</v>
      </c>
      <c r="I137" s="7">
        <f t="shared" ref="I137:I165" si="87">I136+H137</f>
        <v>296.85569226670174</v>
      </c>
      <c r="J137" s="7">
        <f t="shared" ref="J137:J165" si="88">(G137-G136)/(I137-I136)</f>
        <v>0.12742296630446831</v>
      </c>
      <c r="K137" s="7">
        <f t="shared" si="68"/>
        <v>78.956366840900742</v>
      </c>
      <c r="L137" s="7">
        <f t="shared" si="76"/>
        <v>70.839812500000008</v>
      </c>
      <c r="M137" s="7">
        <f t="shared" si="69"/>
        <v>85.1013576</v>
      </c>
      <c r="N137" s="7">
        <f t="shared" si="70"/>
        <v>44.201942901234567</v>
      </c>
      <c r="O137" s="7">
        <f t="shared" si="77"/>
        <v>-3.8182696955050749E-2</v>
      </c>
      <c r="P137" s="7">
        <f t="shared" si="78"/>
        <v>-3.8164157418355833E-2</v>
      </c>
      <c r="Q137" s="7">
        <f t="shared" si="79"/>
        <v>-2.186645148744681</v>
      </c>
      <c r="R137" s="7">
        <f t="shared" si="71"/>
        <v>-4961.9162163721066</v>
      </c>
      <c r="S137" s="6">
        <f t="shared" si="80"/>
        <v>1215.73368</v>
      </c>
      <c r="T137" s="7">
        <f t="shared" si="81"/>
        <v>-3.5963863570312053</v>
      </c>
      <c r="U137" s="7">
        <f t="shared" si="82"/>
        <v>-42.956837042317176</v>
      </c>
      <c r="V137" s="7">
        <v>0</v>
      </c>
      <c r="W137" s="7">
        <v>-42.745470913679483</v>
      </c>
      <c r="X137" s="23">
        <f t="shared" si="83"/>
        <v>-42.956837042317176</v>
      </c>
      <c r="Y137" s="23">
        <f t="shared" ref="Y137:Y165" si="89">Y136+X137</f>
        <v>-697.38332703523554</v>
      </c>
      <c r="Z137" s="24">
        <f t="shared" si="84"/>
        <v>0</v>
      </c>
      <c r="AA137" s="24">
        <f t="shared" ref="AA137:AA165" si="90">AA136+Z137</f>
        <v>2823.5870091036436</v>
      </c>
      <c r="AB137" s="25">
        <v>0</v>
      </c>
      <c r="AC137" s="6">
        <v>394</v>
      </c>
      <c r="AD137" s="7">
        <f t="shared" si="72"/>
        <v>0</v>
      </c>
      <c r="AE137" s="24">
        <f t="shared" si="85"/>
        <v>0</v>
      </c>
      <c r="AF137" s="24">
        <f t="shared" si="59"/>
        <v>9.0515178269795868E-2</v>
      </c>
      <c r="AG137" s="24">
        <f t="shared" si="86"/>
        <v>125.71552537471648</v>
      </c>
      <c r="AH137" s="1"/>
      <c r="AI137" s="1"/>
      <c r="AK137" s="1"/>
      <c r="AL137" s="19"/>
      <c r="AM137" s="19"/>
      <c r="AN137" s="19"/>
      <c r="AO137" s="19"/>
      <c r="AP137" s="19"/>
    </row>
    <row r="138" spans="1:42" x14ac:dyDescent="0.25">
      <c r="A138" s="6">
        <v>53.312980000000003</v>
      </c>
      <c r="B138" s="6">
        <v>-5.8459999999999998E-2</v>
      </c>
      <c r="C138" s="6">
        <v>113</v>
      </c>
      <c r="D138" s="7">
        <f t="shared" si="73"/>
        <v>1715.4367088607644</v>
      </c>
      <c r="E138" s="6">
        <v>13.5</v>
      </c>
      <c r="F138" s="6">
        <v>43.5</v>
      </c>
      <c r="G138" s="7">
        <f t="shared" si="74"/>
        <v>12.083333333333332</v>
      </c>
      <c r="H138" s="7">
        <f t="shared" si="75"/>
        <v>1.0775262206148328</v>
      </c>
      <c r="I138" s="7">
        <f t="shared" si="87"/>
        <v>297.93321848731659</v>
      </c>
      <c r="J138" s="7">
        <f t="shared" si="88"/>
        <v>0.12889606418081861</v>
      </c>
      <c r="K138" s="7">
        <f t="shared" si="68"/>
        <v>79.869157209002438</v>
      </c>
      <c r="L138" s="7">
        <f t="shared" si="76"/>
        <v>72.496828124999993</v>
      </c>
      <c r="M138" s="7">
        <f t="shared" si="69"/>
        <v>82.062023400000001</v>
      </c>
      <c r="N138" s="7">
        <f t="shared" si="70"/>
        <v>45.235871527777775</v>
      </c>
      <c r="O138" s="7">
        <f t="shared" si="77"/>
        <v>-3.8182696955050749E-2</v>
      </c>
      <c r="P138" s="7">
        <f t="shared" si="78"/>
        <v>-3.8164157418355833E-2</v>
      </c>
      <c r="Q138" s="7">
        <f t="shared" si="79"/>
        <v>-2.186645148744681</v>
      </c>
      <c r="R138" s="7">
        <f t="shared" si="71"/>
        <v>-4961.9162163721066</v>
      </c>
      <c r="S138" s="6">
        <f t="shared" si="80"/>
        <v>1215.73368</v>
      </c>
      <c r="T138" s="7">
        <f t="shared" si="81"/>
        <v>-3.5938165510381039</v>
      </c>
      <c r="U138" s="7">
        <f t="shared" si="82"/>
        <v>-43.42528332504375</v>
      </c>
      <c r="V138" s="7">
        <v>0</v>
      </c>
      <c r="W138" s="7">
        <v>-43.211512672522922</v>
      </c>
      <c r="X138" s="23">
        <f t="shared" si="83"/>
        <v>-43.42528332504375</v>
      </c>
      <c r="Y138" s="23">
        <f t="shared" si="89"/>
        <v>-740.80861036027932</v>
      </c>
      <c r="Z138" s="24">
        <f t="shared" si="84"/>
        <v>0</v>
      </c>
      <c r="AA138" s="24">
        <f t="shared" si="90"/>
        <v>2823.5870091036436</v>
      </c>
      <c r="AB138" s="25">
        <v>0</v>
      </c>
      <c r="AC138" s="6">
        <v>394</v>
      </c>
      <c r="AD138" s="7">
        <f t="shared" si="72"/>
        <v>0</v>
      </c>
      <c r="AE138" s="24">
        <f t="shared" si="85"/>
        <v>0</v>
      </c>
      <c r="AF138" s="24">
        <f t="shared" ref="AF138:AF165" si="91">AF137+AE138</f>
        <v>9.0515178269795868E-2</v>
      </c>
      <c r="AG138" s="24">
        <f t="shared" si="86"/>
        <v>125.71552537471648</v>
      </c>
      <c r="AH138" s="1"/>
      <c r="AI138" s="1"/>
      <c r="AK138" s="1"/>
      <c r="AL138" s="19"/>
      <c r="AM138" s="19"/>
      <c r="AN138" s="19"/>
      <c r="AO138" s="19"/>
      <c r="AP138" s="19"/>
    </row>
    <row r="139" spans="1:42" x14ac:dyDescent="0.25">
      <c r="A139" s="6">
        <v>53.312910000000002</v>
      </c>
      <c r="B139" s="6">
        <v>-5.8049999999999997E-2</v>
      </c>
      <c r="C139" s="6">
        <v>113</v>
      </c>
      <c r="D139" s="7">
        <f t="shared" si="73"/>
        <v>1728.5316455696252</v>
      </c>
      <c r="E139" s="6">
        <v>13</v>
      </c>
      <c r="F139" s="6">
        <v>44</v>
      </c>
      <c r="G139" s="7">
        <f t="shared" si="74"/>
        <v>12.222222222222221</v>
      </c>
      <c r="H139" s="7">
        <f t="shared" si="75"/>
        <v>1.0653507830937612</v>
      </c>
      <c r="I139" s="7">
        <f t="shared" si="87"/>
        <v>298.99856927041037</v>
      </c>
      <c r="J139" s="7">
        <f t="shared" si="88"/>
        <v>0.13036916205717347</v>
      </c>
      <c r="K139" s="7">
        <f t="shared" si="68"/>
        <v>80.781947577106962</v>
      </c>
      <c r="L139" s="7">
        <f t="shared" si="76"/>
        <v>74.173000000000002</v>
      </c>
      <c r="M139" s="7">
        <f t="shared" si="69"/>
        <v>79.022689200000002</v>
      </c>
      <c r="N139" s="7">
        <f t="shared" si="70"/>
        <v>46.281753086419748</v>
      </c>
      <c r="O139" s="7">
        <f t="shared" si="77"/>
        <v>-3.8182696955050749E-2</v>
      </c>
      <c r="P139" s="7">
        <f t="shared" si="78"/>
        <v>-3.8164157418355833E-2</v>
      </c>
      <c r="Q139" s="7">
        <f t="shared" si="79"/>
        <v>-2.186645148744681</v>
      </c>
      <c r="R139" s="7">
        <f t="shared" si="71"/>
        <v>-4961.9162163721066</v>
      </c>
      <c r="S139" s="6">
        <f t="shared" si="80"/>
        <v>1215.73368</v>
      </c>
      <c r="T139" s="7">
        <f t="shared" si="81"/>
        <v>-3.5912275887949994</v>
      </c>
      <c r="U139" s="7">
        <f t="shared" si="82"/>
        <v>-43.892781640827771</v>
      </c>
      <c r="V139" s="7">
        <v>0</v>
      </c>
      <c r="W139" s="7">
        <v>-43.676607687913418</v>
      </c>
      <c r="X139" s="23">
        <f t="shared" si="83"/>
        <v>-43.892781640827771</v>
      </c>
      <c r="Y139" s="23">
        <f t="shared" si="89"/>
        <v>-784.70139200110714</v>
      </c>
      <c r="Z139" s="24">
        <f t="shared" si="84"/>
        <v>0</v>
      </c>
      <c r="AA139" s="24">
        <f t="shared" si="90"/>
        <v>2823.5870091036436</v>
      </c>
      <c r="AB139" s="25">
        <v>0</v>
      </c>
      <c r="AC139" s="6">
        <v>394</v>
      </c>
      <c r="AD139" s="7">
        <f t="shared" si="72"/>
        <v>0</v>
      </c>
      <c r="AE139" s="24">
        <f t="shared" si="85"/>
        <v>0</v>
      </c>
      <c r="AF139" s="24">
        <f t="shared" si="91"/>
        <v>9.0515178269795868E-2</v>
      </c>
      <c r="AG139" s="24">
        <f t="shared" si="86"/>
        <v>125.71552537471648</v>
      </c>
      <c r="AH139" s="1"/>
      <c r="AI139" s="1"/>
      <c r="AK139" s="1"/>
      <c r="AL139" s="19"/>
      <c r="AM139" s="19"/>
      <c r="AN139" s="19"/>
      <c r="AO139" s="19"/>
      <c r="AP139" s="19"/>
    </row>
    <row r="140" spans="1:42" x14ac:dyDescent="0.25">
      <c r="A140" s="6">
        <v>53.312910000000002</v>
      </c>
      <c r="B140" s="6">
        <v>-5.8040000000000001E-2</v>
      </c>
      <c r="C140" s="6">
        <v>113</v>
      </c>
      <c r="D140" s="7">
        <f t="shared" si="73"/>
        <v>1741.626582278486</v>
      </c>
      <c r="E140" s="6">
        <v>12.5</v>
      </c>
      <c r="F140" s="6">
        <v>44.5</v>
      </c>
      <c r="G140" s="7">
        <f t="shared" si="74"/>
        <v>12.361111111111111</v>
      </c>
      <c r="H140" s="7">
        <f t="shared" si="75"/>
        <v>1.0534474223888028</v>
      </c>
      <c r="I140" s="7">
        <f t="shared" si="87"/>
        <v>300.05201669279916</v>
      </c>
      <c r="J140" s="7">
        <f t="shared" si="88"/>
        <v>0.13184225993352985</v>
      </c>
      <c r="K140" s="7">
        <f t="shared" si="68"/>
        <v>81.694737945212438</v>
      </c>
      <c r="L140" s="7">
        <f t="shared" si="76"/>
        <v>75.868328125000005</v>
      </c>
      <c r="M140" s="7">
        <f t="shared" si="69"/>
        <v>75.983355000000017</v>
      </c>
      <c r="N140" s="7">
        <f t="shared" si="70"/>
        <v>47.339587577160493</v>
      </c>
      <c r="O140" s="7">
        <f t="shared" si="77"/>
        <v>-3.8182696955050749E-2</v>
      </c>
      <c r="P140" s="7">
        <f t="shared" si="78"/>
        <v>-3.8164157418355833E-2</v>
      </c>
      <c r="Q140" s="7">
        <f t="shared" si="79"/>
        <v>-2.186645148744681</v>
      </c>
      <c r="R140" s="7">
        <f t="shared" si="71"/>
        <v>-4961.9162163721066</v>
      </c>
      <c r="S140" s="6">
        <f t="shared" si="80"/>
        <v>1215.73368</v>
      </c>
      <c r="T140" s="7">
        <f t="shared" si="81"/>
        <v>-3.5886194703018939</v>
      </c>
      <c r="U140" s="7">
        <f t="shared" si="82"/>
        <v>-44.359324007898408</v>
      </c>
      <c r="V140" s="7">
        <v>0</v>
      </c>
      <c r="W140" s="7">
        <v>-44.140747978080171</v>
      </c>
      <c r="X140" s="23">
        <f t="shared" si="83"/>
        <v>-44.359324007898408</v>
      </c>
      <c r="Y140" s="23">
        <f t="shared" si="89"/>
        <v>-829.06071600900555</v>
      </c>
      <c r="Z140" s="24">
        <f t="shared" si="84"/>
        <v>0</v>
      </c>
      <c r="AA140" s="24">
        <f t="shared" si="90"/>
        <v>2823.5870091036436</v>
      </c>
      <c r="AB140" s="25">
        <v>0</v>
      </c>
      <c r="AC140" s="6">
        <v>394</v>
      </c>
      <c r="AD140" s="7">
        <f t="shared" si="72"/>
        <v>0</v>
      </c>
      <c r="AE140" s="24">
        <f t="shared" si="85"/>
        <v>0</v>
      </c>
      <c r="AF140" s="24">
        <f t="shared" si="91"/>
        <v>9.0515178269795868E-2</v>
      </c>
      <c r="AG140" s="24">
        <f t="shared" si="86"/>
        <v>125.71552537471648</v>
      </c>
      <c r="AH140" s="1"/>
      <c r="AI140" s="1"/>
      <c r="AK140" s="1"/>
      <c r="AL140" s="19"/>
      <c r="AM140" s="19"/>
      <c r="AN140" s="19"/>
      <c r="AO140" s="19"/>
      <c r="AP140" s="19"/>
    </row>
    <row r="141" spans="1:42" x14ac:dyDescent="0.25">
      <c r="A141" s="6">
        <v>53.312860000000001</v>
      </c>
      <c r="B141" s="6">
        <v>-5.7820000000000003E-2</v>
      </c>
      <c r="C141" s="6">
        <v>111</v>
      </c>
      <c r="D141" s="7">
        <f t="shared" si="73"/>
        <v>1754.7215189873468</v>
      </c>
      <c r="E141" s="6">
        <v>12</v>
      </c>
      <c r="F141" s="6">
        <v>45</v>
      </c>
      <c r="G141" s="7">
        <f t="shared" si="74"/>
        <v>12.5</v>
      </c>
      <c r="H141" s="7">
        <f t="shared" si="75"/>
        <v>1.041807119378982</v>
      </c>
      <c r="I141" s="7">
        <f t="shared" si="87"/>
        <v>301.09382381217813</v>
      </c>
      <c r="J141" s="7">
        <f t="shared" si="88"/>
        <v>0.1333153578098811</v>
      </c>
      <c r="K141" s="7">
        <f t="shared" si="68"/>
        <v>82.607528313314731</v>
      </c>
      <c r="L141" s="7">
        <f t="shared" si="76"/>
        <v>77.582812500000003</v>
      </c>
      <c r="M141" s="7">
        <f t="shared" si="69"/>
        <v>72.944020800000004</v>
      </c>
      <c r="N141" s="7">
        <f t="shared" si="70"/>
        <v>48.409374999999997</v>
      </c>
      <c r="O141" s="7">
        <f t="shared" si="77"/>
        <v>-3.8182696955050749E-2</v>
      </c>
      <c r="P141" s="7">
        <f t="shared" si="78"/>
        <v>-3.8164157418355833E-2</v>
      </c>
      <c r="Q141" s="7">
        <f t="shared" si="79"/>
        <v>-2.186645148744681</v>
      </c>
      <c r="R141" s="7">
        <f t="shared" si="71"/>
        <v>-4961.9162163721066</v>
      </c>
      <c r="S141" s="6">
        <f t="shared" si="80"/>
        <v>1215.73368</v>
      </c>
      <c r="T141" s="7">
        <f t="shared" si="81"/>
        <v>-3.5859921955587919</v>
      </c>
      <c r="U141" s="7">
        <f t="shared" si="82"/>
        <v>-44.824902444484898</v>
      </c>
      <c r="V141" s="7">
        <v>0</v>
      </c>
      <c r="W141" s="7">
        <v>-44.603925561252389</v>
      </c>
      <c r="X141" s="23">
        <f t="shared" si="83"/>
        <v>-44.824902444484898</v>
      </c>
      <c r="Y141" s="23">
        <f t="shared" si="89"/>
        <v>-873.88561845349045</v>
      </c>
      <c r="Z141" s="24">
        <f t="shared" si="84"/>
        <v>0</v>
      </c>
      <c r="AA141" s="24">
        <f t="shared" si="90"/>
        <v>2823.5870091036436</v>
      </c>
      <c r="AB141" s="25">
        <v>0</v>
      </c>
      <c r="AC141" s="6">
        <v>394</v>
      </c>
      <c r="AD141" s="7">
        <f t="shared" si="72"/>
        <v>0</v>
      </c>
      <c r="AE141" s="24">
        <f t="shared" si="85"/>
        <v>0</v>
      </c>
      <c r="AF141" s="24">
        <f t="shared" si="91"/>
        <v>9.0515178269795868E-2</v>
      </c>
      <c r="AG141" s="24">
        <f t="shared" si="86"/>
        <v>125.71552537471648</v>
      </c>
      <c r="AH141" s="1"/>
      <c r="AI141" s="1"/>
      <c r="AK141" s="1"/>
      <c r="AL141" s="19"/>
      <c r="AM141" s="19"/>
      <c r="AN141" s="19"/>
      <c r="AO141" s="19"/>
      <c r="AP141" s="19"/>
    </row>
    <row r="142" spans="1:42" x14ac:dyDescent="0.25">
      <c r="A142" s="6">
        <v>53.312779999999997</v>
      </c>
      <c r="B142" s="6">
        <v>-5.7700000000000001E-2</v>
      </c>
      <c r="C142" s="6">
        <v>111</v>
      </c>
      <c r="D142" s="7">
        <f t="shared" si="73"/>
        <v>1767.8164556962076</v>
      </c>
      <c r="E142" s="6">
        <v>11.5</v>
      </c>
      <c r="F142" s="6">
        <v>45.5</v>
      </c>
      <c r="G142" s="7">
        <f t="shared" si="74"/>
        <v>12.638888888888889</v>
      </c>
      <c r="H142" s="7">
        <f t="shared" si="75"/>
        <v>1.0304212492218348</v>
      </c>
      <c r="I142" s="7">
        <f t="shared" si="87"/>
        <v>302.12424506139996</v>
      </c>
      <c r="J142" s="7">
        <f t="shared" si="88"/>
        <v>0.13478845568623266</v>
      </c>
      <c r="K142" s="7">
        <f t="shared" si="68"/>
        <v>83.520318681417194</v>
      </c>
      <c r="L142" s="7">
        <f t="shared" si="76"/>
        <v>79.316453124999995</v>
      </c>
      <c r="M142" s="7">
        <f t="shared" si="69"/>
        <v>69.904686600000005</v>
      </c>
      <c r="N142" s="7">
        <f t="shared" si="70"/>
        <v>49.491115354938273</v>
      </c>
      <c r="O142" s="7">
        <f t="shared" si="77"/>
        <v>-3.8182696955050749E-2</v>
      </c>
      <c r="P142" s="7">
        <f t="shared" si="78"/>
        <v>-3.8164157418355833E-2</v>
      </c>
      <c r="Q142" s="7">
        <f t="shared" si="79"/>
        <v>-2.186645148744681</v>
      </c>
      <c r="R142" s="7">
        <f t="shared" si="71"/>
        <v>-4961.9162163721066</v>
      </c>
      <c r="S142" s="6">
        <f t="shared" si="80"/>
        <v>1215.73368</v>
      </c>
      <c r="T142" s="7">
        <f t="shared" si="81"/>
        <v>-3.583345764565689</v>
      </c>
      <c r="U142" s="7">
        <f t="shared" si="82"/>
        <v>-45.289508968816349</v>
      </c>
      <c r="V142" s="7">
        <v>0</v>
      </c>
      <c r="W142" s="7">
        <v>-45.066132455659201</v>
      </c>
      <c r="X142" s="23">
        <f t="shared" si="83"/>
        <v>-45.289508968816349</v>
      </c>
      <c r="Y142" s="23">
        <f t="shared" si="89"/>
        <v>-919.17512742230679</v>
      </c>
      <c r="Z142" s="24">
        <f t="shared" si="84"/>
        <v>0</v>
      </c>
      <c r="AA142" s="24">
        <f t="shared" si="90"/>
        <v>2823.5870091036436</v>
      </c>
      <c r="AB142" s="25">
        <v>0</v>
      </c>
      <c r="AC142" s="6">
        <v>394</v>
      </c>
      <c r="AD142" s="7">
        <f t="shared" si="72"/>
        <v>0</v>
      </c>
      <c r="AE142" s="24">
        <f t="shared" si="85"/>
        <v>0</v>
      </c>
      <c r="AF142" s="24">
        <f t="shared" si="91"/>
        <v>9.0515178269795868E-2</v>
      </c>
      <c r="AG142" s="24">
        <f t="shared" si="86"/>
        <v>125.71552537471648</v>
      </c>
      <c r="AH142" s="1"/>
      <c r="AI142" s="1"/>
      <c r="AK142" s="1"/>
      <c r="AL142" s="19"/>
      <c r="AM142" s="19"/>
      <c r="AN142" s="19"/>
      <c r="AO142" s="19"/>
      <c r="AP142" s="19"/>
    </row>
    <row r="143" spans="1:42" x14ac:dyDescent="0.25">
      <c r="A143" s="6">
        <v>53.31268</v>
      </c>
      <c r="B143" s="6">
        <v>-5.7639999999999997E-2</v>
      </c>
      <c r="C143" s="6">
        <v>110</v>
      </c>
      <c r="D143" s="7">
        <f t="shared" si="73"/>
        <v>1780.9113924050685</v>
      </c>
      <c r="E143" s="6">
        <v>11</v>
      </c>
      <c r="F143" s="6">
        <v>46</v>
      </c>
      <c r="G143" s="7">
        <f t="shared" si="74"/>
        <v>12.777777777777777</v>
      </c>
      <c r="H143" s="7">
        <f t="shared" si="75"/>
        <v>1.0192815600410581</v>
      </c>
      <c r="I143" s="7">
        <f t="shared" si="87"/>
        <v>303.14352662144103</v>
      </c>
      <c r="J143" s="7">
        <f t="shared" si="88"/>
        <v>0.13626155356258174</v>
      </c>
      <c r="K143" s="7">
        <f t="shared" si="68"/>
        <v>84.433109049518151</v>
      </c>
      <c r="L143" s="7">
        <f t="shared" si="76"/>
        <v>81.069249999999997</v>
      </c>
      <c r="M143" s="7">
        <f t="shared" si="69"/>
        <v>66.865352400000006</v>
      </c>
      <c r="N143" s="7">
        <f t="shared" si="70"/>
        <v>50.5848086419753</v>
      </c>
      <c r="O143" s="7">
        <f t="shared" si="77"/>
        <v>-3.8182696955050749E-2</v>
      </c>
      <c r="P143" s="7">
        <f t="shared" si="78"/>
        <v>-3.8164157418355833E-2</v>
      </c>
      <c r="Q143" s="7">
        <f t="shared" si="79"/>
        <v>-2.186645148744681</v>
      </c>
      <c r="R143" s="7">
        <f t="shared" si="71"/>
        <v>-4961.9162163721066</v>
      </c>
      <c r="S143" s="6">
        <f t="shared" si="80"/>
        <v>1215.73368</v>
      </c>
      <c r="T143" s="7">
        <f t="shared" si="81"/>
        <v>-3.5806801773225883</v>
      </c>
      <c r="U143" s="7">
        <f t="shared" si="82"/>
        <v>-45.753135599121954</v>
      </c>
      <c r="V143" s="7">
        <v>0</v>
      </c>
      <c r="W143" s="7">
        <v>-45.527360679529792</v>
      </c>
      <c r="X143" s="23">
        <f t="shared" si="83"/>
        <v>-45.753135599121954</v>
      </c>
      <c r="Y143" s="23">
        <f t="shared" si="89"/>
        <v>-964.92826302142873</v>
      </c>
      <c r="Z143" s="24">
        <f t="shared" si="84"/>
        <v>0</v>
      </c>
      <c r="AA143" s="24">
        <f t="shared" si="90"/>
        <v>2823.5870091036436</v>
      </c>
      <c r="AB143" s="25">
        <v>0</v>
      </c>
      <c r="AC143" s="6">
        <v>394</v>
      </c>
      <c r="AD143" s="7">
        <f t="shared" si="72"/>
        <v>0</v>
      </c>
      <c r="AE143" s="24">
        <f t="shared" si="85"/>
        <v>0</v>
      </c>
      <c r="AF143" s="24">
        <f t="shared" si="91"/>
        <v>9.0515178269795868E-2</v>
      </c>
      <c r="AG143" s="24">
        <f t="shared" si="86"/>
        <v>125.71552537471648</v>
      </c>
      <c r="AH143" s="1"/>
      <c r="AI143" s="1"/>
      <c r="AK143" s="1"/>
      <c r="AL143" s="19"/>
      <c r="AM143" s="19"/>
      <c r="AN143" s="19"/>
      <c r="AO143" s="19"/>
      <c r="AP143" s="19"/>
    </row>
    <row r="144" spans="1:42" x14ac:dyDescent="0.25">
      <c r="A144" s="6">
        <v>53.312570000000001</v>
      </c>
      <c r="B144" s="6">
        <v>-5.7590000000000002E-2</v>
      </c>
      <c r="C144" s="6">
        <v>109</v>
      </c>
      <c r="D144" s="7">
        <f t="shared" si="73"/>
        <v>1794.0063291139293</v>
      </c>
      <c r="E144" s="6">
        <v>10.5</v>
      </c>
      <c r="F144" s="6">
        <v>46.5</v>
      </c>
      <c r="G144" s="7">
        <f t="shared" si="74"/>
        <v>12.916666666666666</v>
      </c>
      <c r="H144" s="7">
        <f t="shared" si="75"/>
        <v>1.0083801529817953</v>
      </c>
      <c r="I144" s="7">
        <f t="shared" si="87"/>
        <v>304.1519067744228</v>
      </c>
      <c r="J144" s="7">
        <f t="shared" si="88"/>
        <v>0.13773465143893993</v>
      </c>
      <c r="K144" s="7">
        <f t="shared" si="68"/>
        <v>85.345899417624736</v>
      </c>
      <c r="L144" s="7">
        <f t="shared" si="76"/>
        <v>82.841203124999993</v>
      </c>
      <c r="M144" s="7">
        <f t="shared" si="69"/>
        <v>63.826018200000007</v>
      </c>
      <c r="N144" s="7">
        <f t="shared" si="70"/>
        <v>51.690454861111107</v>
      </c>
      <c r="O144" s="7">
        <f t="shared" si="77"/>
        <v>-3.8182696955050749E-2</v>
      </c>
      <c r="P144" s="7">
        <f t="shared" si="78"/>
        <v>-3.8164157418355833E-2</v>
      </c>
      <c r="Q144" s="7">
        <f t="shared" si="79"/>
        <v>-2.186645148744681</v>
      </c>
      <c r="R144" s="7">
        <f t="shared" si="71"/>
        <v>-4961.9162163721066</v>
      </c>
      <c r="S144" s="6">
        <f t="shared" si="80"/>
        <v>1215.73368</v>
      </c>
      <c r="T144" s="7">
        <f t="shared" si="81"/>
        <v>-3.5779954338294817</v>
      </c>
      <c r="U144" s="7">
        <f t="shared" si="82"/>
        <v>-46.215774353630806</v>
      </c>
      <c r="V144" s="7">
        <v>0</v>
      </c>
      <c r="W144" s="7">
        <v>-45.987602251093243</v>
      </c>
      <c r="X144" s="23">
        <f t="shared" si="83"/>
        <v>-46.215774353630806</v>
      </c>
      <c r="Y144" s="23">
        <f t="shared" si="89"/>
        <v>-1011.1440373750595</v>
      </c>
      <c r="Z144" s="24">
        <f t="shared" si="84"/>
        <v>0</v>
      </c>
      <c r="AA144" s="24">
        <f t="shared" si="90"/>
        <v>2823.5870091036436</v>
      </c>
      <c r="AB144" s="25">
        <v>0</v>
      </c>
      <c r="AC144" s="6">
        <v>394</v>
      </c>
      <c r="AD144" s="7">
        <f t="shared" si="72"/>
        <v>0</v>
      </c>
      <c r="AE144" s="24">
        <f t="shared" si="85"/>
        <v>0</v>
      </c>
      <c r="AF144" s="24">
        <f t="shared" si="91"/>
        <v>9.0515178269795868E-2</v>
      </c>
      <c r="AG144" s="24">
        <f t="shared" si="86"/>
        <v>125.71552537471648</v>
      </c>
      <c r="AH144" s="1"/>
      <c r="AI144" s="1"/>
      <c r="AK144" s="1"/>
      <c r="AL144" s="19"/>
      <c r="AM144" s="19"/>
      <c r="AN144" s="19"/>
      <c r="AO144" s="19"/>
      <c r="AP144" s="19"/>
    </row>
    <row r="145" spans="1:42" x14ac:dyDescent="0.25">
      <c r="A145" s="6">
        <v>53.312469999999998</v>
      </c>
      <c r="B145" s="6">
        <v>-5.7599999999999998E-2</v>
      </c>
      <c r="C145" s="6">
        <v>109</v>
      </c>
      <c r="D145" s="7">
        <f t="shared" si="73"/>
        <v>1807.1012658227901</v>
      </c>
      <c r="E145" s="6">
        <v>10</v>
      </c>
      <c r="F145" s="6">
        <v>47</v>
      </c>
      <c r="G145" s="7">
        <f t="shared" si="74"/>
        <v>13.055555555555555</v>
      </c>
      <c r="H145" s="7">
        <f t="shared" si="75"/>
        <v>0.99770946353225254</v>
      </c>
      <c r="I145" s="7">
        <f t="shared" si="87"/>
        <v>305.14961623795506</v>
      </c>
      <c r="J145" s="7">
        <f t="shared" si="88"/>
        <v>0.13920774931528795</v>
      </c>
      <c r="K145" s="7">
        <f t="shared" si="68"/>
        <v>86.258689785725025</v>
      </c>
      <c r="L145" s="7">
        <f t="shared" si="76"/>
        <v>84.632312499999998</v>
      </c>
      <c r="M145" s="7">
        <f t="shared" si="69"/>
        <v>60.786684000000008</v>
      </c>
      <c r="N145" s="7">
        <f t="shared" si="70"/>
        <v>52.808054012345671</v>
      </c>
      <c r="O145" s="7">
        <f t="shared" si="77"/>
        <v>-3.8182696955050749E-2</v>
      </c>
      <c r="P145" s="7">
        <f t="shared" si="78"/>
        <v>-3.8164157418355833E-2</v>
      </c>
      <c r="Q145" s="7">
        <f t="shared" si="79"/>
        <v>-2.186645148744681</v>
      </c>
      <c r="R145" s="7">
        <f t="shared" ref="R145:R164" si="92">($L$2*$G$2*SIN(Q145))</f>
        <v>-4961.9162163721066</v>
      </c>
      <c r="S145" s="6">
        <f t="shared" si="80"/>
        <v>1215.73368</v>
      </c>
      <c r="T145" s="7">
        <f t="shared" si="81"/>
        <v>-3.5752915340863813</v>
      </c>
      <c r="U145" s="7">
        <f t="shared" si="82"/>
        <v>-46.677417250572198</v>
      </c>
      <c r="V145" s="7">
        <v>0</v>
      </c>
      <c r="W145" s="7">
        <v>-46.446849188578874</v>
      </c>
      <c r="X145" s="23">
        <f t="shared" si="83"/>
        <v>-46.677417250572198</v>
      </c>
      <c r="Y145" s="23">
        <f t="shared" si="89"/>
        <v>-1057.8214546256318</v>
      </c>
      <c r="Z145" s="24">
        <f t="shared" si="84"/>
        <v>0</v>
      </c>
      <c r="AA145" s="24">
        <f t="shared" si="90"/>
        <v>2823.5870091036436</v>
      </c>
      <c r="AB145" s="25">
        <v>0</v>
      </c>
      <c r="AC145" s="6">
        <v>394</v>
      </c>
      <c r="AD145" s="7">
        <f t="shared" si="72"/>
        <v>0</v>
      </c>
      <c r="AE145" s="24">
        <f t="shared" si="85"/>
        <v>0</v>
      </c>
      <c r="AF145" s="24">
        <f t="shared" si="91"/>
        <v>9.0515178269795868E-2</v>
      </c>
      <c r="AG145" s="24">
        <f t="shared" si="86"/>
        <v>125.71552537471648</v>
      </c>
      <c r="AH145" s="1"/>
      <c r="AI145" s="1"/>
      <c r="AK145" s="1"/>
      <c r="AL145" s="19"/>
      <c r="AM145" s="19"/>
      <c r="AN145" s="19"/>
      <c r="AO145" s="19"/>
      <c r="AP145" s="19"/>
    </row>
    <row r="146" spans="1:42" x14ac:dyDescent="0.25">
      <c r="A146" s="6">
        <v>53.3123</v>
      </c>
      <c r="B146" s="6">
        <v>-5.7680000000000002E-2</v>
      </c>
      <c r="C146" s="6">
        <v>107</v>
      </c>
      <c r="D146" s="7">
        <f t="shared" si="73"/>
        <v>1820.1962025316509</v>
      </c>
      <c r="E146" s="6">
        <v>9.5</v>
      </c>
      <c r="F146" s="6">
        <v>47.5</v>
      </c>
      <c r="G146" s="7">
        <f t="shared" si="74"/>
        <v>13.194444444444445</v>
      </c>
      <c r="H146" s="7">
        <f t="shared" si="75"/>
        <v>0.98726224401882579</v>
      </c>
      <c r="I146" s="7">
        <f t="shared" si="87"/>
        <v>306.13687848197389</v>
      </c>
      <c r="J146" s="7">
        <f t="shared" si="88"/>
        <v>0.14068084719163973</v>
      </c>
      <c r="K146" s="7">
        <f t="shared" si="68"/>
        <v>87.171480153827645</v>
      </c>
      <c r="L146" s="7">
        <f t="shared" si="76"/>
        <v>86.442578124999997</v>
      </c>
      <c r="M146" s="7">
        <f t="shared" si="69"/>
        <v>57.747349800000002</v>
      </c>
      <c r="N146" s="7">
        <f t="shared" si="70"/>
        <v>53.937606095679008</v>
      </c>
      <c r="O146" s="7">
        <f t="shared" si="77"/>
        <v>-3.8182696955050749E-2</v>
      </c>
      <c r="P146" s="7">
        <f t="shared" si="78"/>
        <v>-3.8164157418355833E-2</v>
      </c>
      <c r="Q146" s="7">
        <f t="shared" si="79"/>
        <v>-2.186645148744681</v>
      </c>
      <c r="R146" s="7">
        <f t="shared" si="92"/>
        <v>-4961.9162163721066</v>
      </c>
      <c r="S146" s="6">
        <f t="shared" si="80"/>
        <v>1215.73368</v>
      </c>
      <c r="T146" s="7">
        <f t="shared" si="81"/>
        <v>-3.5725684780932783</v>
      </c>
      <c r="U146" s="7">
        <f t="shared" si="82"/>
        <v>-47.138056308175202</v>
      </c>
      <c r="V146" s="7">
        <v>0</v>
      </c>
      <c r="W146" s="7">
        <v>-46.905093510215735</v>
      </c>
      <c r="X146" s="23">
        <f t="shared" si="83"/>
        <v>-47.138056308175202</v>
      </c>
      <c r="Y146" s="23">
        <f t="shared" si="89"/>
        <v>-1104.959510933807</v>
      </c>
      <c r="Z146" s="24">
        <f t="shared" si="84"/>
        <v>0</v>
      </c>
      <c r="AA146" s="24">
        <f t="shared" si="90"/>
        <v>2823.5870091036436</v>
      </c>
      <c r="AB146" s="25">
        <v>0</v>
      </c>
      <c r="AC146" s="6">
        <v>394</v>
      </c>
      <c r="AD146" s="7">
        <f t="shared" si="72"/>
        <v>0</v>
      </c>
      <c r="AE146" s="24">
        <f t="shared" si="85"/>
        <v>0</v>
      </c>
      <c r="AF146" s="24">
        <f t="shared" si="91"/>
        <v>9.0515178269795868E-2</v>
      </c>
      <c r="AG146" s="24">
        <f t="shared" si="86"/>
        <v>125.71552537471648</v>
      </c>
      <c r="AH146" s="1"/>
      <c r="AI146" s="1"/>
      <c r="AK146" s="1"/>
      <c r="AL146" s="19"/>
      <c r="AM146" s="19"/>
      <c r="AN146" s="19"/>
      <c r="AO146" s="19"/>
      <c r="AP146" s="19"/>
    </row>
    <row r="147" spans="1:42" x14ac:dyDescent="0.25">
      <c r="A147" s="6">
        <v>53.312159999999999</v>
      </c>
      <c r="B147" s="6">
        <v>-5.781E-2</v>
      </c>
      <c r="C147" s="6">
        <v>106</v>
      </c>
      <c r="D147" s="7">
        <f t="shared" si="73"/>
        <v>1833.2911392405117</v>
      </c>
      <c r="E147" s="6">
        <v>9</v>
      </c>
      <c r="F147" s="6">
        <v>48</v>
      </c>
      <c r="G147" s="7">
        <f t="shared" si="74"/>
        <v>13.333333333333332</v>
      </c>
      <c r="H147" s="7">
        <f t="shared" si="75"/>
        <v>0.97703154718961527</v>
      </c>
      <c r="I147" s="7">
        <f t="shared" si="87"/>
        <v>307.11391002916349</v>
      </c>
      <c r="J147" s="7">
        <f t="shared" si="88"/>
        <v>0.14215394506799436</v>
      </c>
      <c r="K147" s="7">
        <f t="shared" si="68"/>
        <v>88.084270521932027</v>
      </c>
      <c r="L147" s="7">
        <f t="shared" si="76"/>
        <v>88.271999999999991</v>
      </c>
      <c r="M147" s="7">
        <f t="shared" si="69"/>
        <v>54.708015600000003</v>
      </c>
      <c r="N147" s="7">
        <f t="shared" si="70"/>
        <v>55.079111111111104</v>
      </c>
      <c r="O147" s="7">
        <f t="shared" si="77"/>
        <v>-3.8182696955050749E-2</v>
      </c>
      <c r="P147" s="7">
        <f t="shared" si="78"/>
        <v>-3.8164157418355833E-2</v>
      </c>
      <c r="Q147" s="7">
        <f t="shared" si="79"/>
        <v>-2.186645148744681</v>
      </c>
      <c r="R147" s="7">
        <f t="shared" si="92"/>
        <v>-4961.9162163721066</v>
      </c>
      <c r="S147" s="6">
        <f t="shared" si="80"/>
        <v>1215.73368</v>
      </c>
      <c r="T147" s="7">
        <f t="shared" si="81"/>
        <v>-3.5698262658501743</v>
      </c>
      <c r="U147" s="7">
        <f t="shared" si="82"/>
        <v>-47.597683544668989</v>
      </c>
      <c r="V147" s="7">
        <v>0</v>
      </c>
      <c r="W147" s="7">
        <v>-47.362327234233</v>
      </c>
      <c r="X147" s="23">
        <f t="shared" si="83"/>
        <v>-47.597683544668989</v>
      </c>
      <c r="Y147" s="23">
        <f t="shared" si="89"/>
        <v>-1152.557194478476</v>
      </c>
      <c r="Z147" s="24">
        <f t="shared" si="84"/>
        <v>0</v>
      </c>
      <c r="AA147" s="24">
        <f t="shared" si="90"/>
        <v>2823.5870091036436</v>
      </c>
      <c r="AB147" s="25">
        <v>0</v>
      </c>
      <c r="AC147" s="6">
        <v>394</v>
      </c>
      <c r="AD147" s="7">
        <f t="shared" si="72"/>
        <v>0</v>
      </c>
      <c r="AE147" s="24">
        <f t="shared" si="85"/>
        <v>0</v>
      </c>
      <c r="AF147" s="24">
        <f t="shared" si="91"/>
        <v>9.0515178269795868E-2</v>
      </c>
      <c r="AG147" s="24">
        <f t="shared" si="86"/>
        <v>125.71552537471648</v>
      </c>
      <c r="AH147" s="1"/>
      <c r="AI147" s="1"/>
      <c r="AK147" s="1"/>
      <c r="AL147" s="19"/>
      <c r="AM147" s="19"/>
      <c r="AN147" s="19"/>
      <c r="AO147" s="19"/>
      <c r="AP147" s="19"/>
    </row>
    <row r="148" spans="1:42" x14ac:dyDescent="0.25">
      <c r="A148" s="6">
        <v>53.312019999999997</v>
      </c>
      <c r="B148" s="6">
        <v>-5.7919999999999999E-2</v>
      </c>
      <c r="C148" s="6">
        <v>106</v>
      </c>
      <c r="D148" s="7">
        <f t="shared" si="73"/>
        <v>1846.3860759493725</v>
      </c>
      <c r="E148" s="6">
        <v>8.5</v>
      </c>
      <c r="F148" s="6">
        <v>48.5</v>
      </c>
      <c r="G148" s="7">
        <f t="shared" si="74"/>
        <v>13.472222222222221</v>
      </c>
      <c r="H148" s="7">
        <f t="shared" si="75"/>
        <v>0.96951653816837224</v>
      </c>
      <c r="I148" s="7">
        <f t="shared" si="87"/>
        <v>308.08342656733186</v>
      </c>
      <c r="J148" s="7">
        <f t="shared" si="88"/>
        <v>0.14325582227950628</v>
      </c>
      <c r="K148" s="7">
        <f t="shared" si="68"/>
        <v>88.767037717273269</v>
      </c>
      <c r="L148" s="7">
        <f t="shared" si="76"/>
        <v>90.120578124999994</v>
      </c>
      <c r="M148" s="7">
        <f t="shared" si="69"/>
        <v>51.668681400000004</v>
      </c>
      <c r="N148" s="7">
        <f t="shared" si="70"/>
        <v>56.232569058641964</v>
      </c>
      <c r="O148" s="7">
        <f t="shared" si="77"/>
        <v>-3.8182696955050749E-2</v>
      </c>
      <c r="P148" s="7">
        <f t="shared" si="78"/>
        <v>-3.8164157418355833E-2</v>
      </c>
      <c r="Q148" s="7">
        <f t="shared" si="79"/>
        <v>-2.186645148744681</v>
      </c>
      <c r="R148" s="7">
        <f t="shared" si="92"/>
        <v>-4961.9162163721066</v>
      </c>
      <c r="S148" s="6">
        <f t="shared" si="80"/>
        <v>1215.73368</v>
      </c>
      <c r="T148" s="7">
        <f t="shared" si="81"/>
        <v>-3.5672949205298332</v>
      </c>
      <c r="U148" s="7">
        <f t="shared" si="82"/>
        <v>-48.05938990158247</v>
      </c>
      <c r="V148" s="7">
        <v>0</v>
      </c>
      <c r="W148" s="7">
        <v>-47.82162634866939</v>
      </c>
      <c r="X148" s="23">
        <f t="shared" si="83"/>
        <v>-48.05938990158247</v>
      </c>
      <c r="Y148" s="23">
        <f t="shared" si="89"/>
        <v>-1200.6165843800586</v>
      </c>
      <c r="Z148" s="24">
        <f t="shared" si="84"/>
        <v>0</v>
      </c>
      <c r="AA148" s="24">
        <f t="shared" si="90"/>
        <v>2823.5870091036436</v>
      </c>
      <c r="AB148" s="25">
        <v>0</v>
      </c>
      <c r="AC148" s="6">
        <v>394</v>
      </c>
      <c r="AD148" s="7">
        <f t="shared" si="72"/>
        <v>0</v>
      </c>
      <c r="AE148" s="24">
        <f t="shared" si="85"/>
        <v>0</v>
      </c>
      <c r="AF148" s="24">
        <f t="shared" si="91"/>
        <v>9.0515178269795868E-2</v>
      </c>
      <c r="AG148" s="24">
        <f t="shared" si="86"/>
        <v>125.71552537471648</v>
      </c>
      <c r="AH148" s="1"/>
      <c r="AI148" s="1"/>
      <c r="AK148" s="1"/>
      <c r="AL148" s="19"/>
      <c r="AM148" s="19"/>
      <c r="AN148" s="19"/>
      <c r="AO148" s="19"/>
      <c r="AP148" s="19"/>
    </row>
    <row r="149" spans="1:42" x14ac:dyDescent="0.25">
      <c r="A149" s="6">
        <v>53.311909999999997</v>
      </c>
      <c r="B149" s="6">
        <v>-5.8009999999999999E-2</v>
      </c>
      <c r="C149" s="6">
        <v>105</v>
      </c>
      <c r="D149" s="7">
        <f t="shared" si="73"/>
        <v>1859.4810126582333</v>
      </c>
      <c r="E149" s="6">
        <v>8</v>
      </c>
      <c r="F149" s="6">
        <v>48.747999999999998</v>
      </c>
      <c r="G149" s="7">
        <f t="shared" si="74"/>
        <v>13.54111111111111</v>
      </c>
      <c r="H149" s="7">
        <f t="shared" si="75"/>
        <v>0.96705038467011839</v>
      </c>
      <c r="I149" s="7">
        <f t="shared" si="87"/>
        <v>309.05047695200199</v>
      </c>
      <c r="J149" s="7">
        <f t="shared" si="88"/>
        <v>7.123609067420783E-2</v>
      </c>
      <c r="K149" s="7">
        <f t="shared" si="68"/>
        <v>44.140731225366139</v>
      </c>
      <c r="L149" s="7">
        <f t="shared" si="76"/>
        <v>91.044579996999985</v>
      </c>
      <c r="M149" s="7">
        <f t="shared" si="69"/>
        <v>48.629347200000005</v>
      </c>
      <c r="N149" s="7">
        <f t="shared" si="70"/>
        <v>56.809118834049379</v>
      </c>
      <c r="O149" s="7">
        <f t="shared" si="77"/>
        <v>-3.8182696955050749E-2</v>
      </c>
      <c r="P149" s="7">
        <f t="shared" si="78"/>
        <v>-3.8164157418355833E-2</v>
      </c>
      <c r="Q149" s="7">
        <f t="shared" si="79"/>
        <v>-2.186645148744681</v>
      </c>
      <c r="R149" s="7">
        <f t="shared" si="92"/>
        <v>-4961.9162163721066</v>
      </c>
      <c r="S149" s="6">
        <f t="shared" si="80"/>
        <v>1215.73368</v>
      </c>
      <c r="T149" s="7">
        <f t="shared" si="81"/>
        <v>-3.6109972251497409</v>
      </c>
      <c r="U149" s="7">
        <f t="shared" si="82"/>
        <v>-48.896914647666541</v>
      </c>
      <c r="V149" s="7">
        <v>0</v>
      </c>
      <c r="W149" s="7">
        <v>-48.655019384820058</v>
      </c>
      <c r="X149" s="23">
        <f t="shared" si="83"/>
        <v>-48.896914647666541</v>
      </c>
      <c r="Y149" s="23">
        <f t="shared" si="89"/>
        <v>-1249.5134990277252</v>
      </c>
      <c r="Z149" s="24">
        <f t="shared" si="84"/>
        <v>0</v>
      </c>
      <c r="AA149" s="24">
        <f t="shared" si="90"/>
        <v>2823.5870091036436</v>
      </c>
      <c r="AB149" s="25">
        <v>0</v>
      </c>
      <c r="AC149" s="6">
        <v>394</v>
      </c>
      <c r="AD149" s="7">
        <f t="shared" si="72"/>
        <v>0</v>
      </c>
      <c r="AE149" s="24">
        <f t="shared" si="85"/>
        <v>0</v>
      </c>
      <c r="AF149" s="24">
        <f t="shared" si="91"/>
        <v>9.0515178269795868E-2</v>
      </c>
      <c r="AG149" s="24">
        <f t="shared" si="86"/>
        <v>125.71552537471648</v>
      </c>
      <c r="AH149" s="1"/>
      <c r="AI149" s="1"/>
      <c r="AK149" s="1"/>
      <c r="AL149" s="19"/>
      <c r="AM149" s="19"/>
      <c r="AN149" s="19"/>
      <c r="AO149" s="19"/>
      <c r="AP149" s="19"/>
    </row>
    <row r="150" spans="1:42" x14ac:dyDescent="0.25">
      <c r="A150" s="6">
        <v>53.311799999999998</v>
      </c>
      <c r="B150" s="6">
        <v>-5.8130000000000001E-2</v>
      </c>
      <c r="C150" s="6">
        <v>105</v>
      </c>
      <c r="D150" s="7">
        <f t="shared" si="73"/>
        <v>1872.5759493670942</v>
      </c>
      <c r="E150" s="6">
        <v>7.5</v>
      </c>
      <c r="F150" s="6">
        <v>48.747999999999998</v>
      </c>
      <c r="G150" s="7">
        <f t="shared" si="74"/>
        <v>13.54111111111111</v>
      </c>
      <c r="H150" s="7">
        <f t="shared" si="75"/>
        <v>0.96705038467011839</v>
      </c>
      <c r="I150" s="7">
        <f t="shared" si="87"/>
        <v>310.01752733667212</v>
      </c>
      <c r="J150" s="7">
        <f t="shared" si="88"/>
        <v>0</v>
      </c>
      <c r="K150" s="7">
        <f t="shared" si="68"/>
        <v>0</v>
      </c>
      <c r="L150" s="7">
        <f t="shared" si="76"/>
        <v>91.044579996999985</v>
      </c>
      <c r="M150" s="7">
        <f t="shared" si="69"/>
        <v>45.590013000000006</v>
      </c>
      <c r="N150" s="7">
        <f t="shared" si="70"/>
        <v>56.809118834049379</v>
      </c>
      <c r="O150" s="7">
        <f t="shared" si="77"/>
        <v>-3.8182696955050749E-2</v>
      </c>
      <c r="P150" s="7">
        <f t="shared" si="78"/>
        <v>-3.8164157418355833E-2</v>
      </c>
      <c r="Q150" s="7">
        <f t="shared" si="79"/>
        <v>-2.186645148744681</v>
      </c>
      <c r="R150" s="7">
        <f t="shared" si="92"/>
        <v>-4961.9162163721066</v>
      </c>
      <c r="S150" s="6">
        <f t="shared" si="80"/>
        <v>1215.73368</v>
      </c>
      <c r="T150" s="7">
        <f t="shared" si="81"/>
        <v>-3.6551379563751065</v>
      </c>
      <c r="U150" s="7">
        <f t="shared" si="82"/>
        <v>-49.494629193714914</v>
      </c>
      <c r="V150" s="7">
        <v>0</v>
      </c>
      <c r="W150" s="7">
        <v>-49.249849729569803</v>
      </c>
      <c r="X150" s="23">
        <f t="shared" si="83"/>
        <v>-49.494629193714914</v>
      </c>
      <c r="Y150" s="23">
        <f t="shared" si="89"/>
        <v>-1299.0081282214401</v>
      </c>
      <c r="Z150" s="24">
        <f t="shared" si="84"/>
        <v>0</v>
      </c>
      <c r="AA150" s="24">
        <f t="shared" si="90"/>
        <v>2823.5870091036436</v>
      </c>
      <c r="AB150" s="25">
        <v>0</v>
      </c>
      <c r="AC150" s="6">
        <v>394</v>
      </c>
      <c r="AD150" s="7">
        <f t="shared" si="72"/>
        <v>0</v>
      </c>
      <c r="AE150" s="24">
        <f t="shared" si="85"/>
        <v>0</v>
      </c>
      <c r="AF150" s="24">
        <f t="shared" si="91"/>
        <v>9.0515178269795868E-2</v>
      </c>
      <c r="AG150" s="24">
        <f t="shared" si="86"/>
        <v>125.71552537471648</v>
      </c>
      <c r="AH150" s="1"/>
      <c r="AI150" s="1"/>
      <c r="AK150" s="1"/>
      <c r="AL150" s="19"/>
      <c r="AM150" s="19"/>
      <c r="AN150" s="19"/>
      <c r="AO150" s="19"/>
      <c r="AP150" s="19"/>
    </row>
    <row r="151" spans="1:42" x14ac:dyDescent="0.25">
      <c r="A151" s="6">
        <v>53.311790000000002</v>
      </c>
      <c r="B151" s="6">
        <v>-5.8130000000000001E-2</v>
      </c>
      <c r="C151" s="6">
        <v>105</v>
      </c>
      <c r="D151" s="7">
        <f t="shared" si="73"/>
        <v>1885.670886075955</v>
      </c>
      <c r="E151" s="6">
        <v>7</v>
      </c>
      <c r="F151" s="6">
        <v>48.747999999999998</v>
      </c>
      <c r="G151" s="7">
        <f t="shared" si="74"/>
        <v>13.54111111111111</v>
      </c>
      <c r="H151" s="7">
        <f t="shared" si="75"/>
        <v>0.96705038467011839</v>
      </c>
      <c r="I151" s="7">
        <f t="shared" si="87"/>
        <v>310.98457772134225</v>
      </c>
      <c r="J151" s="7">
        <f t="shared" si="88"/>
        <v>0</v>
      </c>
      <c r="K151" s="7">
        <f t="shared" si="68"/>
        <v>0</v>
      </c>
      <c r="L151" s="7">
        <f t="shared" si="76"/>
        <v>91.044579996999985</v>
      </c>
      <c r="M151" s="7">
        <f t="shared" si="69"/>
        <v>42.5506788</v>
      </c>
      <c r="N151" s="7">
        <f t="shared" si="70"/>
        <v>56.809118834049379</v>
      </c>
      <c r="O151" s="7">
        <f t="shared" si="77"/>
        <v>-3.8182696955050749E-2</v>
      </c>
      <c r="P151" s="7">
        <f t="shared" si="78"/>
        <v>-3.8164157418355833E-2</v>
      </c>
      <c r="Q151" s="7">
        <f t="shared" si="79"/>
        <v>-2.186645148744681</v>
      </c>
      <c r="R151" s="7">
        <f t="shared" si="92"/>
        <v>-4961.9162163721066</v>
      </c>
      <c r="S151" s="6">
        <f t="shared" si="80"/>
        <v>1215.73368</v>
      </c>
      <c r="T151" s="7">
        <f t="shared" si="81"/>
        <v>-3.6551379563751065</v>
      </c>
      <c r="U151" s="7">
        <f t="shared" si="82"/>
        <v>-49.494629193714914</v>
      </c>
      <c r="V151" s="7">
        <v>0</v>
      </c>
      <c r="W151" s="7">
        <v>-49.249849729569803</v>
      </c>
      <c r="X151" s="23">
        <f t="shared" si="83"/>
        <v>-49.494629193714914</v>
      </c>
      <c r="Y151" s="23">
        <f t="shared" si="89"/>
        <v>-1348.502757415155</v>
      </c>
      <c r="Z151" s="24">
        <f t="shared" si="84"/>
        <v>0</v>
      </c>
      <c r="AA151" s="24">
        <f t="shared" si="90"/>
        <v>2823.5870091036436</v>
      </c>
      <c r="AB151" s="25">
        <v>0</v>
      </c>
      <c r="AC151" s="6">
        <v>394</v>
      </c>
      <c r="AD151" s="7">
        <f t="shared" si="72"/>
        <v>0</v>
      </c>
      <c r="AE151" s="24">
        <f t="shared" si="85"/>
        <v>0</v>
      </c>
      <c r="AF151" s="24">
        <f t="shared" si="91"/>
        <v>9.0515178269795868E-2</v>
      </c>
      <c r="AG151" s="24">
        <f t="shared" si="86"/>
        <v>125.71552537471648</v>
      </c>
      <c r="AH151" s="1"/>
      <c r="AI151" s="1"/>
      <c r="AK151" s="1"/>
      <c r="AL151" s="19"/>
      <c r="AM151" s="19"/>
      <c r="AN151" s="19"/>
      <c r="AO151" s="19"/>
      <c r="AP151" s="19"/>
    </row>
    <row r="152" spans="1:42" x14ac:dyDescent="0.25">
      <c r="A152" s="6">
        <v>53.311689999999999</v>
      </c>
      <c r="B152" s="6">
        <v>-5.8220000000000001E-2</v>
      </c>
      <c r="C152" s="6">
        <v>104</v>
      </c>
      <c r="D152" s="7">
        <f t="shared" si="73"/>
        <v>1898.7658227848158</v>
      </c>
      <c r="E152" s="6">
        <v>6.5</v>
      </c>
      <c r="F152" s="6">
        <v>48.747999999999998</v>
      </c>
      <c r="G152" s="7">
        <f t="shared" si="74"/>
        <v>13.54111111111111</v>
      </c>
      <c r="H152" s="7">
        <f t="shared" si="75"/>
        <v>0.96705038467011839</v>
      </c>
      <c r="I152" s="7">
        <f t="shared" si="87"/>
        <v>311.95162810601238</v>
      </c>
      <c r="J152" s="7">
        <f t="shared" si="88"/>
        <v>0</v>
      </c>
      <c r="K152" s="7">
        <f t="shared" si="68"/>
        <v>0</v>
      </c>
      <c r="L152" s="7">
        <f t="shared" si="76"/>
        <v>91.044579996999985</v>
      </c>
      <c r="M152" s="7">
        <f t="shared" si="69"/>
        <v>39.511344600000001</v>
      </c>
      <c r="N152" s="7">
        <f t="shared" si="70"/>
        <v>56.809118834049379</v>
      </c>
      <c r="O152" s="7">
        <f t="shared" si="77"/>
        <v>-3.8182696955050749E-2</v>
      </c>
      <c r="P152" s="7">
        <f t="shared" si="78"/>
        <v>-3.8164157418355833E-2</v>
      </c>
      <c r="Q152" s="7">
        <f t="shared" si="79"/>
        <v>-2.186645148744681</v>
      </c>
      <c r="R152" s="7">
        <f t="shared" si="92"/>
        <v>-4961.9162163721066</v>
      </c>
      <c r="S152" s="6">
        <f t="shared" si="80"/>
        <v>1215.73368</v>
      </c>
      <c r="T152" s="7">
        <f t="shared" si="81"/>
        <v>-3.6551379563751065</v>
      </c>
      <c r="U152" s="7">
        <f t="shared" si="82"/>
        <v>-49.494629193714914</v>
      </c>
      <c r="V152" s="7">
        <v>0</v>
      </c>
      <c r="W152" s="7">
        <v>-49.249849729569803</v>
      </c>
      <c r="X152" s="23">
        <f t="shared" si="83"/>
        <v>-49.494629193714914</v>
      </c>
      <c r="Y152" s="23">
        <f t="shared" si="89"/>
        <v>-1397.9973866088699</v>
      </c>
      <c r="Z152" s="24">
        <f t="shared" si="84"/>
        <v>0</v>
      </c>
      <c r="AA152" s="24">
        <f t="shared" si="90"/>
        <v>2823.5870091036436</v>
      </c>
      <c r="AB152" s="25">
        <v>0</v>
      </c>
      <c r="AC152" s="6">
        <v>394</v>
      </c>
      <c r="AD152" s="7">
        <f t="shared" si="72"/>
        <v>0</v>
      </c>
      <c r="AE152" s="24">
        <f t="shared" si="85"/>
        <v>0</v>
      </c>
      <c r="AF152" s="24">
        <f t="shared" si="91"/>
        <v>9.0515178269795868E-2</v>
      </c>
      <c r="AG152" s="24">
        <f t="shared" si="86"/>
        <v>125.71552537471648</v>
      </c>
      <c r="AH152" s="1"/>
      <c r="AI152" s="1"/>
      <c r="AK152" s="1"/>
      <c r="AL152" s="19"/>
      <c r="AM152" s="19"/>
      <c r="AN152" s="19"/>
      <c r="AO152" s="19"/>
      <c r="AP152" s="19"/>
    </row>
    <row r="153" spans="1:42" x14ac:dyDescent="0.25">
      <c r="A153" s="6">
        <v>53.311549999999997</v>
      </c>
      <c r="B153" s="6">
        <v>-5.8360000000000002E-2</v>
      </c>
      <c r="C153" s="6">
        <v>102</v>
      </c>
      <c r="D153" s="7">
        <f t="shared" si="73"/>
        <v>1911.8607594936766</v>
      </c>
      <c r="E153" s="6">
        <v>6</v>
      </c>
      <c r="F153" s="6">
        <v>48.747999999999998</v>
      </c>
      <c r="G153" s="7">
        <f t="shared" si="74"/>
        <v>13.54111111111111</v>
      </c>
      <c r="H153" s="7">
        <f t="shared" si="75"/>
        <v>0.96705038467011839</v>
      </c>
      <c r="I153" s="7">
        <f t="shared" si="87"/>
        <v>312.91867849068251</v>
      </c>
      <c r="J153" s="7">
        <f t="shared" si="88"/>
        <v>0</v>
      </c>
      <c r="K153" s="7">
        <f t="shared" si="68"/>
        <v>0</v>
      </c>
      <c r="L153" s="7">
        <f t="shared" si="76"/>
        <v>91.044579996999985</v>
      </c>
      <c r="M153" s="7">
        <f t="shared" si="69"/>
        <v>36.472010400000002</v>
      </c>
      <c r="N153" s="7">
        <f t="shared" si="70"/>
        <v>56.809118834049379</v>
      </c>
      <c r="O153" s="7">
        <f t="shared" si="77"/>
        <v>-3.8182696955050749E-2</v>
      </c>
      <c r="P153" s="7">
        <f t="shared" si="78"/>
        <v>-3.8164157418355833E-2</v>
      </c>
      <c r="Q153" s="7">
        <f t="shared" si="79"/>
        <v>-2.186645148744681</v>
      </c>
      <c r="R153" s="7">
        <f t="shared" si="92"/>
        <v>-4961.9162163721066</v>
      </c>
      <c r="S153" s="6">
        <f t="shared" si="80"/>
        <v>1215.73368</v>
      </c>
      <c r="T153" s="7">
        <f t="shared" si="81"/>
        <v>-3.6551379563751065</v>
      </c>
      <c r="U153" s="7">
        <f t="shared" si="82"/>
        <v>-49.494629193714914</v>
      </c>
      <c r="V153" s="7">
        <v>0</v>
      </c>
      <c r="W153" s="7">
        <v>-49.249849729569803</v>
      </c>
      <c r="X153" s="23">
        <f t="shared" si="83"/>
        <v>-49.494629193714914</v>
      </c>
      <c r="Y153" s="23">
        <f t="shared" si="89"/>
        <v>-1447.4920158025848</v>
      </c>
      <c r="Z153" s="24">
        <f t="shared" si="84"/>
        <v>0</v>
      </c>
      <c r="AA153" s="24">
        <f t="shared" si="90"/>
        <v>2823.5870091036436</v>
      </c>
      <c r="AB153" s="25">
        <v>0</v>
      </c>
      <c r="AC153" s="6">
        <v>394</v>
      </c>
      <c r="AD153" s="7">
        <f t="shared" si="72"/>
        <v>0</v>
      </c>
      <c r="AE153" s="24">
        <f t="shared" si="85"/>
        <v>0</v>
      </c>
      <c r="AF153" s="24">
        <f t="shared" si="91"/>
        <v>9.0515178269795868E-2</v>
      </c>
      <c r="AG153" s="24">
        <f t="shared" si="86"/>
        <v>125.71552537471648</v>
      </c>
      <c r="AH153" s="1"/>
      <c r="AI153" s="1"/>
      <c r="AK153" s="1"/>
      <c r="AL153" s="19"/>
      <c r="AM153" s="19"/>
      <c r="AN153" s="19"/>
      <c r="AO153" s="19"/>
      <c r="AP153" s="19"/>
    </row>
    <row r="154" spans="1:42" x14ac:dyDescent="0.25">
      <c r="A154" s="6">
        <v>53.311410000000002</v>
      </c>
      <c r="B154" s="6">
        <v>-5.851E-2</v>
      </c>
      <c r="C154" s="6">
        <v>102</v>
      </c>
      <c r="D154" s="7">
        <f t="shared" si="73"/>
        <v>1924.9556962025374</v>
      </c>
      <c r="E154" s="6">
        <v>5.5</v>
      </c>
      <c r="F154" s="6">
        <v>48.747999999999998</v>
      </c>
      <c r="G154" s="7">
        <f t="shared" si="74"/>
        <v>13.54111111111111</v>
      </c>
      <c r="H154" s="7">
        <f t="shared" si="75"/>
        <v>0.96705038467011839</v>
      </c>
      <c r="I154" s="7">
        <f t="shared" si="87"/>
        <v>313.88572887535264</v>
      </c>
      <c r="J154" s="7">
        <f t="shared" si="88"/>
        <v>0</v>
      </c>
      <c r="K154" s="7">
        <f t="shared" si="68"/>
        <v>0</v>
      </c>
      <c r="L154" s="7">
        <f t="shared" si="76"/>
        <v>91.044579996999985</v>
      </c>
      <c r="M154" s="7">
        <f t="shared" si="69"/>
        <v>33.432676200000003</v>
      </c>
      <c r="N154" s="7">
        <f t="shared" si="70"/>
        <v>56.809118834049379</v>
      </c>
      <c r="O154" s="7">
        <f t="shared" si="77"/>
        <v>-3.8182696955050749E-2</v>
      </c>
      <c r="P154" s="7">
        <f t="shared" si="78"/>
        <v>-3.8164157418355833E-2</v>
      </c>
      <c r="Q154" s="7">
        <f t="shared" si="79"/>
        <v>-2.186645148744681</v>
      </c>
      <c r="R154" s="7">
        <f t="shared" si="92"/>
        <v>-4961.9162163721066</v>
      </c>
      <c r="S154" s="6">
        <f t="shared" si="80"/>
        <v>1215.73368</v>
      </c>
      <c r="T154" s="7">
        <f t="shared" si="81"/>
        <v>-3.6551379563751065</v>
      </c>
      <c r="U154" s="7">
        <f t="shared" si="82"/>
        <v>-49.494629193714914</v>
      </c>
      <c r="V154" s="7">
        <v>0</v>
      </c>
      <c r="W154" s="7">
        <v>-49.249849729569803</v>
      </c>
      <c r="X154" s="23">
        <f t="shared" si="83"/>
        <v>-49.494629193714914</v>
      </c>
      <c r="Y154" s="23">
        <f t="shared" si="89"/>
        <v>-1496.9866449962997</v>
      </c>
      <c r="Z154" s="24">
        <f t="shared" si="84"/>
        <v>0</v>
      </c>
      <c r="AA154" s="24">
        <f t="shared" si="90"/>
        <v>2823.5870091036436</v>
      </c>
      <c r="AB154" s="25">
        <v>0</v>
      </c>
      <c r="AC154" s="6">
        <v>394</v>
      </c>
      <c r="AD154" s="7">
        <f t="shared" si="72"/>
        <v>0</v>
      </c>
      <c r="AE154" s="24">
        <f t="shared" si="85"/>
        <v>0</v>
      </c>
      <c r="AF154" s="24">
        <f t="shared" si="91"/>
        <v>9.0515178269795868E-2</v>
      </c>
      <c r="AG154" s="24">
        <f t="shared" si="86"/>
        <v>125.71552537471648</v>
      </c>
      <c r="AH154" s="1"/>
      <c r="AI154" s="1"/>
      <c r="AK154" s="1"/>
      <c r="AL154" s="19"/>
      <c r="AM154" s="19"/>
      <c r="AN154" s="19"/>
      <c r="AO154" s="19"/>
      <c r="AP154" s="19"/>
    </row>
    <row r="155" spans="1:42" x14ac:dyDescent="0.25">
      <c r="A155" s="6">
        <v>53.311320000000002</v>
      </c>
      <c r="B155" s="6">
        <v>-5.8569999999999997E-2</v>
      </c>
      <c r="C155" s="6">
        <v>102</v>
      </c>
      <c r="D155" s="7">
        <f t="shared" si="73"/>
        <v>1938.0506329113982</v>
      </c>
      <c r="E155" s="6">
        <v>5</v>
      </c>
      <c r="F155" s="6">
        <v>48.747999999999998</v>
      </c>
      <c r="G155" s="7">
        <f t="shared" si="74"/>
        <v>13.54111111111111</v>
      </c>
      <c r="H155" s="7">
        <f t="shared" si="75"/>
        <v>0.96705038467011839</v>
      </c>
      <c r="I155" s="7">
        <f t="shared" si="87"/>
        <v>314.85277926002277</v>
      </c>
      <c r="J155" s="7">
        <f t="shared" si="88"/>
        <v>0</v>
      </c>
      <c r="K155" s="7">
        <f t="shared" si="68"/>
        <v>0</v>
      </c>
      <c r="L155" s="7">
        <f t="shared" si="76"/>
        <v>91.044579996999985</v>
      </c>
      <c r="M155" s="7">
        <f t="shared" si="69"/>
        <v>30.393342000000004</v>
      </c>
      <c r="N155" s="7">
        <f t="shared" si="70"/>
        <v>56.809118834049379</v>
      </c>
      <c r="O155" s="7">
        <f t="shared" si="77"/>
        <v>-3.8182696955050749E-2</v>
      </c>
      <c r="P155" s="7">
        <f t="shared" si="78"/>
        <v>-3.8164157418355833E-2</v>
      </c>
      <c r="Q155" s="7">
        <f t="shared" si="79"/>
        <v>-2.186645148744681</v>
      </c>
      <c r="R155" s="7">
        <f t="shared" si="92"/>
        <v>-4961.9162163721066</v>
      </c>
      <c r="S155" s="6">
        <f t="shared" si="80"/>
        <v>1215.73368</v>
      </c>
      <c r="T155" s="7">
        <f t="shared" si="81"/>
        <v>-3.6551379563751065</v>
      </c>
      <c r="U155" s="7">
        <f t="shared" si="82"/>
        <v>-49.494629193714914</v>
      </c>
      <c r="V155" s="7">
        <v>0</v>
      </c>
      <c r="W155" s="7">
        <v>-49.249849729569803</v>
      </c>
      <c r="X155" s="23">
        <f t="shared" si="83"/>
        <v>-49.494629193714914</v>
      </c>
      <c r="Y155" s="23">
        <f t="shared" si="89"/>
        <v>-1546.4812741900146</v>
      </c>
      <c r="Z155" s="24">
        <f t="shared" si="84"/>
        <v>0</v>
      </c>
      <c r="AA155" s="24">
        <f t="shared" si="90"/>
        <v>2823.5870091036436</v>
      </c>
      <c r="AB155" s="25">
        <v>0</v>
      </c>
      <c r="AC155" s="6">
        <v>394</v>
      </c>
      <c r="AD155" s="7">
        <f t="shared" si="72"/>
        <v>0</v>
      </c>
      <c r="AE155" s="24">
        <f t="shared" si="85"/>
        <v>0</v>
      </c>
      <c r="AF155" s="24">
        <f t="shared" si="91"/>
        <v>9.0515178269795868E-2</v>
      </c>
      <c r="AG155" s="24">
        <f t="shared" si="86"/>
        <v>125.71552537471648</v>
      </c>
      <c r="AH155" s="1"/>
      <c r="AI155" s="1"/>
      <c r="AK155" s="1"/>
      <c r="AL155" s="19"/>
      <c r="AM155" s="19"/>
      <c r="AN155" s="19"/>
      <c r="AO155" s="19"/>
      <c r="AP155" s="19"/>
    </row>
    <row r="156" spans="1:42" x14ac:dyDescent="0.25">
      <c r="A156" s="6">
        <v>53.311169999999997</v>
      </c>
      <c r="B156" s="6">
        <v>-5.8709999999999998E-2</v>
      </c>
      <c r="C156" s="6">
        <v>101</v>
      </c>
      <c r="D156" s="7">
        <f t="shared" si="73"/>
        <v>1951.145569620259</v>
      </c>
      <c r="E156" s="6">
        <v>4.5</v>
      </c>
      <c r="F156" s="6">
        <v>48.747999999999998</v>
      </c>
      <c r="G156" s="7">
        <f t="shared" si="74"/>
        <v>13.54111111111111</v>
      </c>
      <c r="H156" s="7">
        <f t="shared" si="75"/>
        <v>0.96705038467011839</v>
      </c>
      <c r="I156" s="7">
        <f t="shared" si="87"/>
        <v>315.8198296446929</v>
      </c>
      <c r="J156" s="7">
        <f t="shared" si="88"/>
        <v>0</v>
      </c>
      <c r="K156" s="7">
        <f t="shared" si="68"/>
        <v>0</v>
      </c>
      <c r="L156" s="7">
        <f t="shared" si="76"/>
        <v>91.044579996999985</v>
      </c>
      <c r="M156" s="7">
        <f t="shared" si="69"/>
        <v>27.354007800000002</v>
      </c>
      <c r="N156" s="7">
        <f t="shared" si="70"/>
        <v>56.809118834049379</v>
      </c>
      <c r="O156" s="7">
        <f t="shared" si="77"/>
        <v>-3.8182696955050749E-2</v>
      </c>
      <c r="P156" s="7">
        <f t="shared" si="78"/>
        <v>-3.8164157418355833E-2</v>
      </c>
      <c r="Q156" s="7">
        <f t="shared" si="79"/>
        <v>-2.186645148744681</v>
      </c>
      <c r="R156" s="7">
        <f t="shared" si="92"/>
        <v>-4961.9162163721066</v>
      </c>
      <c r="S156" s="6">
        <f t="shared" si="80"/>
        <v>1215.73368</v>
      </c>
      <c r="T156" s="7">
        <f t="shared" si="81"/>
        <v>-3.6551379563751065</v>
      </c>
      <c r="U156" s="7">
        <f t="shared" si="82"/>
        <v>-49.494629193714914</v>
      </c>
      <c r="V156" s="7">
        <v>0</v>
      </c>
      <c r="W156" s="7">
        <v>-49.249849729569803</v>
      </c>
      <c r="X156" s="23">
        <f t="shared" si="83"/>
        <v>-49.494629193714914</v>
      </c>
      <c r="Y156" s="23">
        <f t="shared" si="89"/>
        <v>-1595.9759033837295</v>
      </c>
      <c r="Z156" s="24">
        <f t="shared" si="84"/>
        <v>0</v>
      </c>
      <c r="AA156" s="24">
        <f t="shared" si="90"/>
        <v>2823.5870091036436</v>
      </c>
      <c r="AB156" s="25">
        <v>0</v>
      </c>
      <c r="AC156" s="6">
        <v>394</v>
      </c>
      <c r="AD156" s="7">
        <f t="shared" si="72"/>
        <v>0</v>
      </c>
      <c r="AE156" s="24">
        <f t="shared" si="85"/>
        <v>0</v>
      </c>
      <c r="AF156" s="24">
        <f t="shared" si="91"/>
        <v>9.0515178269795868E-2</v>
      </c>
      <c r="AG156" s="24">
        <f t="shared" si="86"/>
        <v>125.71552537471648</v>
      </c>
      <c r="AH156" s="1"/>
      <c r="AI156" s="1"/>
      <c r="AK156" s="1"/>
      <c r="AL156" s="19"/>
      <c r="AM156" s="19"/>
      <c r="AN156" s="19"/>
      <c r="AO156" s="19"/>
      <c r="AP156" s="19"/>
    </row>
    <row r="157" spans="1:42" x14ac:dyDescent="0.25">
      <c r="A157" s="6">
        <v>53.311019999999999</v>
      </c>
      <c r="B157" s="6">
        <v>-5.885E-2</v>
      </c>
      <c r="C157" s="6">
        <v>101</v>
      </c>
      <c r="D157" s="7">
        <f t="shared" si="73"/>
        <v>1964.2405063291199</v>
      </c>
      <c r="E157" s="6">
        <v>4</v>
      </c>
      <c r="F157" s="6">
        <v>48.747999999999998</v>
      </c>
      <c r="G157" s="7">
        <f t="shared" si="74"/>
        <v>13.54111111111111</v>
      </c>
      <c r="H157" s="7">
        <f t="shared" si="75"/>
        <v>0.96705038467011839</v>
      </c>
      <c r="I157" s="7">
        <f t="shared" si="87"/>
        <v>316.78688002936303</v>
      </c>
      <c r="J157" s="7">
        <f t="shared" si="88"/>
        <v>0</v>
      </c>
      <c r="K157" s="7">
        <f t="shared" si="68"/>
        <v>0</v>
      </c>
      <c r="L157" s="7">
        <f t="shared" si="76"/>
        <v>91.044579996999985</v>
      </c>
      <c r="M157" s="7">
        <f t="shared" si="69"/>
        <v>24.314673600000003</v>
      </c>
      <c r="N157" s="7">
        <f t="shared" si="70"/>
        <v>56.809118834049379</v>
      </c>
      <c r="O157" s="7">
        <f t="shared" si="77"/>
        <v>-3.8182696955050749E-2</v>
      </c>
      <c r="P157" s="7">
        <f t="shared" si="78"/>
        <v>-3.8164157418355833E-2</v>
      </c>
      <c r="Q157" s="7">
        <f t="shared" si="79"/>
        <v>-2.186645148744681</v>
      </c>
      <c r="R157" s="7">
        <f t="shared" si="92"/>
        <v>-4961.9162163721066</v>
      </c>
      <c r="S157" s="6">
        <f t="shared" si="80"/>
        <v>1215.73368</v>
      </c>
      <c r="T157" s="7">
        <f t="shared" si="81"/>
        <v>-3.6551379563751065</v>
      </c>
      <c r="U157" s="7">
        <f t="shared" si="82"/>
        <v>-49.494629193714914</v>
      </c>
      <c r="V157" s="7">
        <v>0</v>
      </c>
      <c r="W157" s="7">
        <v>-49.249849729569803</v>
      </c>
      <c r="X157" s="23">
        <f t="shared" si="83"/>
        <v>-49.494629193714914</v>
      </c>
      <c r="Y157" s="23">
        <f t="shared" si="89"/>
        <v>-1645.4705325774444</v>
      </c>
      <c r="Z157" s="24">
        <f t="shared" si="84"/>
        <v>0</v>
      </c>
      <c r="AA157" s="24">
        <f t="shared" si="90"/>
        <v>2823.5870091036436</v>
      </c>
      <c r="AB157" s="25">
        <v>0</v>
      </c>
      <c r="AC157" s="6">
        <v>394</v>
      </c>
      <c r="AD157" s="7">
        <f t="shared" si="72"/>
        <v>0</v>
      </c>
      <c r="AE157" s="24">
        <f t="shared" si="85"/>
        <v>0</v>
      </c>
      <c r="AF157" s="24">
        <f t="shared" si="91"/>
        <v>9.0515178269795868E-2</v>
      </c>
      <c r="AG157" s="24">
        <f t="shared" si="86"/>
        <v>125.71552537471648</v>
      </c>
      <c r="AH157" s="1"/>
      <c r="AI157" s="1"/>
      <c r="AK157" s="1"/>
      <c r="AL157" s="19"/>
      <c r="AM157" s="19"/>
      <c r="AN157" s="19"/>
      <c r="AO157" s="19"/>
      <c r="AP157" s="19"/>
    </row>
    <row r="158" spans="1:42" x14ac:dyDescent="0.25">
      <c r="A158" s="6">
        <v>53.310850000000002</v>
      </c>
      <c r="B158" s="6">
        <v>-5.8999999999999997E-2</v>
      </c>
      <c r="C158" s="6">
        <v>102</v>
      </c>
      <c r="D158" s="7">
        <f t="shared" si="73"/>
        <v>1977.3354430379807</v>
      </c>
      <c r="E158" s="6">
        <v>3.5</v>
      </c>
      <c r="F158" s="6">
        <v>48.747999999999998</v>
      </c>
      <c r="G158" s="7">
        <f t="shared" si="74"/>
        <v>13.54111111111111</v>
      </c>
      <c r="H158" s="7">
        <f t="shared" si="75"/>
        <v>0.96705038467011839</v>
      </c>
      <c r="I158" s="7">
        <f t="shared" si="87"/>
        <v>317.75393041403316</v>
      </c>
      <c r="J158" s="7">
        <f t="shared" si="88"/>
        <v>0</v>
      </c>
      <c r="K158" s="7">
        <f t="shared" si="68"/>
        <v>0</v>
      </c>
      <c r="L158" s="7">
        <f t="shared" si="76"/>
        <v>91.044579996999985</v>
      </c>
      <c r="M158" s="7">
        <f t="shared" si="69"/>
        <v>21.2753394</v>
      </c>
      <c r="N158" s="7">
        <f t="shared" si="70"/>
        <v>56.809118834049379</v>
      </c>
      <c r="O158" s="7">
        <f t="shared" si="77"/>
        <v>-3.8182696955050749E-2</v>
      </c>
      <c r="P158" s="7">
        <f t="shared" si="78"/>
        <v>-3.8164157418355833E-2</v>
      </c>
      <c r="Q158" s="7">
        <f t="shared" si="79"/>
        <v>-2.186645148744681</v>
      </c>
      <c r="R158" s="7">
        <f t="shared" si="92"/>
        <v>-4961.9162163721066</v>
      </c>
      <c r="S158" s="6">
        <f t="shared" si="80"/>
        <v>1215.73368</v>
      </c>
      <c r="T158" s="7">
        <f t="shared" si="81"/>
        <v>-3.6551379563751065</v>
      </c>
      <c r="U158" s="7">
        <f t="shared" si="82"/>
        <v>-49.494629193714914</v>
      </c>
      <c r="V158" s="7">
        <v>0</v>
      </c>
      <c r="W158" s="7">
        <v>-49.249849729569803</v>
      </c>
      <c r="X158" s="23">
        <f t="shared" si="83"/>
        <v>-49.494629193714914</v>
      </c>
      <c r="Y158" s="23">
        <f t="shared" si="89"/>
        <v>-1694.9651617711593</v>
      </c>
      <c r="Z158" s="24">
        <f t="shared" si="84"/>
        <v>0</v>
      </c>
      <c r="AA158" s="24">
        <f t="shared" si="90"/>
        <v>2823.5870091036436</v>
      </c>
      <c r="AB158" s="25">
        <v>0</v>
      </c>
      <c r="AC158" s="6">
        <v>394</v>
      </c>
      <c r="AD158" s="7">
        <f t="shared" si="72"/>
        <v>0</v>
      </c>
      <c r="AE158" s="24">
        <f t="shared" si="85"/>
        <v>0</v>
      </c>
      <c r="AF158" s="24">
        <f t="shared" si="91"/>
        <v>9.0515178269795868E-2</v>
      </c>
      <c r="AG158" s="24">
        <f t="shared" si="86"/>
        <v>125.71552537471648</v>
      </c>
      <c r="AH158" s="1"/>
      <c r="AI158" s="1"/>
      <c r="AK158" s="1"/>
      <c r="AL158" s="19"/>
      <c r="AM158" s="19"/>
      <c r="AN158" s="19"/>
      <c r="AO158" s="19"/>
      <c r="AP158" s="19"/>
    </row>
    <row r="159" spans="1:42" x14ac:dyDescent="0.25">
      <c r="A159" s="6">
        <v>53.310699999999997</v>
      </c>
      <c r="B159" s="6">
        <v>-5.9110000000000003E-2</v>
      </c>
      <c r="C159" s="6">
        <v>103</v>
      </c>
      <c r="D159" s="7">
        <f t="shared" si="73"/>
        <v>1990.4303797468415</v>
      </c>
      <c r="E159" s="6">
        <v>3</v>
      </c>
      <c r="F159" s="6">
        <v>48.747999999999998</v>
      </c>
      <c r="G159" s="7">
        <f t="shared" si="74"/>
        <v>13.54111111111111</v>
      </c>
      <c r="H159" s="7">
        <f t="shared" si="75"/>
        <v>0.96705038467011839</v>
      </c>
      <c r="I159" s="7">
        <f t="shared" si="87"/>
        <v>318.72098079870329</v>
      </c>
      <c r="J159" s="7">
        <f t="shared" si="88"/>
        <v>0</v>
      </c>
      <c r="K159" s="7">
        <f t="shared" si="68"/>
        <v>0</v>
      </c>
      <c r="L159" s="7">
        <f t="shared" si="76"/>
        <v>91.044579996999985</v>
      </c>
      <c r="M159" s="7">
        <f t="shared" si="69"/>
        <v>18.236005200000001</v>
      </c>
      <c r="N159" s="7">
        <f t="shared" si="70"/>
        <v>56.809118834049379</v>
      </c>
      <c r="O159" s="7">
        <f t="shared" si="77"/>
        <v>-3.8182696955050749E-2</v>
      </c>
      <c r="P159" s="7">
        <f t="shared" si="78"/>
        <v>-3.8164157418355833E-2</v>
      </c>
      <c r="Q159" s="7">
        <f t="shared" si="79"/>
        <v>-2.186645148744681</v>
      </c>
      <c r="R159" s="7">
        <f t="shared" si="92"/>
        <v>-4961.9162163721066</v>
      </c>
      <c r="S159" s="6">
        <f t="shared" si="80"/>
        <v>1215.73368</v>
      </c>
      <c r="T159" s="7">
        <f t="shared" si="81"/>
        <v>-3.6551379563751065</v>
      </c>
      <c r="U159" s="7">
        <f t="shared" si="82"/>
        <v>-49.494629193714914</v>
      </c>
      <c r="V159" s="7">
        <v>0</v>
      </c>
      <c r="W159" s="7">
        <v>-49.249849729569803</v>
      </c>
      <c r="X159" s="23">
        <f t="shared" si="83"/>
        <v>-49.494629193714914</v>
      </c>
      <c r="Y159" s="23">
        <f t="shared" si="89"/>
        <v>-1744.4597909648742</v>
      </c>
      <c r="Z159" s="24">
        <f t="shared" si="84"/>
        <v>0</v>
      </c>
      <c r="AA159" s="24">
        <f t="shared" si="90"/>
        <v>2823.5870091036436</v>
      </c>
      <c r="AB159" s="25">
        <v>0</v>
      </c>
      <c r="AC159" s="6">
        <v>394</v>
      </c>
      <c r="AD159" s="7">
        <f t="shared" si="72"/>
        <v>0</v>
      </c>
      <c r="AE159" s="24">
        <f t="shared" si="85"/>
        <v>0</v>
      </c>
      <c r="AF159" s="24">
        <f t="shared" si="91"/>
        <v>9.0515178269795868E-2</v>
      </c>
      <c r="AG159" s="24">
        <f t="shared" si="86"/>
        <v>125.71552537471648</v>
      </c>
      <c r="AH159" s="1"/>
      <c r="AI159" s="1"/>
      <c r="AK159" s="1"/>
      <c r="AL159" s="19"/>
      <c r="AM159" s="19"/>
      <c r="AN159" s="19"/>
      <c r="AO159" s="19"/>
      <c r="AP159" s="19"/>
    </row>
    <row r="160" spans="1:42" x14ac:dyDescent="0.25">
      <c r="A160" s="6">
        <v>53.310569999999998</v>
      </c>
      <c r="B160" s="6">
        <v>-5.9220000000000002E-2</v>
      </c>
      <c r="C160" s="6">
        <v>105</v>
      </c>
      <c r="D160" s="7">
        <f t="shared" si="73"/>
        <v>2003.5253164557023</v>
      </c>
      <c r="E160" s="6">
        <v>2.5</v>
      </c>
      <c r="F160" s="6">
        <v>48.747999999999998</v>
      </c>
      <c r="G160" s="7">
        <f t="shared" si="74"/>
        <v>13.54111111111111</v>
      </c>
      <c r="H160" s="7">
        <f t="shared" si="75"/>
        <v>0.96705038467011839</v>
      </c>
      <c r="I160" s="7">
        <f t="shared" si="87"/>
        <v>319.68803118337343</v>
      </c>
      <c r="J160" s="7">
        <f t="shared" si="88"/>
        <v>0</v>
      </c>
      <c r="K160" s="7">
        <f t="shared" si="68"/>
        <v>0</v>
      </c>
      <c r="L160" s="7">
        <f t="shared" si="76"/>
        <v>91.044579996999985</v>
      </c>
      <c r="M160" s="7">
        <f t="shared" si="69"/>
        <v>15.196671000000002</v>
      </c>
      <c r="N160" s="7">
        <f t="shared" si="70"/>
        <v>56.809118834049379</v>
      </c>
      <c r="O160" s="7">
        <f t="shared" si="77"/>
        <v>-3.8182696955050749E-2</v>
      </c>
      <c r="P160" s="7">
        <f t="shared" si="78"/>
        <v>-3.8164157418355833E-2</v>
      </c>
      <c r="Q160" s="7">
        <f t="shared" si="79"/>
        <v>-2.186645148744681</v>
      </c>
      <c r="R160" s="7">
        <f t="shared" si="92"/>
        <v>-4961.9162163721066</v>
      </c>
      <c r="S160" s="6">
        <f t="shared" si="80"/>
        <v>1215.73368</v>
      </c>
      <c r="T160" s="7">
        <f t="shared" si="81"/>
        <v>-3.6551379563751065</v>
      </c>
      <c r="U160" s="7">
        <f t="shared" si="82"/>
        <v>-49.494629193714914</v>
      </c>
      <c r="V160" s="7">
        <v>0</v>
      </c>
      <c r="W160" s="7">
        <v>-49.249849729569803</v>
      </c>
      <c r="X160" s="23">
        <f t="shared" si="83"/>
        <v>-49.494629193714914</v>
      </c>
      <c r="Y160" s="23">
        <f t="shared" si="89"/>
        <v>-1793.9544201585891</v>
      </c>
      <c r="Z160" s="24">
        <f t="shared" si="84"/>
        <v>0</v>
      </c>
      <c r="AA160" s="24">
        <f t="shared" si="90"/>
        <v>2823.5870091036436</v>
      </c>
      <c r="AB160" s="25">
        <v>0</v>
      </c>
      <c r="AC160" s="6">
        <v>394</v>
      </c>
      <c r="AD160" s="7">
        <f t="shared" si="72"/>
        <v>0</v>
      </c>
      <c r="AE160" s="24">
        <f t="shared" si="85"/>
        <v>0</v>
      </c>
      <c r="AF160" s="24">
        <f t="shared" si="91"/>
        <v>9.0515178269795868E-2</v>
      </c>
      <c r="AG160" s="24">
        <f t="shared" si="86"/>
        <v>125.71552537471648</v>
      </c>
      <c r="AH160" s="1"/>
      <c r="AI160" s="1"/>
      <c r="AK160" s="1"/>
      <c r="AL160" s="19"/>
      <c r="AM160" s="19"/>
      <c r="AN160" s="19"/>
      <c r="AO160" s="19"/>
      <c r="AP160" s="19"/>
    </row>
    <row r="161" spans="1:42" x14ac:dyDescent="0.25">
      <c r="A161" s="6">
        <v>53.310429999999997</v>
      </c>
      <c r="B161" s="6">
        <v>-5.9330000000000001E-2</v>
      </c>
      <c r="C161" s="6">
        <v>106</v>
      </c>
      <c r="D161" s="7">
        <f t="shared" si="73"/>
        <v>2016.6202531645631</v>
      </c>
      <c r="E161" s="6">
        <v>2</v>
      </c>
      <c r="F161" s="6">
        <v>48.747999999999998</v>
      </c>
      <c r="G161" s="7">
        <f t="shared" si="74"/>
        <v>13.54111111111111</v>
      </c>
      <c r="H161" s="7">
        <f t="shared" si="75"/>
        <v>0.96705038467011839</v>
      </c>
      <c r="I161" s="7">
        <f t="shared" si="87"/>
        <v>320.65508156804356</v>
      </c>
      <c r="J161" s="7">
        <f t="shared" si="88"/>
        <v>0</v>
      </c>
      <c r="K161" s="7">
        <f t="shared" si="68"/>
        <v>0</v>
      </c>
      <c r="L161" s="7">
        <f t="shared" si="76"/>
        <v>91.044579996999985</v>
      </c>
      <c r="M161" s="7">
        <f t="shared" si="69"/>
        <v>12.157336800000001</v>
      </c>
      <c r="N161" s="7">
        <f t="shared" si="70"/>
        <v>56.809118834049379</v>
      </c>
      <c r="O161" s="7">
        <f t="shared" si="77"/>
        <v>-3.8182696955050749E-2</v>
      </c>
      <c r="P161" s="7">
        <f t="shared" si="78"/>
        <v>-3.8164157418355833E-2</v>
      </c>
      <c r="Q161" s="7">
        <f t="shared" si="79"/>
        <v>-2.186645148744681</v>
      </c>
      <c r="R161" s="7">
        <f t="shared" si="92"/>
        <v>-4961.9162163721066</v>
      </c>
      <c r="S161" s="6">
        <f t="shared" si="80"/>
        <v>1215.73368</v>
      </c>
      <c r="T161" s="7">
        <f t="shared" si="81"/>
        <v>-3.6551379563751065</v>
      </c>
      <c r="U161" s="7">
        <f t="shared" si="82"/>
        <v>-49.494629193714914</v>
      </c>
      <c r="V161" s="7">
        <v>0</v>
      </c>
      <c r="W161" s="7">
        <v>-49.249849729569803</v>
      </c>
      <c r="X161" s="23">
        <f t="shared" si="83"/>
        <v>-49.494629193714914</v>
      </c>
      <c r="Y161" s="23">
        <f t="shared" si="89"/>
        <v>-1843.449049352304</v>
      </c>
      <c r="Z161" s="24">
        <f t="shared" si="84"/>
        <v>0</v>
      </c>
      <c r="AA161" s="24">
        <f t="shared" si="90"/>
        <v>2823.5870091036436</v>
      </c>
      <c r="AB161" s="25">
        <v>0</v>
      </c>
      <c r="AC161" s="6">
        <v>394</v>
      </c>
      <c r="AD161" s="7">
        <f t="shared" si="72"/>
        <v>0</v>
      </c>
      <c r="AE161" s="24">
        <f t="shared" si="85"/>
        <v>0</v>
      </c>
      <c r="AF161" s="24">
        <f t="shared" si="91"/>
        <v>9.0515178269795868E-2</v>
      </c>
      <c r="AG161" s="24">
        <f t="shared" si="86"/>
        <v>125.71552537471648</v>
      </c>
      <c r="AH161" s="1"/>
      <c r="AI161" s="1"/>
      <c r="AK161" s="1"/>
      <c r="AL161" s="19"/>
      <c r="AM161" s="19"/>
      <c r="AN161" s="19"/>
      <c r="AO161" s="19"/>
      <c r="AP161" s="19"/>
    </row>
    <row r="162" spans="1:42" x14ac:dyDescent="0.25">
      <c r="A162" s="6">
        <v>53.310420000000001</v>
      </c>
      <c r="B162" s="6">
        <v>-5.9330000000000001E-2</v>
      </c>
      <c r="C162" s="6">
        <v>106</v>
      </c>
      <c r="D162" s="7">
        <f t="shared" si="73"/>
        <v>2029.7151898734239</v>
      </c>
      <c r="E162" s="6">
        <v>1.5</v>
      </c>
      <c r="F162" s="6">
        <v>48.747999999999998</v>
      </c>
      <c r="G162" s="7">
        <f t="shared" si="74"/>
        <v>13.54111111111111</v>
      </c>
      <c r="H162" s="7">
        <f t="shared" si="75"/>
        <v>0.96705038467011839</v>
      </c>
      <c r="I162" s="7">
        <f t="shared" si="87"/>
        <v>321.62213195271369</v>
      </c>
      <c r="J162" s="7">
        <f t="shared" si="88"/>
        <v>0</v>
      </c>
      <c r="K162" s="7">
        <f t="shared" si="68"/>
        <v>0</v>
      </c>
      <c r="L162" s="7">
        <f t="shared" si="76"/>
        <v>91.044579996999985</v>
      </c>
      <c r="M162" s="7">
        <f t="shared" si="69"/>
        <v>9.1180026000000005</v>
      </c>
      <c r="N162" s="7">
        <f t="shared" si="70"/>
        <v>56.809118834049379</v>
      </c>
      <c r="O162" s="7">
        <f t="shared" si="77"/>
        <v>-3.8182696955050749E-2</v>
      </c>
      <c r="P162" s="7">
        <f t="shared" si="78"/>
        <v>-3.8164157418355833E-2</v>
      </c>
      <c r="Q162" s="7">
        <f t="shared" si="79"/>
        <v>-2.186645148744681</v>
      </c>
      <c r="R162" s="7">
        <f t="shared" si="92"/>
        <v>-4961.9162163721066</v>
      </c>
      <c r="S162" s="6">
        <f t="shared" si="80"/>
        <v>1215.73368</v>
      </c>
      <c r="T162" s="7">
        <f t="shared" si="81"/>
        <v>-3.6551379563751065</v>
      </c>
      <c r="U162" s="7">
        <f t="shared" si="82"/>
        <v>-49.494629193714914</v>
      </c>
      <c r="V162" s="7">
        <v>0</v>
      </c>
      <c r="W162" s="7">
        <v>-49.249849729569803</v>
      </c>
      <c r="X162" s="23">
        <f t="shared" si="83"/>
        <v>-49.494629193714914</v>
      </c>
      <c r="Y162" s="23">
        <f t="shared" si="89"/>
        <v>-1892.9436785460189</v>
      </c>
      <c r="Z162" s="24">
        <f t="shared" si="84"/>
        <v>0</v>
      </c>
      <c r="AA162" s="24">
        <f t="shared" si="90"/>
        <v>2823.5870091036436</v>
      </c>
      <c r="AB162" s="25">
        <v>0</v>
      </c>
      <c r="AC162" s="6">
        <v>394</v>
      </c>
      <c r="AD162" s="7">
        <f t="shared" si="72"/>
        <v>0</v>
      </c>
      <c r="AE162" s="24">
        <f t="shared" si="85"/>
        <v>0</v>
      </c>
      <c r="AF162" s="24">
        <f t="shared" si="91"/>
        <v>9.0515178269795868E-2</v>
      </c>
      <c r="AG162" s="24">
        <f t="shared" si="86"/>
        <v>125.71552537471648</v>
      </c>
      <c r="AH162" s="1"/>
      <c r="AI162" s="1"/>
      <c r="AK162" s="1"/>
      <c r="AL162" s="19"/>
      <c r="AM162" s="19"/>
      <c r="AN162" s="19"/>
      <c r="AO162" s="19"/>
      <c r="AP162" s="19"/>
    </row>
    <row r="163" spans="1:42" x14ac:dyDescent="0.25">
      <c r="A163" s="6">
        <v>53.310279999999999</v>
      </c>
      <c r="B163" s="6">
        <v>-5.9450000000000003E-2</v>
      </c>
      <c r="C163" s="6">
        <v>106</v>
      </c>
      <c r="D163" s="7">
        <f t="shared" si="73"/>
        <v>2042.8101265822847</v>
      </c>
      <c r="E163" s="6">
        <v>1</v>
      </c>
      <c r="F163" s="6">
        <v>48.747999999999998</v>
      </c>
      <c r="G163" s="7">
        <f t="shared" si="74"/>
        <v>13.54111111111111</v>
      </c>
      <c r="H163" s="7">
        <f t="shared" si="75"/>
        <v>0.96705038467010163</v>
      </c>
      <c r="I163" s="7">
        <f t="shared" si="87"/>
        <v>322.58918233738376</v>
      </c>
      <c r="J163" s="7">
        <f t="shared" si="88"/>
        <v>0</v>
      </c>
      <c r="K163" s="7">
        <f t="shared" si="68"/>
        <v>0</v>
      </c>
      <c r="L163" s="7">
        <f t="shared" si="76"/>
        <v>91.044579996999985</v>
      </c>
      <c r="M163" s="7">
        <f t="shared" si="69"/>
        <v>6.0786684000000006</v>
      </c>
      <c r="N163" s="7">
        <f t="shared" si="70"/>
        <v>56.809118834049379</v>
      </c>
      <c r="O163" s="7">
        <f t="shared" si="77"/>
        <v>-3.8182696955050749E-2</v>
      </c>
      <c r="P163" s="7">
        <f t="shared" si="78"/>
        <v>-3.8164157418355833E-2</v>
      </c>
      <c r="Q163" s="7">
        <f t="shared" si="79"/>
        <v>-2.186645148744681</v>
      </c>
      <c r="R163" s="7">
        <f t="shared" si="92"/>
        <v>-4961.9162163721066</v>
      </c>
      <c r="S163" s="6">
        <f t="shared" si="80"/>
        <v>1215.73368</v>
      </c>
      <c r="T163" s="7">
        <f t="shared" si="81"/>
        <v>-3.6551379563751065</v>
      </c>
      <c r="U163" s="7">
        <f t="shared" si="82"/>
        <v>-49.494629193714914</v>
      </c>
      <c r="V163" s="7">
        <v>0</v>
      </c>
      <c r="W163" s="7">
        <v>-49.249849729569803</v>
      </c>
      <c r="X163" s="23">
        <f t="shared" si="83"/>
        <v>-49.494629193714914</v>
      </c>
      <c r="Y163" s="23">
        <f t="shared" si="89"/>
        <v>-1942.4383077397338</v>
      </c>
      <c r="Z163" s="24">
        <f t="shared" si="84"/>
        <v>0</v>
      </c>
      <c r="AA163" s="24">
        <f t="shared" si="90"/>
        <v>2823.5870091036436</v>
      </c>
      <c r="AB163" s="25">
        <v>0</v>
      </c>
      <c r="AC163" s="6">
        <v>394</v>
      </c>
      <c r="AD163" s="7">
        <f t="shared" si="72"/>
        <v>0</v>
      </c>
      <c r="AE163" s="24">
        <f t="shared" si="85"/>
        <v>0</v>
      </c>
      <c r="AF163" s="24">
        <f t="shared" si="91"/>
        <v>9.0515178269795868E-2</v>
      </c>
      <c r="AG163" s="24">
        <f t="shared" si="86"/>
        <v>125.71552537471648</v>
      </c>
      <c r="AH163" s="1"/>
      <c r="AI163" s="1"/>
      <c r="AK163" s="1"/>
      <c r="AL163" s="19"/>
      <c r="AM163" s="19"/>
      <c r="AN163" s="19"/>
      <c r="AO163" s="19"/>
      <c r="AP163" s="19"/>
    </row>
    <row r="164" spans="1:42" x14ac:dyDescent="0.25">
      <c r="A164" s="6">
        <v>53.310130000000001</v>
      </c>
      <c r="B164" s="6">
        <v>-5.9560000000000002E-2</v>
      </c>
      <c r="C164" s="6">
        <v>106</v>
      </c>
      <c r="D164" s="7">
        <f t="shared" si="73"/>
        <v>2055.9050632911453</v>
      </c>
      <c r="E164" s="6">
        <v>0.5</v>
      </c>
      <c r="F164" s="6">
        <v>48.747999999999998</v>
      </c>
      <c r="G164" s="7">
        <f t="shared" si="74"/>
        <v>13.54111111111111</v>
      </c>
      <c r="H164" s="7">
        <f t="shared" si="75"/>
        <v>0.96705038467010163</v>
      </c>
      <c r="I164" s="7">
        <f t="shared" si="87"/>
        <v>323.55623272205384</v>
      </c>
      <c r="J164" s="7">
        <f t="shared" si="88"/>
        <v>0</v>
      </c>
      <c r="K164" s="7">
        <f t="shared" si="68"/>
        <v>0</v>
      </c>
      <c r="L164" s="7">
        <f t="shared" si="76"/>
        <v>91.044579996999985</v>
      </c>
      <c r="M164" s="7">
        <f t="shared" si="69"/>
        <v>3.0393342000000003</v>
      </c>
      <c r="N164" s="7">
        <f t="shared" si="70"/>
        <v>56.809118834049379</v>
      </c>
      <c r="O164" s="7">
        <f t="shared" si="77"/>
        <v>-3.8182696955050749E-2</v>
      </c>
      <c r="P164" s="7">
        <f t="shared" si="78"/>
        <v>-3.8164157418355833E-2</v>
      </c>
      <c r="Q164" s="7">
        <f t="shared" si="79"/>
        <v>-2.186645148744681</v>
      </c>
      <c r="R164" s="7">
        <f t="shared" si="92"/>
        <v>-4961.9162163721066</v>
      </c>
      <c r="S164" s="6">
        <f t="shared" si="80"/>
        <v>1215.73368</v>
      </c>
      <c r="T164" s="7">
        <f t="shared" si="81"/>
        <v>-3.6551379563751065</v>
      </c>
      <c r="U164" s="7">
        <f t="shared" si="82"/>
        <v>-49.494629193714914</v>
      </c>
      <c r="V164" s="7">
        <v>0</v>
      </c>
      <c r="W164" s="7">
        <v>-49.249849729569803</v>
      </c>
      <c r="X164" s="23">
        <f t="shared" si="83"/>
        <v>-49.494629193714914</v>
      </c>
      <c r="Y164" s="23">
        <f t="shared" si="89"/>
        <v>-1991.9329369334487</v>
      </c>
      <c r="Z164" s="24">
        <f t="shared" si="84"/>
        <v>0</v>
      </c>
      <c r="AA164" s="24">
        <f t="shared" si="90"/>
        <v>2823.5870091036436</v>
      </c>
      <c r="AB164" s="25">
        <v>0</v>
      </c>
      <c r="AC164" s="6">
        <v>394</v>
      </c>
      <c r="AD164" s="7">
        <f t="shared" si="72"/>
        <v>0</v>
      </c>
      <c r="AE164" s="24">
        <f t="shared" si="85"/>
        <v>0</v>
      </c>
      <c r="AF164" s="24">
        <f t="shared" si="91"/>
        <v>9.0515178269795868E-2</v>
      </c>
      <c r="AG164" s="24">
        <f t="shared" si="86"/>
        <v>125.71552537471648</v>
      </c>
      <c r="AH164" s="1"/>
      <c r="AI164" s="1"/>
      <c r="AK164" s="1"/>
      <c r="AL164" s="19"/>
      <c r="AM164" s="19"/>
      <c r="AN164" s="19"/>
      <c r="AO164" s="19"/>
      <c r="AP164" s="19"/>
    </row>
    <row r="165" spans="1:42" x14ac:dyDescent="0.25">
      <c r="A165" s="6">
        <v>53.30997</v>
      </c>
      <c r="B165" s="6">
        <v>-5.9659999999999998E-2</v>
      </c>
      <c r="C165" s="6">
        <v>106</v>
      </c>
      <c r="D165" s="7">
        <f t="shared" si="73"/>
        <v>2069.0000000000059</v>
      </c>
      <c r="E165" s="6">
        <v>0</v>
      </c>
      <c r="F165" s="6">
        <v>48.747999999999998</v>
      </c>
      <c r="G165" s="7">
        <f t="shared" si="74"/>
        <v>13.54111111111111</v>
      </c>
      <c r="H165" s="7">
        <v>1.64</v>
      </c>
      <c r="I165" s="7">
        <f t="shared" si="87"/>
        <v>325.19623272205382</v>
      </c>
      <c r="J165" s="7">
        <f t="shared" si="88"/>
        <v>0</v>
      </c>
      <c r="K165" s="7">
        <f t="shared" si="68"/>
        <v>0</v>
      </c>
      <c r="L165" s="7">
        <f t="shared" si="76"/>
        <v>91.044579996999985</v>
      </c>
      <c r="M165" s="7">
        <f t="shared" si="69"/>
        <v>0</v>
      </c>
      <c r="N165" s="7">
        <f t="shared" si="70"/>
        <v>56.809118834049379</v>
      </c>
      <c r="O165" s="7">
        <f t="shared" si="77"/>
        <v>0</v>
      </c>
      <c r="P165" s="7">
        <f t="shared" si="78"/>
        <v>0</v>
      </c>
      <c r="Q165" s="7">
        <f t="shared" si="79"/>
        <v>0</v>
      </c>
      <c r="R165" s="7">
        <f t="shared" ref="R165" si="93">-($L$2*$G$2*SIN(Q165))</f>
        <v>0</v>
      </c>
      <c r="S165" s="6">
        <f t="shared" si="80"/>
        <v>1215.73368</v>
      </c>
      <c r="T165" s="7">
        <f t="shared" si="81"/>
        <v>1.3067782599970001</v>
      </c>
      <c r="U165" s="7">
        <f t="shared" si="82"/>
        <v>17.695229616203822</v>
      </c>
      <c r="V165" s="7">
        <f t="shared" ref="V165" si="94">IF(U165&gt;6.2,6.2,U165)</f>
        <v>6.2</v>
      </c>
      <c r="W165" s="7">
        <f t="shared" ref="W165" si="95">U165-V165</f>
        <v>11.495229616203822</v>
      </c>
      <c r="X165" s="23">
        <f t="shared" si="83"/>
        <v>0</v>
      </c>
      <c r="Y165" s="23">
        <f t="shared" si="89"/>
        <v>-1991.9329369334487</v>
      </c>
      <c r="Z165" s="24">
        <f t="shared" si="84"/>
        <v>17.695229616203822</v>
      </c>
      <c r="AA165" s="24">
        <f t="shared" si="90"/>
        <v>2841.2822387198476</v>
      </c>
      <c r="AB165" s="25">
        <v>3000</v>
      </c>
      <c r="AC165" s="6">
        <v>394</v>
      </c>
      <c r="AD165" s="7">
        <f t="shared" si="72"/>
        <v>3.2142105263157896</v>
      </c>
      <c r="AE165" s="24">
        <f t="shared" si="85"/>
        <v>8.9283625730994152E-4</v>
      </c>
      <c r="AF165" s="24">
        <f t="shared" si="91"/>
        <v>9.1408014527105813E-2</v>
      </c>
      <c r="AG165" s="24">
        <f t="shared" si="86"/>
        <v>126.9555757320914</v>
      </c>
      <c r="AH165" s="1"/>
      <c r="AI165" s="1"/>
      <c r="AK165" s="1"/>
      <c r="AL165" s="19"/>
      <c r="AM165" s="19"/>
      <c r="AN165" s="19"/>
      <c r="AO165" s="19"/>
      <c r="AP165" s="19"/>
    </row>
    <row r="166" spans="1:42" x14ac:dyDescent="0.25">
      <c r="H166" s="3"/>
      <c r="I166" s="3"/>
      <c r="AE166" s="11"/>
      <c r="AF166" s="11"/>
    </row>
    <row r="167" spans="1:42" x14ac:dyDescent="0.25">
      <c r="AE167" s="11"/>
      <c r="AF167" s="11"/>
    </row>
    <row r="168" spans="1:42" x14ac:dyDescent="0.25">
      <c r="AE168" s="11"/>
      <c r="AF168" s="11"/>
    </row>
    <row r="169" spans="1:42" x14ac:dyDescent="0.25">
      <c r="AE169" s="11"/>
      <c r="AF169" s="11"/>
    </row>
    <row r="170" spans="1:42" x14ac:dyDescent="0.25">
      <c r="AE170" s="11"/>
      <c r="AF170" s="11"/>
    </row>
    <row r="171" spans="1:42" x14ac:dyDescent="0.25">
      <c r="AE171" s="11"/>
      <c r="AF171" s="11"/>
    </row>
    <row r="172" spans="1:42" x14ac:dyDescent="0.25">
      <c r="AE172" s="11"/>
      <c r="AF172" s="11"/>
    </row>
    <row r="173" spans="1:42" x14ac:dyDescent="0.25">
      <c r="AE173" s="11"/>
      <c r="AF173" s="11"/>
    </row>
    <row r="174" spans="1:42" x14ac:dyDescent="0.25">
      <c r="AE174" s="11"/>
      <c r="AF174" s="11"/>
    </row>
    <row r="175" spans="1:42" x14ac:dyDescent="0.25">
      <c r="AE175" s="11"/>
      <c r="AF175" s="11"/>
    </row>
    <row r="176" spans="1:42" x14ac:dyDescent="0.25">
      <c r="AE176" s="11"/>
      <c r="AF176" s="11"/>
    </row>
    <row r="177" spans="31:32" x14ac:dyDescent="0.25">
      <c r="AE177" s="11"/>
      <c r="AF177" s="11"/>
    </row>
    <row r="178" spans="31:32" x14ac:dyDescent="0.25">
      <c r="AE178" s="11"/>
      <c r="AF178" s="11"/>
    </row>
    <row r="179" spans="31:32" x14ac:dyDescent="0.25">
      <c r="AE179" s="11"/>
      <c r="AF179" s="11"/>
    </row>
    <row r="180" spans="31:32" x14ac:dyDescent="0.25">
      <c r="AE180" s="11"/>
      <c r="AF180" s="11"/>
    </row>
    <row r="181" spans="31:32" x14ac:dyDescent="0.25">
      <c r="AE181" s="11"/>
      <c r="AF181" s="11"/>
    </row>
    <row r="182" spans="31:32" x14ac:dyDescent="0.25">
      <c r="AE182" s="11"/>
      <c r="AF182" s="11"/>
    </row>
    <row r="183" spans="31:32" x14ac:dyDescent="0.25">
      <c r="AE183" s="11"/>
      <c r="AF183" s="11"/>
    </row>
    <row r="184" spans="31:32" x14ac:dyDescent="0.25">
      <c r="AE184" s="11"/>
      <c r="AF184" s="11"/>
    </row>
    <row r="185" spans="31:32" x14ac:dyDescent="0.25">
      <c r="AE185" s="11"/>
      <c r="AF185" s="11"/>
    </row>
    <row r="186" spans="31:32" x14ac:dyDescent="0.25">
      <c r="AE186" s="11"/>
      <c r="AF186" s="11"/>
    </row>
    <row r="187" spans="31:32" x14ac:dyDescent="0.25">
      <c r="AE187" s="11"/>
      <c r="AF187" s="11"/>
    </row>
    <row r="188" spans="31:32" x14ac:dyDescent="0.25">
      <c r="AE188" s="11"/>
      <c r="AF188" s="11"/>
    </row>
    <row r="189" spans="31:32" x14ac:dyDescent="0.25">
      <c r="AE189" s="11"/>
      <c r="AF189" s="11"/>
    </row>
    <row r="190" spans="31:32" x14ac:dyDescent="0.25">
      <c r="AE190" s="11"/>
      <c r="AF190" s="11"/>
    </row>
    <row r="191" spans="31:32" x14ac:dyDescent="0.25">
      <c r="AE191" s="11"/>
      <c r="AF191" s="11"/>
    </row>
    <row r="192" spans="31:32" x14ac:dyDescent="0.25">
      <c r="AE192" s="11"/>
      <c r="AF192" s="11"/>
    </row>
    <row r="193" spans="31:32" x14ac:dyDescent="0.25">
      <c r="AE193" s="11"/>
      <c r="AF193" s="11"/>
    </row>
    <row r="194" spans="31:32" x14ac:dyDescent="0.25">
      <c r="AE194" s="11"/>
      <c r="AF194" s="11"/>
    </row>
    <row r="195" spans="31:32" x14ac:dyDescent="0.25">
      <c r="AE195" s="11"/>
      <c r="AF195" s="11"/>
    </row>
    <row r="196" spans="31:32" x14ac:dyDescent="0.25">
      <c r="AE196" s="11"/>
      <c r="AF196" s="11"/>
    </row>
    <row r="197" spans="31:32" x14ac:dyDescent="0.25">
      <c r="AE197" s="11"/>
      <c r="AF197" s="11"/>
    </row>
    <row r="198" spans="31:32" x14ac:dyDescent="0.25">
      <c r="AE198" s="11"/>
      <c r="AF198" s="11"/>
    </row>
    <row r="199" spans="31:32" x14ac:dyDescent="0.25">
      <c r="AE199" s="11"/>
      <c r="AF199" s="11"/>
    </row>
    <row r="200" spans="31:32" x14ac:dyDescent="0.25">
      <c r="AE200" s="11"/>
      <c r="AF200" s="11"/>
    </row>
    <row r="201" spans="31:32" x14ac:dyDescent="0.25">
      <c r="AE201" s="11"/>
      <c r="AF201" s="11"/>
    </row>
    <row r="202" spans="31:32" x14ac:dyDescent="0.25">
      <c r="AE202" s="11"/>
      <c r="AF202" s="11"/>
    </row>
    <row r="203" spans="31:32" x14ac:dyDescent="0.25">
      <c r="AE203" s="11"/>
      <c r="AF203" s="11"/>
    </row>
    <row r="204" spans="31:32" x14ac:dyDescent="0.25">
      <c r="AE204" s="11"/>
      <c r="AF204" s="11"/>
    </row>
    <row r="205" spans="31:32" x14ac:dyDescent="0.25">
      <c r="AE205" s="11"/>
      <c r="AF205" s="11"/>
    </row>
    <row r="206" spans="31:32" x14ac:dyDescent="0.25">
      <c r="AE206" s="11"/>
      <c r="AF206" s="11"/>
    </row>
    <row r="207" spans="31:32" x14ac:dyDescent="0.25">
      <c r="AE207" s="11"/>
      <c r="AF207" s="11"/>
    </row>
    <row r="208" spans="31:32" x14ac:dyDescent="0.25">
      <c r="AE208" s="11"/>
      <c r="AF208" s="11"/>
    </row>
    <row r="209" spans="31:32" x14ac:dyDescent="0.25">
      <c r="AE209" s="11"/>
      <c r="AF209" s="11"/>
    </row>
    <row r="210" spans="31:32" x14ac:dyDescent="0.25">
      <c r="AE210" s="11"/>
      <c r="AF210" s="11"/>
    </row>
    <row r="211" spans="31:32" x14ac:dyDescent="0.25">
      <c r="AE211" s="11"/>
      <c r="AF211" s="11"/>
    </row>
    <row r="212" spans="31:32" x14ac:dyDescent="0.25">
      <c r="AE212" s="11"/>
      <c r="AF212" s="11"/>
    </row>
    <row r="213" spans="31:32" x14ac:dyDescent="0.25">
      <c r="AE213" s="11"/>
      <c r="AF213" s="11"/>
    </row>
    <row r="214" spans="31:32" x14ac:dyDescent="0.25">
      <c r="AE214" s="11"/>
      <c r="AF214" s="11"/>
    </row>
    <row r="215" spans="31:32" x14ac:dyDescent="0.25">
      <c r="AE215" s="11"/>
      <c r="AF215" s="11"/>
    </row>
    <row r="216" spans="31:32" x14ac:dyDescent="0.25">
      <c r="AE216" s="11"/>
      <c r="AF216" s="11"/>
    </row>
    <row r="217" spans="31:32" x14ac:dyDescent="0.25">
      <c r="AE217" s="11"/>
      <c r="AF217" s="11"/>
    </row>
    <row r="218" spans="31:32" x14ac:dyDescent="0.25">
      <c r="AE218" s="11"/>
      <c r="AF218" s="11"/>
    </row>
    <row r="219" spans="31:32" x14ac:dyDescent="0.25">
      <c r="AE219" s="11"/>
      <c r="AF219" s="11"/>
    </row>
    <row r="220" spans="31:32" x14ac:dyDescent="0.25">
      <c r="AE220" s="11"/>
      <c r="AF220" s="11"/>
    </row>
    <row r="221" spans="31:32" x14ac:dyDescent="0.25">
      <c r="AE221" s="11"/>
      <c r="AF221" s="11"/>
    </row>
    <row r="222" spans="31:32" x14ac:dyDescent="0.25">
      <c r="AE222" s="11"/>
      <c r="AF222" s="11"/>
    </row>
    <row r="223" spans="31:32" x14ac:dyDescent="0.25">
      <c r="AE223" s="11"/>
      <c r="AF223" s="11"/>
    </row>
    <row r="224" spans="31:32" x14ac:dyDescent="0.25">
      <c r="AE224" s="11"/>
      <c r="AF224" s="11"/>
    </row>
    <row r="225" spans="31:32" x14ac:dyDescent="0.25">
      <c r="AE225" s="11"/>
      <c r="AF225" s="11"/>
    </row>
    <row r="226" spans="31:32" x14ac:dyDescent="0.25">
      <c r="AE226" s="11"/>
      <c r="AF226" s="11"/>
    </row>
    <row r="227" spans="31:32" x14ac:dyDescent="0.25">
      <c r="AE227" s="11"/>
      <c r="AF227" s="11"/>
    </row>
    <row r="228" spans="31:32" x14ac:dyDescent="0.25">
      <c r="AE228" s="11"/>
      <c r="AF228" s="11"/>
    </row>
    <row r="229" spans="31:32" x14ac:dyDescent="0.25">
      <c r="AE229" s="11"/>
      <c r="AF229" s="11"/>
    </row>
    <row r="230" spans="31:32" x14ac:dyDescent="0.25">
      <c r="AE230" s="11"/>
      <c r="AF230" s="11"/>
    </row>
    <row r="231" spans="31:32" x14ac:dyDescent="0.25">
      <c r="AE231" s="11"/>
      <c r="AF231" s="11"/>
    </row>
    <row r="232" spans="31:32" x14ac:dyDescent="0.25">
      <c r="AE232" s="11"/>
      <c r="AF232" s="11"/>
    </row>
    <row r="233" spans="31:32" x14ac:dyDescent="0.25">
      <c r="AE233" s="11"/>
      <c r="AF233" s="11"/>
    </row>
    <row r="234" spans="31:32" x14ac:dyDescent="0.25">
      <c r="AE234" s="11"/>
      <c r="AF234" s="11"/>
    </row>
    <row r="235" spans="31:32" x14ac:dyDescent="0.25">
      <c r="AE235" s="11"/>
      <c r="AF235" s="11"/>
    </row>
    <row r="236" spans="31:32" x14ac:dyDescent="0.25">
      <c r="AE236" s="11"/>
      <c r="AF236" s="11"/>
    </row>
    <row r="237" spans="31:32" x14ac:dyDescent="0.25">
      <c r="AE237" s="11"/>
      <c r="AF237" s="11"/>
    </row>
    <row r="238" spans="31:32" x14ac:dyDescent="0.25">
      <c r="AE238" s="11"/>
      <c r="AF238" s="11"/>
    </row>
    <row r="239" spans="31:32" x14ac:dyDescent="0.25">
      <c r="AE239" s="11"/>
      <c r="AF239" s="11"/>
    </row>
    <row r="240" spans="31:32" x14ac:dyDescent="0.25">
      <c r="AE240" s="11"/>
      <c r="AF240" s="11"/>
    </row>
    <row r="241" spans="31:32" x14ac:dyDescent="0.25">
      <c r="AE241" s="11"/>
      <c r="AF241" s="11"/>
    </row>
    <row r="242" spans="31:32" x14ac:dyDescent="0.25">
      <c r="AE242" s="11"/>
      <c r="AF242" s="11"/>
    </row>
    <row r="243" spans="31:32" x14ac:dyDescent="0.25">
      <c r="AE243" s="11"/>
      <c r="AF243" s="11"/>
    </row>
    <row r="244" spans="31:32" x14ac:dyDescent="0.25">
      <c r="AE244" s="11"/>
      <c r="AF244" s="11"/>
    </row>
    <row r="245" spans="31:32" x14ac:dyDescent="0.25">
      <c r="AE245" s="11"/>
      <c r="AF245" s="11"/>
    </row>
    <row r="246" spans="31:32" x14ac:dyDescent="0.25">
      <c r="AE246" s="11"/>
      <c r="AF246" s="11"/>
    </row>
    <row r="247" spans="31:32" x14ac:dyDescent="0.25">
      <c r="AE247" s="11"/>
      <c r="AF247" s="11"/>
    </row>
    <row r="248" spans="31:32" x14ac:dyDescent="0.25">
      <c r="AE248" s="11"/>
      <c r="AF248" s="11"/>
    </row>
    <row r="249" spans="31:32" x14ac:dyDescent="0.25">
      <c r="AE249" s="11"/>
      <c r="AF249" s="11"/>
    </row>
    <row r="250" spans="31:32" x14ac:dyDescent="0.25">
      <c r="AE250" s="11"/>
      <c r="AF250" s="11"/>
    </row>
    <row r="251" spans="31:32" x14ac:dyDescent="0.25">
      <c r="AE251" s="11"/>
      <c r="AF251" s="11"/>
    </row>
    <row r="252" spans="31:32" x14ac:dyDescent="0.25">
      <c r="AE252" s="11"/>
      <c r="AF252" s="11"/>
    </row>
    <row r="253" spans="31:32" x14ac:dyDescent="0.25">
      <c r="AE253" s="11"/>
      <c r="AF253" s="11"/>
    </row>
    <row r="254" spans="31:32" x14ac:dyDescent="0.25">
      <c r="AE254" s="11"/>
      <c r="AF254" s="11"/>
    </row>
    <row r="255" spans="31:32" x14ac:dyDescent="0.25">
      <c r="AE255" s="11"/>
      <c r="AF255" s="11"/>
    </row>
    <row r="256" spans="31:32" x14ac:dyDescent="0.25">
      <c r="AE256" s="11"/>
      <c r="AF256" s="11"/>
    </row>
    <row r="257" spans="31:32" x14ac:dyDescent="0.25">
      <c r="AE257" s="11"/>
      <c r="AF257" s="11"/>
    </row>
    <row r="258" spans="31:32" x14ac:dyDescent="0.25">
      <c r="AE258" s="11"/>
      <c r="AF258" s="11"/>
    </row>
    <row r="259" spans="31:32" x14ac:dyDescent="0.25">
      <c r="AE259" s="11"/>
      <c r="AF259" s="11"/>
    </row>
    <row r="260" spans="31:32" x14ac:dyDescent="0.25">
      <c r="AE260" s="11"/>
      <c r="AF260" s="11"/>
    </row>
    <row r="261" spans="31:32" x14ac:dyDescent="0.25">
      <c r="AE261" s="11"/>
      <c r="AF261" s="11"/>
    </row>
    <row r="262" spans="31:32" x14ac:dyDescent="0.25">
      <c r="AE262" s="11"/>
      <c r="AF262" s="11"/>
    </row>
    <row r="263" spans="31:32" x14ac:dyDescent="0.25">
      <c r="AE263" s="11"/>
      <c r="AF263" s="11"/>
    </row>
    <row r="264" spans="31:32" x14ac:dyDescent="0.25">
      <c r="AE264" s="11"/>
      <c r="AF264" s="11"/>
    </row>
    <row r="265" spans="31:32" x14ac:dyDescent="0.25">
      <c r="AE265" s="11"/>
      <c r="AF265" s="11"/>
    </row>
    <row r="266" spans="31:32" x14ac:dyDescent="0.25">
      <c r="AE266" s="11"/>
      <c r="AF266" s="11"/>
    </row>
    <row r="267" spans="31:32" x14ac:dyDescent="0.25">
      <c r="AE267" s="11"/>
      <c r="AF267" s="11"/>
    </row>
    <row r="268" spans="31:32" x14ac:dyDescent="0.25">
      <c r="AE268" s="11"/>
      <c r="AF268" s="11"/>
    </row>
    <row r="269" spans="31:32" x14ac:dyDescent="0.25">
      <c r="AE269" s="11"/>
      <c r="AF269" s="11"/>
    </row>
    <row r="270" spans="31:32" x14ac:dyDescent="0.25">
      <c r="AE270" s="11"/>
      <c r="AF270" s="11"/>
    </row>
    <row r="271" spans="31:32" x14ac:dyDescent="0.25">
      <c r="AE271" s="11"/>
      <c r="AF271" s="11"/>
    </row>
    <row r="272" spans="31:32" x14ac:dyDescent="0.25">
      <c r="AE272" s="11"/>
      <c r="AF272" s="11"/>
    </row>
    <row r="273" spans="31:32" x14ac:dyDescent="0.25">
      <c r="AE273" s="11"/>
      <c r="AF273" s="11"/>
    </row>
    <row r="274" spans="31:32" x14ac:dyDescent="0.25">
      <c r="AE274" s="11"/>
      <c r="AF274" s="11"/>
    </row>
    <row r="275" spans="31:32" x14ac:dyDescent="0.25">
      <c r="AE275" s="11"/>
      <c r="AF275" s="11"/>
    </row>
    <row r="276" spans="31:32" x14ac:dyDescent="0.25">
      <c r="AE276" s="11"/>
      <c r="AF276" s="11"/>
    </row>
    <row r="277" spans="31:32" x14ac:dyDescent="0.25">
      <c r="AE277" s="11"/>
      <c r="AF277" s="11"/>
    </row>
    <row r="278" spans="31:32" x14ac:dyDescent="0.25">
      <c r="AE278" s="11"/>
      <c r="AF278" s="11"/>
    </row>
    <row r="279" spans="31:32" x14ac:dyDescent="0.25">
      <c r="AE279" s="11"/>
      <c r="AF279" s="11"/>
    </row>
    <row r="280" spans="31:32" x14ac:dyDescent="0.25">
      <c r="AE280" s="11"/>
      <c r="AF280" s="11"/>
    </row>
    <row r="281" spans="31:32" x14ac:dyDescent="0.25">
      <c r="AE281" s="11"/>
      <c r="AF281" s="11"/>
    </row>
    <row r="282" spans="31:32" x14ac:dyDescent="0.25">
      <c r="AE282" s="11"/>
      <c r="AF282" s="11"/>
    </row>
    <row r="283" spans="31:32" x14ac:dyDescent="0.25">
      <c r="AE283" s="11"/>
      <c r="AF283" s="11"/>
    </row>
    <row r="284" spans="31:32" x14ac:dyDescent="0.25">
      <c r="AE284" s="11"/>
      <c r="AF284" s="11"/>
    </row>
    <row r="285" spans="31:32" x14ac:dyDescent="0.25">
      <c r="AE285" s="11"/>
      <c r="AF285" s="11"/>
    </row>
    <row r="286" spans="31:32" x14ac:dyDescent="0.25">
      <c r="AE286" s="11"/>
      <c r="AF286" s="11"/>
    </row>
    <row r="287" spans="31:32" x14ac:dyDescent="0.25">
      <c r="AE287" s="11"/>
      <c r="AF287" s="11"/>
    </row>
    <row r="288" spans="31:32" x14ac:dyDescent="0.25">
      <c r="AE288" s="11"/>
      <c r="AF288" s="11"/>
    </row>
    <row r="289" spans="31:32" x14ac:dyDescent="0.25">
      <c r="AE289" s="11"/>
      <c r="AF289" s="11"/>
    </row>
    <row r="290" spans="31:32" x14ac:dyDescent="0.25">
      <c r="AE290" s="11"/>
      <c r="AF290" s="11"/>
    </row>
    <row r="291" spans="31:32" x14ac:dyDescent="0.25">
      <c r="AE291" s="11"/>
      <c r="AF291" s="11"/>
    </row>
    <row r="292" spans="31:32" x14ac:dyDescent="0.25">
      <c r="AE292" s="11"/>
      <c r="AF292" s="11"/>
    </row>
    <row r="293" spans="31:32" x14ac:dyDescent="0.25">
      <c r="AE293" s="11"/>
      <c r="AF293" s="11"/>
    </row>
    <row r="294" spans="31:32" x14ac:dyDescent="0.25">
      <c r="AE294" s="11"/>
      <c r="AF294" s="11"/>
    </row>
    <row r="295" spans="31:32" x14ac:dyDescent="0.25">
      <c r="AE295" s="11"/>
      <c r="AF295" s="11"/>
    </row>
    <row r="296" spans="31:32" x14ac:dyDescent="0.25">
      <c r="AE296" s="11"/>
      <c r="AF296" s="11"/>
    </row>
    <row r="297" spans="31:32" x14ac:dyDescent="0.25">
      <c r="AE297" s="11"/>
      <c r="AF297" s="11"/>
    </row>
    <row r="298" spans="31:32" x14ac:dyDescent="0.25">
      <c r="AE298" s="11"/>
      <c r="AF298" s="11"/>
    </row>
    <row r="299" spans="31:32" x14ac:dyDescent="0.25">
      <c r="AE299" s="11"/>
      <c r="AF299" s="11"/>
    </row>
    <row r="300" spans="31:32" x14ac:dyDescent="0.25">
      <c r="AE300" s="11"/>
      <c r="AF300" s="11"/>
    </row>
    <row r="301" spans="31:32" x14ac:dyDescent="0.25">
      <c r="AE301" s="11"/>
      <c r="AF301" s="11"/>
    </row>
    <row r="302" spans="31:32" x14ac:dyDescent="0.25">
      <c r="AE302" s="11"/>
      <c r="AF302" s="11"/>
    </row>
    <row r="303" spans="31:32" x14ac:dyDescent="0.25">
      <c r="AE303" s="11"/>
      <c r="AF303" s="11"/>
    </row>
    <row r="304" spans="31:32" x14ac:dyDescent="0.25">
      <c r="AE304" s="11"/>
      <c r="AF304" s="11"/>
    </row>
    <row r="305" spans="31:32" x14ac:dyDescent="0.25">
      <c r="AE305" s="11"/>
      <c r="AF305" s="11"/>
    </row>
    <row r="306" spans="31:32" x14ac:dyDescent="0.25">
      <c r="AE306" s="11"/>
      <c r="AF306" s="11"/>
    </row>
    <row r="307" spans="31:32" x14ac:dyDescent="0.25">
      <c r="AE307" s="11"/>
      <c r="AF307" s="11"/>
    </row>
    <row r="308" spans="31:32" x14ac:dyDescent="0.25">
      <c r="AE308" s="11"/>
      <c r="AF308" s="11"/>
    </row>
    <row r="309" spans="31:32" x14ac:dyDescent="0.25">
      <c r="AE309" s="11"/>
      <c r="AF309" s="11"/>
    </row>
    <row r="310" spans="31:32" x14ac:dyDescent="0.25">
      <c r="AE310" s="11"/>
      <c r="AF310" s="11"/>
    </row>
    <row r="311" spans="31:32" x14ac:dyDescent="0.25">
      <c r="AE311" s="11"/>
      <c r="AF311" s="11"/>
    </row>
    <row r="312" spans="31:32" x14ac:dyDescent="0.25">
      <c r="AE312" s="11"/>
      <c r="AF312" s="11"/>
    </row>
    <row r="313" spans="31:32" x14ac:dyDescent="0.25">
      <c r="AE313" s="11"/>
      <c r="AF313" s="11"/>
    </row>
    <row r="314" spans="31:32" x14ac:dyDescent="0.25">
      <c r="AE314" s="11"/>
      <c r="AF314" s="11"/>
    </row>
    <row r="315" spans="31:32" x14ac:dyDescent="0.25">
      <c r="AE315" s="11"/>
      <c r="AF315" s="11"/>
    </row>
    <row r="316" spans="31:32" x14ac:dyDescent="0.25">
      <c r="AE316" s="11"/>
      <c r="AF316" s="11"/>
    </row>
    <row r="317" spans="31:32" x14ac:dyDescent="0.25">
      <c r="AE317" s="11"/>
      <c r="AF317" s="11"/>
    </row>
    <row r="318" spans="31:32" x14ac:dyDescent="0.25">
      <c r="AE318" s="11"/>
      <c r="AF318" s="11"/>
    </row>
    <row r="319" spans="31:32" x14ac:dyDescent="0.25">
      <c r="AE319" s="11"/>
      <c r="AF319" s="11"/>
    </row>
    <row r="320" spans="31:32" x14ac:dyDescent="0.25">
      <c r="AE320" s="11"/>
      <c r="AF320" s="11"/>
    </row>
    <row r="321" spans="31:32" x14ac:dyDescent="0.25">
      <c r="AE321" s="11"/>
      <c r="AF321" s="11"/>
    </row>
    <row r="322" spans="31:32" x14ac:dyDescent="0.25">
      <c r="AE322" s="11"/>
      <c r="AF322" s="11"/>
    </row>
    <row r="323" spans="31:32" x14ac:dyDescent="0.25">
      <c r="AE323" s="11"/>
      <c r="AF323" s="11"/>
    </row>
    <row r="324" spans="31:32" x14ac:dyDescent="0.25">
      <c r="AE324" s="11"/>
      <c r="AF324" s="11"/>
    </row>
    <row r="325" spans="31:32" x14ac:dyDescent="0.25">
      <c r="AE325" s="11"/>
      <c r="AF325" s="11"/>
    </row>
    <row r="326" spans="31:32" x14ac:dyDescent="0.25">
      <c r="AE326" s="11"/>
      <c r="AF326" s="11"/>
    </row>
    <row r="327" spans="31:32" x14ac:dyDescent="0.25">
      <c r="AE327" s="11"/>
      <c r="AF327" s="11"/>
    </row>
    <row r="328" spans="31:32" x14ac:dyDescent="0.25">
      <c r="AE328" s="11"/>
      <c r="AF328" s="11"/>
    </row>
    <row r="329" spans="31:32" x14ac:dyDescent="0.25">
      <c r="AE329" s="11"/>
      <c r="AF329" s="11"/>
    </row>
    <row r="330" spans="31:32" x14ac:dyDescent="0.25">
      <c r="AE330" s="11"/>
      <c r="AF330" s="11"/>
    </row>
    <row r="331" spans="31:32" x14ac:dyDescent="0.25">
      <c r="AE331" s="11"/>
      <c r="AF331" s="11"/>
    </row>
    <row r="332" spans="31:32" x14ac:dyDescent="0.25">
      <c r="AE332" s="11"/>
      <c r="AF332" s="11"/>
    </row>
    <row r="333" spans="31:32" x14ac:dyDescent="0.25">
      <c r="AE333" s="11"/>
      <c r="AF333" s="11"/>
    </row>
    <row r="334" spans="31:32" x14ac:dyDescent="0.25">
      <c r="AE334" s="11"/>
      <c r="AF334" s="11"/>
    </row>
    <row r="335" spans="31:32" x14ac:dyDescent="0.25">
      <c r="AE335" s="11"/>
      <c r="AF335" s="11"/>
    </row>
    <row r="336" spans="31:32" x14ac:dyDescent="0.25">
      <c r="AE336" s="11"/>
      <c r="AF336" s="11"/>
    </row>
    <row r="337" spans="31:32" x14ac:dyDescent="0.25">
      <c r="AE337" s="11"/>
      <c r="AF337" s="11"/>
    </row>
    <row r="338" spans="31:32" x14ac:dyDescent="0.25">
      <c r="AE338" s="11"/>
      <c r="AF338" s="11"/>
    </row>
    <row r="339" spans="31:32" x14ac:dyDescent="0.25">
      <c r="AE339" s="11"/>
      <c r="AF339" s="11"/>
    </row>
    <row r="340" spans="31:32" x14ac:dyDescent="0.25">
      <c r="AE340" s="11"/>
      <c r="AF340" s="11"/>
    </row>
    <row r="341" spans="31:32" x14ac:dyDescent="0.25">
      <c r="AE341" s="11"/>
      <c r="AF341" s="11"/>
    </row>
    <row r="342" spans="31:32" x14ac:dyDescent="0.25">
      <c r="AE342" s="11"/>
      <c r="AF342" s="11"/>
    </row>
    <row r="343" spans="31:32" x14ac:dyDescent="0.25">
      <c r="AE343" s="11"/>
      <c r="AF343" s="11"/>
    </row>
    <row r="344" spans="31:32" x14ac:dyDescent="0.25">
      <c r="AE344" s="11"/>
      <c r="AF344" s="11"/>
    </row>
    <row r="345" spans="31:32" x14ac:dyDescent="0.25">
      <c r="AE345" s="11"/>
      <c r="AF345" s="11"/>
    </row>
    <row r="346" spans="31:32" x14ac:dyDescent="0.25">
      <c r="AE346" s="11"/>
      <c r="AF346" s="11"/>
    </row>
    <row r="347" spans="31:32" x14ac:dyDescent="0.25">
      <c r="AE347" s="11"/>
      <c r="AF347" s="11"/>
    </row>
    <row r="348" spans="31:32" x14ac:dyDescent="0.25">
      <c r="AE348" s="11"/>
      <c r="AF348" s="11"/>
    </row>
    <row r="349" spans="31:32" x14ac:dyDescent="0.25">
      <c r="AE349" s="11"/>
      <c r="AF349" s="11"/>
    </row>
    <row r="350" spans="31:32" x14ac:dyDescent="0.25">
      <c r="AE350" s="11"/>
      <c r="AF350" s="11"/>
    </row>
    <row r="351" spans="31:32" x14ac:dyDescent="0.25">
      <c r="AE351" s="11"/>
      <c r="AF351" s="11"/>
    </row>
    <row r="352" spans="31:32" x14ac:dyDescent="0.25">
      <c r="AE352" s="11"/>
      <c r="AF352" s="11"/>
    </row>
    <row r="353" spans="31:32" x14ac:dyDescent="0.25">
      <c r="AE353" s="11"/>
      <c r="AF353" s="11"/>
    </row>
    <row r="354" spans="31:32" x14ac:dyDescent="0.25">
      <c r="AE354" s="11"/>
      <c r="AF354" s="11"/>
    </row>
    <row r="355" spans="31:32" x14ac:dyDescent="0.25">
      <c r="AE355" s="11"/>
      <c r="AF355" s="11"/>
    </row>
    <row r="356" spans="31:32" x14ac:dyDescent="0.25">
      <c r="AE356" s="11"/>
      <c r="AF356" s="11"/>
    </row>
    <row r="357" spans="31:32" x14ac:dyDescent="0.25">
      <c r="AE357" s="11"/>
      <c r="AF357" s="11"/>
    </row>
    <row r="358" spans="31:32" x14ac:dyDescent="0.25">
      <c r="AE358" s="11"/>
      <c r="AF358" s="11"/>
    </row>
    <row r="359" spans="31:32" x14ac:dyDescent="0.25">
      <c r="AE359" s="11"/>
      <c r="AF359" s="11"/>
    </row>
    <row r="360" spans="31:32" x14ac:dyDescent="0.25">
      <c r="AE360" s="11"/>
      <c r="AF360" s="11"/>
    </row>
    <row r="361" spans="31:32" x14ac:dyDescent="0.25">
      <c r="AE361" s="11"/>
      <c r="AF361" s="11"/>
    </row>
    <row r="362" spans="31:32" x14ac:dyDescent="0.25">
      <c r="AE362" s="11"/>
      <c r="AF362" s="11"/>
    </row>
    <row r="363" spans="31:32" x14ac:dyDescent="0.25">
      <c r="AE363" s="11"/>
      <c r="AF363" s="11"/>
    </row>
    <row r="364" spans="31:32" x14ac:dyDescent="0.25">
      <c r="AE364" s="11"/>
      <c r="AF364" s="11"/>
    </row>
    <row r="365" spans="31:32" x14ac:dyDescent="0.25">
      <c r="AE365" s="11"/>
      <c r="AF365" s="11"/>
    </row>
    <row r="366" spans="31:32" x14ac:dyDescent="0.25">
      <c r="AE366" s="11"/>
      <c r="AF366" s="11"/>
    </row>
    <row r="367" spans="31:32" x14ac:dyDescent="0.25">
      <c r="AE367" s="11"/>
      <c r="AF367" s="11"/>
    </row>
    <row r="368" spans="31:32" x14ac:dyDescent="0.25">
      <c r="AE368" s="11"/>
      <c r="AF368" s="11"/>
    </row>
    <row r="369" spans="31:32" x14ac:dyDescent="0.25">
      <c r="AE369" s="11"/>
      <c r="AF369" s="11"/>
    </row>
    <row r="370" spans="31:32" x14ac:dyDescent="0.25">
      <c r="AE370" s="11"/>
      <c r="AF370" s="11"/>
    </row>
    <row r="371" spans="31:32" x14ac:dyDescent="0.25">
      <c r="AE371" s="11"/>
      <c r="AF371" s="11"/>
    </row>
    <row r="372" spans="31:32" x14ac:dyDescent="0.25">
      <c r="AE372" s="11"/>
      <c r="AF372" s="11"/>
    </row>
    <row r="373" spans="31:32" x14ac:dyDescent="0.25">
      <c r="AE373" s="11"/>
      <c r="AF373" s="11"/>
    </row>
    <row r="374" spans="31:32" x14ac:dyDescent="0.25">
      <c r="AE374" s="11"/>
      <c r="AF374" s="11"/>
    </row>
    <row r="375" spans="31:32" x14ac:dyDescent="0.25">
      <c r="AE375" s="11"/>
      <c r="AF375" s="11"/>
    </row>
    <row r="376" spans="31:32" x14ac:dyDescent="0.25">
      <c r="AE376" s="11"/>
      <c r="AF376" s="11"/>
    </row>
    <row r="377" spans="31:32" x14ac:dyDescent="0.25">
      <c r="AE377" s="11"/>
      <c r="AF377" s="11"/>
    </row>
    <row r="378" spans="31:32" x14ac:dyDescent="0.25">
      <c r="AE378" s="11"/>
      <c r="AF378" s="11"/>
    </row>
    <row r="379" spans="31:32" x14ac:dyDescent="0.25">
      <c r="AE379" s="11"/>
      <c r="AF379" s="11"/>
    </row>
    <row r="380" spans="31:32" x14ac:dyDescent="0.25">
      <c r="AE380" s="11"/>
      <c r="AF380" s="11"/>
    </row>
    <row r="381" spans="31:32" x14ac:dyDescent="0.25">
      <c r="AE381" s="11"/>
      <c r="AF381" s="11"/>
    </row>
    <row r="382" spans="31:32" x14ac:dyDescent="0.25">
      <c r="AE382" s="11"/>
      <c r="AF382" s="11"/>
    </row>
    <row r="383" spans="31:32" x14ac:dyDescent="0.25">
      <c r="AE383" s="11"/>
      <c r="AF383" s="11"/>
    </row>
    <row r="384" spans="31:32" x14ac:dyDescent="0.25">
      <c r="AE384" s="11"/>
      <c r="AF384" s="11"/>
    </row>
    <row r="385" spans="31:32" x14ac:dyDescent="0.25">
      <c r="AE385" s="11"/>
      <c r="AF385" s="11"/>
    </row>
    <row r="386" spans="31:32" x14ac:dyDescent="0.25">
      <c r="AE386" s="11"/>
      <c r="AF386" s="11"/>
    </row>
    <row r="387" spans="31:32" x14ac:dyDescent="0.25">
      <c r="AE387" s="11"/>
      <c r="AF387" s="11"/>
    </row>
    <row r="388" spans="31:32" x14ac:dyDescent="0.25">
      <c r="AE388" s="11"/>
      <c r="AF388" s="11"/>
    </row>
    <row r="389" spans="31:32" x14ac:dyDescent="0.25">
      <c r="AE389" s="11"/>
      <c r="AF389" s="11"/>
    </row>
    <row r="390" spans="31:32" x14ac:dyDescent="0.25">
      <c r="AE390" s="11"/>
      <c r="AF390" s="11"/>
    </row>
    <row r="391" spans="31:32" x14ac:dyDescent="0.25">
      <c r="AE391" s="11"/>
      <c r="AF391" s="11"/>
    </row>
    <row r="392" spans="31:32" x14ac:dyDescent="0.25">
      <c r="AE392" s="11"/>
      <c r="AF392" s="11"/>
    </row>
    <row r="393" spans="31:32" x14ac:dyDescent="0.25">
      <c r="AE393" s="11"/>
      <c r="AF393" s="11"/>
    </row>
    <row r="394" spans="31:32" x14ac:dyDescent="0.25">
      <c r="AE394" s="11"/>
      <c r="AF394" s="11"/>
    </row>
    <row r="395" spans="31:32" x14ac:dyDescent="0.25">
      <c r="AE395" s="11"/>
      <c r="AF395" s="11"/>
    </row>
    <row r="396" spans="31:32" x14ac:dyDescent="0.25">
      <c r="AE396" s="11"/>
      <c r="AF396" s="11"/>
    </row>
    <row r="397" spans="31:32" x14ac:dyDescent="0.25">
      <c r="AE397" s="11"/>
      <c r="AF397" s="11"/>
    </row>
    <row r="398" spans="31:32" x14ac:dyDescent="0.25">
      <c r="AE398" s="11"/>
      <c r="AF398" s="11"/>
    </row>
    <row r="399" spans="31:32" x14ac:dyDescent="0.25">
      <c r="AE399" s="11"/>
      <c r="AF399" s="11"/>
    </row>
    <row r="400" spans="31:32" x14ac:dyDescent="0.25">
      <c r="AE400" s="11"/>
      <c r="AF400" s="11"/>
    </row>
    <row r="401" spans="31:32" x14ac:dyDescent="0.25">
      <c r="AE401" s="11"/>
      <c r="AF401" s="11"/>
    </row>
    <row r="402" spans="31:32" x14ac:dyDescent="0.25">
      <c r="AE402" s="11"/>
      <c r="AF402" s="11"/>
    </row>
    <row r="403" spans="31:32" x14ac:dyDescent="0.25">
      <c r="AE403" s="11"/>
      <c r="AF403" s="11"/>
    </row>
    <row r="404" spans="31:32" x14ac:dyDescent="0.25">
      <c r="AE404" s="11"/>
      <c r="AF404" s="11"/>
    </row>
    <row r="405" spans="31:32" x14ac:dyDescent="0.25">
      <c r="AE405" s="11"/>
      <c r="AF405" s="11"/>
    </row>
    <row r="406" spans="31:32" x14ac:dyDescent="0.25">
      <c r="AE406" s="11"/>
      <c r="AF406" s="11"/>
    </row>
    <row r="407" spans="31:32" x14ac:dyDescent="0.25">
      <c r="AE407" s="11"/>
      <c r="AF407" s="11"/>
    </row>
    <row r="408" spans="31:32" x14ac:dyDescent="0.25">
      <c r="AE408" s="11"/>
      <c r="AF408" s="11"/>
    </row>
    <row r="409" spans="31:32" x14ac:dyDescent="0.25">
      <c r="AE409" s="11"/>
      <c r="AF409" s="11"/>
    </row>
    <row r="410" spans="31:32" x14ac:dyDescent="0.25">
      <c r="AE410" s="11"/>
      <c r="AF410" s="11"/>
    </row>
    <row r="411" spans="31:32" x14ac:dyDescent="0.25">
      <c r="AE411" s="11"/>
      <c r="AF411" s="11"/>
    </row>
    <row r="412" spans="31:32" x14ac:dyDescent="0.25">
      <c r="AE412" s="11"/>
      <c r="AF412" s="11"/>
    </row>
    <row r="413" spans="31:32" x14ac:dyDescent="0.25">
      <c r="AE413" s="11"/>
      <c r="AF413" s="11"/>
    </row>
    <row r="414" spans="31:32" x14ac:dyDescent="0.25">
      <c r="AE414" s="11"/>
      <c r="AF414" s="11"/>
    </row>
    <row r="415" spans="31:32" x14ac:dyDescent="0.25">
      <c r="AE415" s="11"/>
      <c r="AF415" s="11"/>
    </row>
    <row r="416" spans="31:32" x14ac:dyDescent="0.25">
      <c r="AE416" s="11"/>
      <c r="AF416" s="11"/>
    </row>
    <row r="417" spans="31:32" x14ac:dyDescent="0.25">
      <c r="AE417" s="11"/>
      <c r="AF417" s="11"/>
    </row>
    <row r="418" spans="31:32" x14ac:dyDescent="0.25">
      <c r="AE418" s="11"/>
      <c r="AF418" s="11"/>
    </row>
    <row r="419" spans="31:32" x14ac:dyDescent="0.25">
      <c r="AE419" s="11"/>
      <c r="AF419" s="11"/>
    </row>
    <row r="420" spans="31:32" x14ac:dyDescent="0.25">
      <c r="AE420" s="11"/>
      <c r="AF420" s="11"/>
    </row>
    <row r="421" spans="31:32" x14ac:dyDescent="0.25">
      <c r="AE421" s="11"/>
      <c r="AF421" s="11"/>
    </row>
    <row r="422" spans="31:32" x14ac:dyDescent="0.25">
      <c r="AE422" s="11"/>
      <c r="AF422" s="11"/>
    </row>
    <row r="423" spans="31:32" x14ac:dyDescent="0.25">
      <c r="AE423" s="11"/>
      <c r="AF423" s="11"/>
    </row>
    <row r="424" spans="31:32" x14ac:dyDescent="0.25">
      <c r="AE424" s="11"/>
      <c r="AF424" s="11"/>
    </row>
    <row r="425" spans="31:32" x14ac:dyDescent="0.25">
      <c r="AE425" s="11"/>
      <c r="AF425" s="11"/>
    </row>
    <row r="426" spans="31:32" x14ac:dyDescent="0.25">
      <c r="AE426" s="11"/>
      <c r="AF426" s="11"/>
    </row>
    <row r="427" spans="31:32" x14ac:dyDescent="0.25">
      <c r="AE427" s="11"/>
      <c r="AF427" s="11"/>
    </row>
    <row r="428" spans="31:32" x14ac:dyDescent="0.25">
      <c r="AE428" s="11"/>
      <c r="AF428" s="11"/>
    </row>
    <row r="429" spans="31:32" x14ac:dyDescent="0.25">
      <c r="AE429" s="11"/>
      <c r="AF429" s="11"/>
    </row>
    <row r="430" spans="31:32" x14ac:dyDescent="0.25">
      <c r="AE430" s="11"/>
      <c r="AF430" s="11"/>
    </row>
    <row r="431" spans="31:32" x14ac:dyDescent="0.25">
      <c r="AE431" s="11"/>
      <c r="AF431" s="11"/>
    </row>
    <row r="432" spans="31:32" x14ac:dyDescent="0.25">
      <c r="AE432" s="11"/>
      <c r="AF432" s="11"/>
    </row>
    <row r="433" spans="31:32" x14ac:dyDescent="0.25">
      <c r="AE433" s="11"/>
      <c r="AF433" s="11"/>
    </row>
    <row r="434" spans="31:32" x14ac:dyDescent="0.25">
      <c r="AE434" s="11"/>
      <c r="AF434" s="11"/>
    </row>
    <row r="435" spans="31:32" x14ac:dyDescent="0.25">
      <c r="AE435" s="11"/>
      <c r="AF435" s="11"/>
    </row>
    <row r="436" spans="31:32" x14ac:dyDescent="0.25">
      <c r="AE436" s="11"/>
      <c r="AF436" s="11"/>
    </row>
    <row r="437" spans="31:32" x14ac:dyDescent="0.25">
      <c r="AE437" s="11"/>
      <c r="AF437" s="11"/>
    </row>
    <row r="438" spans="31:32" x14ac:dyDescent="0.25">
      <c r="AE438" s="11"/>
      <c r="AF438" s="11"/>
    </row>
    <row r="439" spans="31:32" x14ac:dyDescent="0.25">
      <c r="AE439" s="11"/>
      <c r="AF439" s="11"/>
    </row>
    <row r="440" spans="31:32" x14ac:dyDescent="0.25">
      <c r="AE440" s="11"/>
      <c r="AF440" s="11"/>
    </row>
    <row r="441" spans="31:32" x14ac:dyDescent="0.25">
      <c r="AE441" s="11"/>
      <c r="AF441" s="11"/>
    </row>
    <row r="442" spans="31:32" x14ac:dyDescent="0.25">
      <c r="AE442" s="11"/>
      <c r="AF442" s="11"/>
    </row>
    <row r="443" spans="31:32" x14ac:dyDescent="0.25">
      <c r="AE443" s="11"/>
      <c r="AF443" s="11"/>
    </row>
    <row r="444" spans="31:32" x14ac:dyDescent="0.25">
      <c r="AE444" s="11"/>
      <c r="AF444" s="11"/>
    </row>
    <row r="445" spans="31:32" x14ac:dyDescent="0.25">
      <c r="AE445" s="11"/>
      <c r="AF445" s="11"/>
    </row>
    <row r="446" spans="31:32" x14ac:dyDescent="0.25">
      <c r="AE446" s="11"/>
      <c r="AF446" s="11"/>
    </row>
    <row r="447" spans="31:32" x14ac:dyDescent="0.25">
      <c r="AE447" s="11"/>
      <c r="AF447" s="11"/>
    </row>
    <row r="448" spans="31:32" x14ac:dyDescent="0.25">
      <c r="AE448" s="11"/>
      <c r="AF448" s="11"/>
    </row>
    <row r="449" spans="31:32" x14ac:dyDescent="0.25">
      <c r="AE449" s="11"/>
      <c r="AF449" s="11"/>
    </row>
    <row r="450" spans="31:32" x14ac:dyDescent="0.25">
      <c r="AE450" s="11"/>
      <c r="AF450" s="11"/>
    </row>
    <row r="451" spans="31:32" x14ac:dyDescent="0.25">
      <c r="AE451" s="11"/>
      <c r="AF451" s="11"/>
    </row>
    <row r="452" spans="31:32" x14ac:dyDescent="0.25">
      <c r="AE452" s="11"/>
      <c r="AF452" s="11"/>
    </row>
    <row r="453" spans="31:32" x14ac:dyDescent="0.25">
      <c r="AE453" s="11"/>
      <c r="AF453" s="11"/>
    </row>
    <row r="454" spans="31:32" x14ac:dyDescent="0.25">
      <c r="AE454" s="11"/>
      <c r="AF454" s="11"/>
    </row>
    <row r="455" spans="31:32" x14ac:dyDescent="0.25">
      <c r="AE455" s="11"/>
      <c r="AF455" s="11"/>
    </row>
    <row r="456" spans="31:32" x14ac:dyDescent="0.25">
      <c r="AE456" s="11"/>
      <c r="AF456" s="11"/>
    </row>
    <row r="457" spans="31:32" x14ac:dyDescent="0.25">
      <c r="AE457" s="11"/>
      <c r="AF457" s="11"/>
    </row>
    <row r="458" spans="31:32" x14ac:dyDescent="0.25">
      <c r="AE458" s="11"/>
      <c r="AF458" s="11"/>
    </row>
    <row r="459" spans="31:32" x14ac:dyDescent="0.25">
      <c r="AE459" s="11"/>
      <c r="AF459" s="11"/>
    </row>
    <row r="460" spans="31:32" x14ac:dyDescent="0.25">
      <c r="AE460" s="11"/>
      <c r="AF460" s="11"/>
    </row>
    <row r="461" spans="31:32" x14ac:dyDescent="0.25">
      <c r="AE461" s="11"/>
      <c r="AF461" s="11"/>
    </row>
    <row r="462" spans="31:32" x14ac:dyDescent="0.25">
      <c r="AE462" s="11"/>
      <c r="AF462" s="11"/>
    </row>
    <row r="463" spans="31:32" x14ac:dyDescent="0.25">
      <c r="AE463" s="11"/>
      <c r="AF463" s="11"/>
    </row>
    <row r="464" spans="31:32" x14ac:dyDescent="0.25">
      <c r="AE464" s="11"/>
      <c r="AF464" s="11"/>
    </row>
    <row r="465" spans="31:32" x14ac:dyDescent="0.25">
      <c r="AE465" s="11"/>
      <c r="AF465" s="11"/>
    </row>
    <row r="466" spans="31:32" x14ac:dyDescent="0.25">
      <c r="AE466" s="11"/>
      <c r="AF466" s="11"/>
    </row>
    <row r="467" spans="31:32" x14ac:dyDescent="0.25">
      <c r="AE467" s="11"/>
      <c r="AF467" s="11"/>
    </row>
    <row r="468" spans="31:32" x14ac:dyDescent="0.25">
      <c r="AE468" s="11"/>
      <c r="AF468" s="11"/>
    </row>
    <row r="469" spans="31:32" x14ac:dyDescent="0.25">
      <c r="AE469" s="11"/>
      <c r="AF469" s="11"/>
    </row>
    <row r="470" spans="31:32" x14ac:dyDescent="0.25">
      <c r="AE470" s="11"/>
      <c r="AF470" s="11"/>
    </row>
    <row r="471" spans="31:32" x14ac:dyDescent="0.25">
      <c r="AE471" s="11"/>
      <c r="AF471" s="11"/>
    </row>
    <row r="472" spans="31:32" x14ac:dyDescent="0.25">
      <c r="AE472" s="11"/>
      <c r="AF472" s="11"/>
    </row>
    <row r="473" spans="31:32" x14ac:dyDescent="0.25">
      <c r="AE473" s="11"/>
      <c r="AF473" s="11"/>
    </row>
    <row r="474" spans="31:32" x14ac:dyDescent="0.25">
      <c r="AE474" s="11"/>
      <c r="AF474" s="11"/>
    </row>
    <row r="475" spans="31:32" x14ac:dyDescent="0.25">
      <c r="AE475" s="11"/>
      <c r="AF475" s="11"/>
    </row>
    <row r="476" spans="31:32" x14ac:dyDescent="0.25">
      <c r="AE476" s="11"/>
      <c r="AF476" s="11"/>
    </row>
    <row r="477" spans="31:32" x14ac:dyDescent="0.25">
      <c r="AE477" s="11"/>
      <c r="AF477" s="11"/>
    </row>
    <row r="478" spans="31:32" x14ac:dyDescent="0.25">
      <c r="AE478" s="11"/>
      <c r="AF478" s="11"/>
    </row>
    <row r="479" spans="31:32" x14ac:dyDescent="0.25">
      <c r="AE479" s="11"/>
      <c r="AF479" s="11"/>
    </row>
    <row r="480" spans="31:32" x14ac:dyDescent="0.25">
      <c r="AE480" s="11"/>
      <c r="AF480" s="11"/>
    </row>
    <row r="481" spans="31:32" x14ac:dyDescent="0.25">
      <c r="AE481" s="11"/>
      <c r="AF481" s="11"/>
    </row>
  </sheetData>
  <mergeCells count="6">
    <mergeCell ref="AI63:AJ63"/>
    <mergeCell ref="A2:C2"/>
    <mergeCell ref="P1:R1"/>
    <mergeCell ref="T1:V1"/>
    <mergeCell ref="A1:C1"/>
    <mergeCell ref="AA5:AD5"/>
  </mergeCells>
  <pageMargins left="0.75" right="0.75" top="1" bottom="1" header="0.5" footer="0.5"/>
  <pageSetup paperSize="9" scale="10" firstPageNumber="0" fitToWidth="0" fitToHeight="0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329F3-F488-40E3-865D-D21E7943824E}">
  <dimension ref="I1:AD53"/>
  <sheetViews>
    <sheetView zoomScale="70" zoomScaleNormal="70" workbookViewId="0">
      <selection activeCell="M27" sqref="M27"/>
    </sheetView>
  </sheetViews>
  <sheetFormatPr defaultRowHeight="13.2" x14ac:dyDescent="0.25"/>
  <cols>
    <col min="10" max="10" width="12.21875" bestFit="1" customWidth="1"/>
    <col min="11" max="11" width="10.88671875" bestFit="1" customWidth="1"/>
    <col min="16" max="16" width="11.21875" bestFit="1" customWidth="1"/>
    <col min="17" max="17" width="11.5546875" bestFit="1" customWidth="1"/>
  </cols>
  <sheetData>
    <row r="1" spans="15:30" x14ac:dyDescent="0.25">
      <c r="O1" s="15" t="s">
        <v>41</v>
      </c>
      <c r="P1" s="128" t="s">
        <v>30</v>
      </c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</row>
    <row r="2" spans="15:30" x14ac:dyDescent="0.25">
      <c r="O2" s="15" t="s">
        <v>36</v>
      </c>
      <c r="P2" s="39">
        <v>0</v>
      </c>
      <c r="Q2" s="39">
        <v>0.7</v>
      </c>
      <c r="R2" s="39">
        <v>1.3</v>
      </c>
      <c r="S2" s="39">
        <v>2.1</v>
      </c>
      <c r="T2" s="39">
        <v>3.4</v>
      </c>
      <c r="U2" s="39">
        <v>4.7</v>
      </c>
      <c r="V2" s="39">
        <v>6.2</v>
      </c>
      <c r="W2" s="39">
        <v>8</v>
      </c>
      <c r="X2" s="39">
        <v>9.4</v>
      </c>
      <c r="Y2" s="39">
        <v>11</v>
      </c>
      <c r="Z2" s="39">
        <v>12.7</v>
      </c>
      <c r="AA2" s="39">
        <v>13.2</v>
      </c>
      <c r="AB2" s="39">
        <v>13.6</v>
      </c>
      <c r="AC2" s="39">
        <v>13.2</v>
      </c>
      <c r="AD2" s="39">
        <v>12.6</v>
      </c>
    </row>
    <row r="3" spans="15:30" x14ac:dyDescent="0.25">
      <c r="O3" s="15">
        <v>500</v>
      </c>
      <c r="P3" s="14">
        <v>600</v>
      </c>
      <c r="Q3" s="14">
        <v>595</v>
      </c>
      <c r="R3" s="14">
        <v>584</v>
      </c>
      <c r="S3" s="14">
        <v>577</v>
      </c>
      <c r="T3" s="14">
        <v>566</v>
      </c>
      <c r="U3" s="14">
        <v>557</v>
      </c>
      <c r="V3" s="14">
        <v>544</v>
      </c>
      <c r="W3" s="14">
        <v>530</v>
      </c>
      <c r="X3" s="14">
        <v>517</v>
      </c>
      <c r="Y3" s="14">
        <v>500</v>
      </c>
      <c r="Z3" s="14">
        <v>486</v>
      </c>
      <c r="AA3" s="14">
        <v>463</v>
      </c>
      <c r="AB3" s="14">
        <v>450</v>
      </c>
      <c r="AC3" s="14">
        <v>425</v>
      </c>
      <c r="AD3" s="14">
        <v>431</v>
      </c>
    </row>
    <row r="4" spans="15:30" x14ac:dyDescent="0.25">
      <c r="O4" s="15">
        <v>1000</v>
      </c>
      <c r="P4" s="14">
        <v>600</v>
      </c>
      <c r="Q4" s="14">
        <v>595</v>
      </c>
      <c r="R4" s="14">
        <v>580</v>
      </c>
      <c r="S4" s="14">
        <v>575</v>
      </c>
      <c r="T4" s="14">
        <v>565</v>
      </c>
      <c r="U4" s="14">
        <v>550</v>
      </c>
      <c r="V4" s="14">
        <v>521</v>
      </c>
      <c r="W4" s="14">
        <v>515</v>
      </c>
      <c r="X4" s="14">
        <v>505</v>
      </c>
      <c r="Y4" s="14">
        <v>489</v>
      </c>
      <c r="Z4" s="14">
        <v>478</v>
      </c>
      <c r="AA4" s="14">
        <v>463</v>
      </c>
      <c r="AB4" s="14">
        <v>450</v>
      </c>
      <c r="AC4" s="14">
        <v>425</v>
      </c>
      <c r="AD4" s="14">
        <v>425</v>
      </c>
    </row>
    <row r="5" spans="15:30" x14ac:dyDescent="0.25">
      <c r="O5" s="15">
        <v>1500</v>
      </c>
      <c r="P5" s="14">
        <v>600</v>
      </c>
      <c r="Q5" s="14">
        <v>588</v>
      </c>
      <c r="R5" s="14">
        <v>568</v>
      </c>
      <c r="S5" s="14">
        <v>564</v>
      </c>
      <c r="T5" s="14">
        <v>523</v>
      </c>
      <c r="U5" s="14">
        <v>495</v>
      </c>
      <c r="V5" s="14">
        <v>471</v>
      </c>
      <c r="W5" s="14">
        <v>487</v>
      </c>
      <c r="X5" s="14">
        <v>480</v>
      </c>
      <c r="Y5" s="14">
        <v>471</v>
      </c>
      <c r="Z5" s="14">
        <v>460</v>
      </c>
      <c r="AA5" s="14">
        <v>459</v>
      </c>
      <c r="AB5" s="14">
        <v>450</v>
      </c>
      <c r="AC5" s="14">
        <v>425</v>
      </c>
      <c r="AD5" s="14">
        <v>425</v>
      </c>
    </row>
    <row r="6" spans="15:30" x14ac:dyDescent="0.25">
      <c r="O6" s="15">
        <v>2000</v>
      </c>
      <c r="P6" s="14">
        <v>565</v>
      </c>
      <c r="Q6" s="14">
        <v>563</v>
      </c>
      <c r="R6" s="14">
        <v>563</v>
      </c>
      <c r="S6" s="14">
        <v>446</v>
      </c>
      <c r="T6" s="14">
        <v>439</v>
      </c>
      <c r="U6" s="14">
        <v>433</v>
      </c>
      <c r="V6" s="14">
        <v>429</v>
      </c>
      <c r="W6" s="14">
        <v>424</v>
      </c>
      <c r="X6" s="14">
        <v>433</v>
      </c>
      <c r="Y6" s="14">
        <v>438</v>
      </c>
      <c r="Z6" s="14">
        <v>442</v>
      </c>
      <c r="AA6" s="14">
        <v>451</v>
      </c>
      <c r="AB6" s="14">
        <v>445</v>
      </c>
      <c r="AC6" s="14">
        <v>425</v>
      </c>
      <c r="AD6" s="14">
        <v>425</v>
      </c>
    </row>
    <row r="7" spans="15:30" x14ac:dyDescent="0.25">
      <c r="O7" s="15">
        <v>2500</v>
      </c>
      <c r="P7" s="14">
        <v>550</v>
      </c>
      <c r="Q7" s="14">
        <v>548</v>
      </c>
      <c r="R7" s="14">
        <v>552</v>
      </c>
      <c r="S7" s="14">
        <v>434</v>
      </c>
      <c r="T7" s="14">
        <v>428</v>
      </c>
      <c r="U7" s="14">
        <v>424</v>
      </c>
      <c r="V7" s="14">
        <v>406</v>
      </c>
      <c r="W7" s="14">
        <v>403</v>
      </c>
      <c r="X7" s="14">
        <v>413</v>
      </c>
      <c r="Y7" s="14">
        <v>433</v>
      </c>
      <c r="Z7" s="14">
        <v>438</v>
      </c>
      <c r="AA7" s="14">
        <v>440</v>
      </c>
      <c r="AB7" s="14">
        <v>442</v>
      </c>
      <c r="AC7" s="14">
        <v>423</v>
      </c>
      <c r="AD7" s="14">
        <v>425</v>
      </c>
    </row>
    <row r="8" spans="15:30" x14ac:dyDescent="0.25">
      <c r="O8" s="15">
        <v>3000</v>
      </c>
      <c r="P8" s="14">
        <v>542</v>
      </c>
      <c r="Q8" s="14">
        <v>546</v>
      </c>
      <c r="R8" s="14">
        <v>531</v>
      </c>
      <c r="S8" s="14">
        <v>427</v>
      </c>
      <c r="T8" s="14">
        <v>419</v>
      </c>
      <c r="U8" s="14">
        <v>401</v>
      </c>
      <c r="V8" s="14">
        <v>394</v>
      </c>
      <c r="W8" s="14">
        <v>394</v>
      </c>
      <c r="X8" s="14">
        <v>401</v>
      </c>
      <c r="Y8" s="14">
        <v>429</v>
      </c>
      <c r="Z8" s="14">
        <v>436</v>
      </c>
      <c r="AA8" s="14">
        <v>440</v>
      </c>
      <c r="AB8" s="14">
        <v>438</v>
      </c>
      <c r="AC8" s="14">
        <v>420</v>
      </c>
      <c r="AD8" s="14">
        <v>425</v>
      </c>
    </row>
    <row r="9" spans="15:30" x14ac:dyDescent="0.25">
      <c r="O9" s="15">
        <v>3500</v>
      </c>
      <c r="P9" s="14">
        <v>540</v>
      </c>
      <c r="Q9" s="14">
        <v>538</v>
      </c>
      <c r="R9" s="14">
        <v>515</v>
      </c>
      <c r="S9" s="14">
        <v>425</v>
      </c>
      <c r="T9" s="14">
        <v>418</v>
      </c>
      <c r="U9" s="14">
        <v>402</v>
      </c>
      <c r="V9" s="14">
        <v>394</v>
      </c>
      <c r="W9" s="14">
        <v>394</v>
      </c>
      <c r="X9" s="14">
        <v>394</v>
      </c>
      <c r="Y9" s="14">
        <v>423</v>
      </c>
      <c r="Z9" s="14">
        <v>434</v>
      </c>
      <c r="AA9" s="14">
        <v>436</v>
      </c>
      <c r="AB9" s="14">
        <v>433</v>
      </c>
      <c r="AC9" s="14">
        <v>418</v>
      </c>
      <c r="AD9" s="14">
        <v>425</v>
      </c>
    </row>
    <row r="10" spans="15:30" x14ac:dyDescent="0.25">
      <c r="O10" s="15">
        <v>4000</v>
      </c>
      <c r="P10" s="14">
        <v>533</v>
      </c>
      <c r="Q10" s="14">
        <v>534</v>
      </c>
      <c r="R10" s="14">
        <v>507</v>
      </c>
      <c r="S10" s="14">
        <v>426</v>
      </c>
      <c r="T10" s="14">
        <v>419</v>
      </c>
      <c r="U10" s="14">
        <v>415</v>
      </c>
      <c r="V10" s="14">
        <v>394</v>
      </c>
      <c r="W10" s="14">
        <v>394</v>
      </c>
      <c r="X10" s="14">
        <v>394</v>
      </c>
      <c r="Y10" s="14">
        <v>420</v>
      </c>
      <c r="Z10" s="14">
        <v>423</v>
      </c>
      <c r="AA10" s="14">
        <v>432</v>
      </c>
      <c r="AB10" s="14">
        <v>429</v>
      </c>
      <c r="AC10" s="14">
        <v>417</v>
      </c>
      <c r="AD10" s="14">
        <v>425</v>
      </c>
    </row>
    <row r="11" spans="15:30" x14ac:dyDescent="0.25">
      <c r="O11" s="15">
        <v>4500</v>
      </c>
      <c r="P11" s="14">
        <v>524</v>
      </c>
      <c r="Q11" s="14">
        <v>530</v>
      </c>
      <c r="R11" s="14">
        <v>503</v>
      </c>
      <c r="S11" s="14">
        <v>438</v>
      </c>
      <c r="T11" s="14">
        <v>431</v>
      </c>
      <c r="U11" s="14">
        <v>422</v>
      </c>
      <c r="V11" s="14">
        <v>394</v>
      </c>
      <c r="W11" s="14">
        <v>394</v>
      </c>
      <c r="X11" s="14">
        <v>415</v>
      </c>
      <c r="Y11" s="14">
        <v>420</v>
      </c>
      <c r="Z11" s="14">
        <v>426</v>
      </c>
      <c r="AA11" s="14">
        <v>430</v>
      </c>
      <c r="AB11" s="14">
        <v>423</v>
      </c>
      <c r="AC11" s="14">
        <v>416</v>
      </c>
      <c r="AD11" s="14">
        <v>425</v>
      </c>
    </row>
    <row r="12" spans="15:30" x14ac:dyDescent="0.25">
      <c r="O12" s="15">
        <v>5000</v>
      </c>
      <c r="P12" s="14">
        <v>490</v>
      </c>
      <c r="Q12" s="14">
        <v>488</v>
      </c>
      <c r="R12" s="14">
        <v>486</v>
      </c>
      <c r="S12" s="14">
        <v>455</v>
      </c>
      <c r="T12" s="14">
        <v>442</v>
      </c>
      <c r="U12" s="14">
        <v>433</v>
      </c>
      <c r="V12" s="14">
        <v>421</v>
      </c>
      <c r="W12" s="14">
        <v>415</v>
      </c>
      <c r="X12" s="14">
        <v>418</v>
      </c>
      <c r="Y12" s="14">
        <v>423</v>
      </c>
      <c r="Z12" s="14">
        <v>427</v>
      </c>
      <c r="AA12" s="14">
        <v>429</v>
      </c>
      <c r="AB12" s="14">
        <v>420</v>
      </c>
      <c r="AC12" s="14">
        <v>417</v>
      </c>
      <c r="AD12" s="14">
        <v>425</v>
      </c>
    </row>
    <row r="13" spans="15:30" x14ac:dyDescent="0.25">
      <c r="O13" s="15">
        <v>5500</v>
      </c>
      <c r="P13" s="14">
        <v>531</v>
      </c>
      <c r="Q13" s="14">
        <v>525</v>
      </c>
      <c r="R13" s="14">
        <v>514</v>
      </c>
      <c r="S13" s="14">
        <v>473</v>
      </c>
      <c r="T13" s="14">
        <v>461</v>
      </c>
      <c r="U13" s="14">
        <v>455</v>
      </c>
      <c r="V13" s="14">
        <v>423</v>
      </c>
      <c r="W13" s="14">
        <v>423</v>
      </c>
      <c r="X13" s="14">
        <v>426</v>
      </c>
      <c r="Y13" s="14">
        <v>426</v>
      </c>
      <c r="Z13" s="14">
        <v>423</v>
      </c>
      <c r="AA13" s="14">
        <v>424</v>
      </c>
      <c r="AB13" s="14">
        <v>420</v>
      </c>
      <c r="AC13" s="14">
        <v>419</v>
      </c>
      <c r="AD13" s="14">
        <v>425</v>
      </c>
    </row>
    <row r="14" spans="15:30" x14ac:dyDescent="0.25">
      <c r="O14" s="15">
        <v>6000</v>
      </c>
      <c r="P14" s="14">
        <v>562</v>
      </c>
      <c r="Q14" s="14">
        <v>566</v>
      </c>
      <c r="R14" s="14">
        <v>561</v>
      </c>
      <c r="S14" s="14">
        <v>523</v>
      </c>
      <c r="T14" s="14">
        <v>493</v>
      </c>
      <c r="U14" s="14">
        <v>465</v>
      </c>
      <c r="V14" s="14">
        <v>425</v>
      </c>
      <c r="W14" s="14">
        <v>425</v>
      </c>
      <c r="X14" s="14">
        <v>423</v>
      </c>
      <c r="Y14" s="14">
        <v>422</v>
      </c>
      <c r="Z14" s="14">
        <v>425</v>
      </c>
      <c r="AA14" s="14">
        <v>426</v>
      </c>
      <c r="AB14" s="14">
        <v>423</v>
      </c>
      <c r="AC14" s="14">
        <v>420</v>
      </c>
      <c r="AD14" s="14">
        <v>425</v>
      </c>
    </row>
    <row r="15" spans="15:30" x14ac:dyDescent="0.25">
      <c r="O15" s="15">
        <v>6500</v>
      </c>
      <c r="P15" s="14">
        <v>610</v>
      </c>
      <c r="Q15" s="14">
        <v>608</v>
      </c>
      <c r="R15" s="14">
        <v>587</v>
      </c>
      <c r="S15" s="14">
        <v>554</v>
      </c>
      <c r="T15" s="14">
        <v>537</v>
      </c>
      <c r="U15" s="14">
        <v>492</v>
      </c>
      <c r="V15" s="14">
        <v>466</v>
      </c>
      <c r="W15" s="14">
        <v>461</v>
      </c>
      <c r="X15" s="14">
        <v>455</v>
      </c>
      <c r="Y15" s="14">
        <v>446</v>
      </c>
      <c r="Z15" s="14">
        <v>421</v>
      </c>
      <c r="AA15" s="14">
        <v>426</v>
      </c>
      <c r="AB15" s="14">
        <v>426</v>
      </c>
      <c r="AC15" s="14">
        <v>422</v>
      </c>
      <c r="AD15" s="14">
        <v>425</v>
      </c>
    </row>
    <row r="16" spans="15:30" x14ac:dyDescent="0.25">
      <c r="O16" s="15">
        <v>7000</v>
      </c>
      <c r="P16" s="14">
        <v>640</v>
      </c>
      <c r="Q16" s="14">
        <v>630</v>
      </c>
      <c r="R16" s="14">
        <v>608</v>
      </c>
      <c r="S16" s="14">
        <v>579</v>
      </c>
      <c r="T16" s="14">
        <v>551</v>
      </c>
      <c r="U16" s="14">
        <v>515</v>
      </c>
      <c r="V16" s="14">
        <v>491</v>
      </c>
      <c r="W16" s="14">
        <v>488</v>
      </c>
      <c r="X16" s="14">
        <v>480</v>
      </c>
      <c r="Y16" s="14">
        <v>471</v>
      </c>
      <c r="Z16" s="14">
        <v>450</v>
      </c>
      <c r="AA16" s="14">
        <v>430</v>
      </c>
      <c r="AB16" s="14">
        <v>432</v>
      </c>
      <c r="AC16" s="14">
        <v>424</v>
      </c>
      <c r="AD16" s="14">
        <v>425</v>
      </c>
    </row>
    <row r="17" spans="9:30" x14ac:dyDescent="0.25">
      <c r="O17" s="39">
        <v>7500</v>
      </c>
      <c r="P17" s="14">
        <v>640</v>
      </c>
      <c r="Q17" s="14">
        <v>632</v>
      </c>
      <c r="R17" s="14">
        <v>615</v>
      </c>
      <c r="S17" s="14">
        <v>591</v>
      </c>
      <c r="T17" s="14">
        <v>574</v>
      </c>
      <c r="U17" s="14">
        <v>530</v>
      </c>
      <c r="V17" s="14">
        <v>512</v>
      </c>
      <c r="W17" s="14">
        <v>496</v>
      </c>
      <c r="X17" s="14">
        <v>484</v>
      </c>
      <c r="Y17" s="14">
        <v>471</v>
      </c>
      <c r="Z17" s="14">
        <v>450</v>
      </c>
      <c r="AA17" s="14">
        <v>437</v>
      </c>
      <c r="AB17" s="14">
        <v>425</v>
      </c>
      <c r="AC17" s="14">
        <v>425</v>
      </c>
      <c r="AD17" s="14">
        <v>425</v>
      </c>
    </row>
    <row r="18" spans="9:30" x14ac:dyDescent="0.25"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78"/>
      <c r="AD18" s="78"/>
    </row>
    <row r="20" spans="9:30" x14ac:dyDescent="0.25">
      <c r="O20" s="16" t="s">
        <v>41</v>
      </c>
      <c r="P20" s="128" t="s">
        <v>37</v>
      </c>
      <c r="Q20" s="128"/>
      <c r="R20" s="128"/>
      <c r="S20" s="128"/>
      <c r="T20" s="128"/>
      <c r="U20" s="128"/>
      <c r="V20" s="128"/>
      <c r="W20" s="128"/>
      <c r="X20" s="128"/>
      <c r="Y20" s="128"/>
      <c r="Z20" s="128"/>
      <c r="AA20" s="128"/>
      <c r="AB20" s="128"/>
      <c r="AC20" s="128"/>
      <c r="AD20" s="128"/>
    </row>
    <row r="21" spans="9:30" x14ac:dyDescent="0.25">
      <c r="O21" s="16" t="s">
        <v>36</v>
      </c>
      <c r="P21" s="39">
        <v>5</v>
      </c>
      <c r="Q21" s="39">
        <v>7</v>
      </c>
      <c r="R21" s="39">
        <v>8</v>
      </c>
      <c r="S21" s="39">
        <v>10</v>
      </c>
      <c r="T21" s="39">
        <v>13</v>
      </c>
      <c r="U21" s="39">
        <v>15</v>
      </c>
      <c r="V21" s="39">
        <v>17</v>
      </c>
      <c r="W21" s="39">
        <v>19</v>
      </c>
      <c r="X21" s="39">
        <v>20</v>
      </c>
      <c r="Y21" s="39">
        <v>21</v>
      </c>
      <c r="Z21" s="39">
        <v>22</v>
      </c>
      <c r="AA21" s="39">
        <v>21</v>
      </c>
      <c r="AB21" s="39">
        <v>20</v>
      </c>
      <c r="AC21" s="39">
        <v>18</v>
      </c>
      <c r="AD21" s="39">
        <v>16</v>
      </c>
    </row>
    <row r="22" spans="9:30" x14ac:dyDescent="0.25">
      <c r="O22" s="16">
        <v>500</v>
      </c>
      <c r="P22" s="14">
        <f>P3-250</f>
        <v>350</v>
      </c>
      <c r="Q22" s="14">
        <f t="shared" ref="Q22:AD22" si="0">Q3-250</f>
        <v>345</v>
      </c>
      <c r="R22" s="14">
        <f t="shared" si="0"/>
        <v>334</v>
      </c>
      <c r="S22" s="14">
        <f t="shared" si="0"/>
        <v>327</v>
      </c>
      <c r="T22" s="14">
        <f t="shared" si="0"/>
        <v>316</v>
      </c>
      <c r="U22" s="14">
        <f t="shared" si="0"/>
        <v>307</v>
      </c>
      <c r="V22" s="14">
        <f t="shared" si="0"/>
        <v>294</v>
      </c>
      <c r="W22" s="14">
        <f t="shared" si="0"/>
        <v>280</v>
      </c>
      <c r="X22" s="14">
        <f t="shared" si="0"/>
        <v>267</v>
      </c>
      <c r="Y22" s="14">
        <f t="shared" si="0"/>
        <v>250</v>
      </c>
      <c r="Z22" s="14">
        <f t="shared" si="0"/>
        <v>236</v>
      </c>
      <c r="AA22" s="14">
        <f t="shared" si="0"/>
        <v>213</v>
      </c>
      <c r="AB22" s="14">
        <f t="shared" si="0"/>
        <v>200</v>
      </c>
      <c r="AC22" s="14">
        <f t="shared" si="0"/>
        <v>175</v>
      </c>
      <c r="AD22" s="14">
        <f t="shared" si="0"/>
        <v>181</v>
      </c>
    </row>
    <row r="23" spans="9:30" x14ac:dyDescent="0.25">
      <c r="O23" s="16">
        <v>1000</v>
      </c>
      <c r="P23" s="14">
        <f t="shared" ref="P23:AD36" si="1">P4-250</f>
        <v>350</v>
      </c>
      <c r="Q23" s="14">
        <f t="shared" si="1"/>
        <v>345</v>
      </c>
      <c r="R23" s="14">
        <f t="shared" si="1"/>
        <v>330</v>
      </c>
      <c r="S23" s="14">
        <f t="shared" si="1"/>
        <v>325</v>
      </c>
      <c r="T23" s="14">
        <f t="shared" si="1"/>
        <v>315</v>
      </c>
      <c r="U23" s="14">
        <f t="shared" si="1"/>
        <v>300</v>
      </c>
      <c r="V23" s="14">
        <f t="shared" si="1"/>
        <v>271</v>
      </c>
      <c r="W23" s="14">
        <f t="shared" si="1"/>
        <v>265</v>
      </c>
      <c r="X23" s="14">
        <f t="shared" si="1"/>
        <v>255</v>
      </c>
      <c r="Y23" s="14">
        <f t="shared" si="1"/>
        <v>239</v>
      </c>
      <c r="Z23" s="14">
        <f t="shared" si="1"/>
        <v>228</v>
      </c>
      <c r="AA23" s="14">
        <f t="shared" si="1"/>
        <v>213</v>
      </c>
      <c r="AB23" s="14">
        <f t="shared" si="1"/>
        <v>200</v>
      </c>
      <c r="AC23" s="14">
        <f t="shared" si="1"/>
        <v>175</v>
      </c>
      <c r="AD23" s="14">
        <f t="shared" si="1"/>
        <v>175</v>
      </c>
    </row>
    <row r="24" spans="9:30" x14ac:dyDescent="0.25">
      <c r="I24" s="12" t="s">
        <v>36</v>
      </c>
      <c r="J24" s="12" t="s">
        <v>39</v>
      </c>
      <c r="K24" s="12" t="s">
        <v>38</v>
      </c>
      <c r="L24" s="12" t="s">
        <v>40</v>
      </c>
      <c r="O24" s="16">
        <v>1500</v>
      </c>
      <c r="P24" s="14">
        <f t="shared" si="1"/>
        <v>350</v>
      </c>
      <c r="Q24" s="14">
        <f t="shared" si="1"/>
        <v>338</v>
      </c>
      <c r="R24" s="14">
        <f t="shared" si="1"/>
        <v>318</v>
      </c>
      <c r="S24" s="14">
        <f t="shared" si="1"/>
        <v>314</v>
      </c>
      <c r="T24" s="14">
        <f t="shared" si="1"/>
        <v>273</v>
      </c>
      <c r="U24" s="14">
        <f t="shared" si="1"/>
        <v>245</v>
      </c>
      <c r="V24" s="14">
        <f t="shared" si="1"/>
        <v>221</v>
      </c>
      <c r="W24" s="14">
        <f t="shared" si="1"/>
        <v>237</v>
      </c>
      <c r="X24" s="14">
        <f t="shared" si="1"/>
        <v>230</v>
      </c>
      <c r="Y24" s="14">
        <f t="shared" si="1"/>
        <v>221</v>
      </c>
      <c r="Z24" s="14">
        <f t="shared" si="1"/>
        <v>210</v>
      </c>
      <c r="AA24" s="14">
        <f t="shared" si="1"/>
        <v>209</v>
      </c>
      <c r="AB24" s="14">
        <f t="shared" si="1"/>
        <v>200</v>
      </c>
      <c r="AC24" s="14">
        <f t="shared" si="1"/>
        <v>175</v>
      </c>
      <c r="AD24" s="14">
        <f t="shared" si="1"/>
        <v>175</v>
      </c>
    </row>
    <row r="25" spans="9:30" x14ac:dyDescent="0.25">
      <c r="I25" s="12">
        <v>500</v>
      </c>
      <c r="J25" s="12">
        <v>5</v>
      </c>
      <c r="K25" s="13">
        <f t="shared" ref="K25:K36" si="2">(J25*I25)/7127</f>
        <v>0.35077872877788691</v>
      </c>
      <c r="L25" s="13">
        <f>K25/1.341</f>
        <v>0.26157996180304766</v>
      </c>
      <c r="O25" s="16">
        <v>2000</v>
      </c>
      <c r="P25" s="14">
        <f t="shared" si="1"/>
        <v>315</v>
      </c>
      <c r="Q25" s="14">
        <f t="shared" si="1"/>
        <v>313</v>
      </c>
      <c r="R25" s="14">
        <f t="shared" si="1"/>
        <v>313</v>
      </c>
      <c r="S25" s="14">
        <f t="shared" si="1"/>
        <v>196</v>
      </c>
      <c r="T25" s="14">
        <f t="shared" si="1"/>
        <v>189</v>
      </c>
      <c r="U25" s="14">
        <f t="shared" si="1"/>
        <v>183</v>
      </c>
      <c r="V25" s="14">
        <f t="shared" si="1"/>
        <v>179</v>
      </c>
      <c r="W25" s="14">
        <f t="shared" si="1"/>
        <v>174</v>
      </c>
      <c r="X25" s="14">
        <f t="shared" si="1"/>
        <v>183</v>
      </c>
      <c r="Y25" s="14">
        <f t="shared" si="1"/>
        <v>188</v>
      </c>
      <c r="Z25" s="14">
        <f t="shared" si="1"/>
        <v>192</v>
      </c>
      <c r="AA25" s="14">
        <f t="shared" si="1"/>
        <v>201</v>
      </c>
      <c r="AB25" s="14">
        <f t="shared" si="1"/>
        <v>195</v>
      </c>
      <c r="AC25" s="14">
        <f t="shared" si="1"/>
        <v>175</v>
      </c>
      <c r="AD25" s="14">
        <f t="shared" si="1"/>
        <v>175</v>
      </c>
    </row>
    <row r="26" spans="9:30" x14ac:dyDescent="0.25">
      <c r="I26" s="12">
        <v>1000</v>
      </c>
      <c r="J26" s="12">
        <v>7</v>
      </c>
      <c r="K26" s="13">
        <f t="shared" si="2"/>
        <v>0.98218044057808329</v>
      </c>
      <c r="L26" s="13">
        <f t="shared" ref="L26:L39" si="3">K26/1.341</f>
        <v>0.73242389304853339</v>
      </c>
      <c r="O26" s="16">
        <v>2500</v>
      </c>
      <c r="P26" s="14">
        <f t="shared" si="1"/>
        <v>300</v>
      </c>
      <c r="Q26" s="14">
        <f t="shared" si="1"/>
        <v>298</v>
      </c>
      <c r="R26" s="14">
        <f t="shared" si="1"/>
        <v>302</v>
      </c>
      <c r="S26" s="14">
        <f t="shared" si="1"/>
        <v>184</v>
      </c>
      <c r="T26" s="14">
        <f t="shared" si="1"/>
        <v>178</v>
      </c>
      <c r="U26" s="14">
        <f t="shared" si="1"/>
        <v>174</v>
      </c>
      <c r="V26" s="14">
        <f t="shared" si="1"/>
        <v>156</v>
      </c>
      <c r="W26" s="14">
        <f t="shared" si="1"/>
        <v>153</v>
      </c>
      <c r="X26" s="14">
        <f t="shared" si="1"/>
        <v>163</v>
      </c>
      <c r="Y26" s="14">
        <f t="shared" si="1"/>
        <v>183</v>
      </c>
      <c r="Z26" s="14">
        <f t="shared" si="1"/>
        <v>188</v>
      </c>
      <c r="AA26" s="14">
        <f t="shared" si="1"/>
        <v>190</v>
      </c>
      <c r="AB26" s="14">
        <f t="shared" si="1"/>
        <v>192</v>
      </c>
      <c r="AC26" s="14">
        <f t="shared" si="1"/>
        <v>173</v>
      </c>
      <c r="AD26" s="14">
        <f t="shared" si="1"/>
        <v>175</v>
      </c>
    </row>
    <row r="27" spans="9:30" x14ac:dyDescent="0.25">
      <c r="I27" s="12">
        <v>1500</v>
      </c>
      <c r="J27" s="12">
        <v>8</v>
      </c>
      <c r="K27" s="13">
        <f t="shared" si="2"/>
        <v>1.6837378981338571</v>
      </c>
      <c r="L27" s="13">
        <f t="shared" si="3"/>
        <v>1.2555838166546287</v>
      </c>
      <c r="O27" s="16">
        <v>3000</v>
      </c>
      <c r="P27" s="14">
        <f t="shared" si="1"/>
        <v>292</v>
      </c>
      <c r="Q27" s="14">
        <f t="shared" si="1"/>
        <v>296</v>
      </c>
      <c r="R27" s="14">
        <f t="shared" si="1"/>
        <v>281</v>
      </c>
      <c r="S27" s="14">
        <f t="shared" si="1"/>
        <v>177</v>
      </c>
      <c r="T27" s="14">
        <f t="shared" si="1"/>
        <v>169</v>
      </c>
      <c r="U27" s="14">
        <f t="shared" si="1"/>
        <v>151</v>
      </c>
      <c r="V27" s="14">
        <f t="shared" si="1"/>
        <v>144</v>
      </c>
      <c r="W27" s="14">
        <f t="shared" si="1"/>
        <v>144</v>
      </c>
      <c r="X27" s="14">
        <f t="shared" si="1"/>
        <v>151</v>
      </c>
      <c r="Y27" s="14">
        <f t="shared" si="1"/>
        <v>179</v>
      </c>
      <c r="Z27" s="14">
        <f t="shared" si="1"/>
        <v>186</v>
      </c>
      <c r="AA27" s="14">
        <f t="shared" si="1"/>
        <v>190</v>
      </c>
      <c r="AB27" s="14">
        <f t="shared" si="1"/>
        <v>188</v>
      </c>
      <c r="AC27" s="14">
        <f t="shared" si="1"/>
        <v>170</v>
      </c>
      <c r="AD27" s="14">
        <f t="shared" si="1"/>
        <v>175</v>
      </c>
    </row>
    <row r="28" spans="9:30" x14ac:dyDescent="0.25">
      <c r="I28" s="12">
        <v>2000</v>
      </c>
      <c r="J28" s="12">
        <v>10</v>
      </c>
      <c r="K28" s="13">
        <f t="shared" si="2"/>
        <v>2.8062298302230952</v>
      </c>
      <c r="L28" s="13">
        <f t="shared" si="3"/>
        <v>2.0926396944243812</v>
      </c>
      <c r="O28" s="16">
        <v>3500</v>
      </c>
      <c r="P28" s="14">
        <f t="shared" si="1"/>
        <v>290</v>
      </c>
      <c r="Q28" s="14">
        <f t="shared" si="1"/>
        <v>288</v>
      </c>
      <c r="R28" s="14">
        <f t="shared" si="1"/>
        <v>265</v>
      </c>
      <c r="S28" s="14">
        <f t="shared" si="1"/>
        <v>175</v>
      </c>
      <c r="T28" s="14">
        <f t="shared" si="1"/>
        <v>168</v>
      </c>
      <c r="U28" s="14">
        <f t="shared" si="1"/>
        <v>152</v>
      </c>
      <c r="V28" s="14">
        <f t="shared" si="1"/>
        <v>144</v>
      </c>
      <c r="W28" s="14">
        <f t="shared" si="1"/>
        <v>144</v>
      </c>
      <c r="X28" s="14">
        <f t="shared" si="1"/>
        <v>144</v>
      </c>
      <c r="Y28" s="14">
        <f t="shared" si="1"/>
        <v>173</v>
      </c>
      <c r="Z28" s="14">
        <f t="shared" si="1"/>
        <v>184</v>
      </c>
      <c r="AA28" s="14">
        <f t="shared" si="1"/>
        <v>186</v>
      </c>
      <c r="AB28" s="14">
        <f t="shared" si="1"/>
        <v>183</v>
      </c>
      <c r="AC28" s="14">
        <f t="shared" si="1"/>
        <v>168</v>
      </c>
      <c r="AD28" s="14">
        <f t="shared" si="1"/>
        <v>175</v>
      </c>
    </row>
    <row r="29" spans="9:30" x14ac:dyDescent="0.25">
      <c r="I29" s="12">
        <v>2500</v>
      </c>
      <c r="J29" s="12">
        <v>13</v>
      </c>
      <c r="K29" s="13">
        <f t="shared" si="2"/>
        <v>4.5601234741125296</v>
      </c>
      <c r="L29" s="13">
        <f t="shared" si="3"/>
        <v>3.4005395034396195</v>
      </c>
      <c r="O29" s="16">
        <v>4000</v>
      </c>
      <c r="P29" s="14">
        <f t="shared" si="1"/>
        <v>283</v>
      </c>
      <c r="Q29" s="14">
        <f t="shared" si="1"/>
        <v>284</v>
      </c>
      <c r="R29" s="14">
        <f t="shared" si="1"/>
        <v>257</v>
      </c>
      <c r="S29" s="14">
        <f t="shared" si="1"/>
        <v>176</v>
      </c>
      <c r="T29" s="14">
        <f t="shared" si="1"/>
        <v>169</v>
      </c>
      <c r="U29" s="14">
        <f t="shared" si="1"/>
        <v>165</v>
      </c>
      <c r="V29" s="14">
        <f t="shared" si="1"/>
        <v>144</v>
      </c>
      <c r="W29" s="14">
        <f t="shared" si="1"/>
        <v>144</v>
      </c>
      <c r="X29" s="14">
        <f t="shared" si="1"/>
        <v>144</v>
      </c>
      <c r="Y29" s="14">
        <f t="shared" si="1"/>
        <v>170</v>
      </c>
      <c r="Z29" s="14">
        <f t="shared" si="1"/>
        <v>173</v>
      </c>
      <c r="AA29" s="14">
        <f t="shared" si="1"/>
        <v>182</v>
      </c>
      <c r="AB29" s="14">
        <f t="shared" si="1"/>
        <v>179</v>
      </c>
      <c r="AC29" s="14">
        <f t="shared" si="1"/>
        <v>167</v>
      </c>
      <c r="AD29" s="14">
        <f t="shared" si="1"/>
        <v>175</v>
      </c>
    </row>
    <row r="30" spans="9:30" x14ac:dyDescent="0.25">
      <c r="I30" s="12">
        <v>3000</v>
      </c>
      <c r="J30" s="12">
        <v>15</v>
      </c>
      <c r="K30" s="13">
        <f t="shared" si="2"/>
        <v>6.3140171180019644</v>
      </c>
      <c r="L30" s="13">
        <f t="shared" si="3"/>
        <v>4.7084393124548578</v>
      </c>
      <c r="O30" s="16">
        <v>4500</v>
      </c>
      <c r="P30" s="14">
        <f t="shared" si="1"/>
        <v>274</v>
      </c>
      <c r="Q30" s="14">
        <f t="shared" si="1"/>
        <v>280</v>
      </c>
      <c r="R30" s="14">
        <f t="shared" si="1"/>
        <v>253</v>
      </c>
      <c r="S30" s="14">
        <f t="shared" si="1"/>
        <v>188</v>
      </c>
      <c r="T30" s="14">
        <f t="shared" si="1"/>
        <v>181</v>
      </c>
      <c r="U30" s="14">
        <f t="shared" si="1"/>
        <v>172</v>
      </c>
      <c r="V30" s="14">
        <f t="shared" si="1"/>
        <v>144</v>
      </c>
      <c r="W30" s="14">
        <f t="shared" si="1"/>
        <v>144</v>
      </c>
      <c r="X30" s="14">
        <f t="shared" si="1"/>
        <v>165</v>
      </c>
      <c r="Y30" s="14">
        <f t="shared" si="1"/>
        <v>170</v>
      </c>
      <c r="Z30" s="14">
        <f t="shared" si="1"/>
        <v>176</v>
      </c>
      <c r="AA30" s="14">
        <f t="shared" si="1"/>
        <v>180</v>
      </c>
      <c r="AB30" s="14">
        <f t="shared" si="1"/>
        <v>173</v>
      </c>
      <c r="AC30" s="14">
        <f t="shared" si="1"/>
        <v>166</v>
      </c>
      <c r="AD30" s="14">
        <f t="shared" si="1"/>
        <v>175</v>
      </c>
    </row>
    <row r="31" spans="9:30" x14ac:dyDescent="0.25">
      <c r="I31" s="12">
        <v>3500</v>
      </c>
      <c r="J31" s="12">
        <v>17</v>
      </c>
      <c r="K31" s="13">
        <f t="shared" si="2"/>
        <v>8.3485337449137091</v>
      </c>
      <c r="L31" s="13">
        <f t="shared" si="3"/>
        <v>6.2256030909125348</v>
      </c>
      <c r="O31" s="16">
        <v>5000</v>
      </c>
      <c r="P31" s="14">
        <f t="shared" si="1"/>
        <v>240</v>
      </c>
      <c r="Q31" s="14">
        <f t="shared" si="1"/>
        <v>238</v>
      </c>
      <c r="R31" s="14">
        <f t="shared" si="1"/>
        <v>236</v>
      </c>
      <c r="S31" s="14">
        <f t="shared" si="1"/>
        <v>205</v>
      </c>
      <c r="T31" s="14">
        <f t="shared" si="1"/>
        <v>192</v>
      </c>
      <c r="U31" s="14">
        <f t="shared" si="1"/>
        <v>183</v>
      </c>
      <c r="V31" s="14">
        <f t="shared" si="1"/>
        <v>171</v>
      </c>
      <c r="W31" s="14">
        <f t="shared" si="1"/>
        <v>165</v>
      </c>
      <c r="X31" s="14">
        <f t="shared" si="1"/>
        <v>168</v>
      </c>
      <c r="Y31" s="14">
        <f t="shared" si="1"/>
        <v>173</v>
      </c>
      <c r="Z31" s="14">
        <f t="shared" si="1"/>
        <v>177</v>
      </c>
      <c r="AA31" s="14">
        <f t="shared" si="1"/>
        <v>179</v>
      </c>
      <c r="AB31" s="14">
        <f t="shared" si="1"/>
        <v>170</v>
      </c>
      <c r="AC31" s="14">
        <f t="shared" si="1"/>
        <v>167</v>
      </c>
      <c r="AD31" s="14">
        <f t="shared" si="1"/>
        <v>175</v>
      </c>
    </row>
    <row r="32" spans="9:30" x14ac:dyDescent="0.25">
      <c r="I32" s="12">
        <v>4000</v>
      </c>
      <c r="J32" s="12">
        <v>19</v>
      </c>
      <c r="K32" s="13">
        <f t="shared" si="2"/>
        <v>10.663673354847763</v>
      </c>
      <c r="L32" s="13">
        <f t="shared" si="3"/>
        <v>7.9520308388126493</v>
      </c>
      <c r="O32" s="16">
        <v>5500</v>
      </c>
      <c r="P32" s="14">
        <f t="shared" si="1"/>
        <v>281</v>
      </c>
      <c r="Q32" s="14">
        <f t="shared" si="1"/>
        <v>275</v>
      </c>
      <c r="R32" s="14">
        <f t="shared" si="1"/>
        <v>264</v>
      </c>
      <c r="S32" s="14">
        <f t="shared" si="1"/>
        <v>223</v>
      </c>
      <c r="T32" s="14">
        <f t="shared" si="1"/>
        <v>211</v>
      </c>
      <c r="U32" s="14">
        <f t="shared" si="1"/>
        <v>205</v>
      </c>
      <c r="V32" s="14">
        <f t="shared" si="1"/>
        <v>173</v>
      </c>
      <c r="W32" s="14">
        <f t="shared" si="1"/>
        <v>173</v>
      </c>
      <c r="X32" s="14">
        <f t="shared" si="1"/>
        <v>176</v>
      </c>
      <c r="Y32" s="14">
        <f t="shared" si="1"/>
        <v>176</v>
      </c>
      <c r="Z32" s="14">
        <f t="shared" si="1"/>
        <v>173</v>
      </c>
      <c r="AA32" s="14">
        <f t="shared" si="1"/>
        <v>174</v>
      </c>
      <c r="AB32" s="14">
        <f t="shared" si="1"/>
        <v>170</v>
      </c>
      <c r="AC32" s="14">
        <f t="shared" si="1"/>
        <v>169</v>
      </c>
      <c r="AD32" s="14">
        <f t="shared" si="1"/>
        <v>175</v>
      </c>
    </row>
    <row r="33" spans="9:30" x14ac:dyDescent="0.25">
      <c r="I33" s="12">
        <v>4500</v>
      </c>
      <c r="J33" s="12">
        <v>20</v>
      </c>
      <c r="K33" s="13">
        <f t="shared" si="2"/>
        <v>12.628034236003929</v>
      </c>
      <c r="L33" s="13">
        <f t="shared" si="3"/>
        <v>9.4168786249097156</v>
      </c>
      <c r="O33" s="16">
        <v>6000</v>
      </c>
      <c r="P33" s="14">
        <f t="shared" si="1"/>
        <v>312</v>
      </c>
      <c r="Q33" s="14">
        <f t="shared" si="1"/>
        <v>316</v>
      </c>
      <c r="R33" s="14">
        <f t="shared" si="1"/>
        <v>311</v>
      </c>
      <c r="S33" s="14">
        <f t="shared" si="1"/>
        <v>273</v>
      </c>
      <c r="T33" s="14">
        <f t="shared" si="1"/>
        <v>243</v>
      </c>
      <c r="U33" s="14">
        <f t="shared" si="1"/>
        <v>215</v>
      </c>
      <c r="V33" s="14">
        <f t="shared" si="1"/>
        <v>175</v>
      </c>
      <c r="W33" s="14">
        <f t="shared" si="1"/>
        <v>175</v>
      </c>
      <c r="X33" s="14">
        <f t="shared" si="1"/>
        <v>173</v>
      </c>
      <c r="Y33" s="14">
        <f t="shared" si="1"/>
        <v>172</v>
      </c>
      <c r="Z33" s="14">
        <f t="shared" si="1"/>
        <v>175</v>
      </c>
      <c r="AA33" s="14">
        <f t="shared" si="1"/>
        <v>176</v>
      </c>
      <c r="AB33" s="14">
        <f t="shared" si="1"/>
        <v>173</v>
      </c>
      <c r="AC33" s="14">
        <f t="shared" si="1"/>
        <v>170</v>
      </c>
      <c r="AD33" s="14">
        <f t="shared" si="1"/>
        <v>175</v>
      </c>
    </row>
    <row r="34" spans="9:30" x14ac:dyDescent="0.25">
      <c r="I34" s="12">
        <v>5000</v>
      </c>
      <c r="J34" s="12">
        <v>21</v>
      </c>
      <c r="K34" s="13">
        <f t="shared" si="2"/>
        <v>14.732706608671251</v>
      </c>
      <c r="L34" s="13">
        <f t="shared" si="3"/>
        <v>10.986358395728002</v>
      </c>
      <c r="O34" s="16">
        <v>6500</v>
      </c>
      <c r="P34" s="14">
        <f t="shared" si="1"/>
        <v>360</v>
      </c>
      <c r="Q34" s="14">
        <f t="shared" si="1"/>
        <v>358</v>
      </c>
      <c r="R34" s="14">
        <f t="shared" si="1"/>
        <v>337</v>
      </c>
      <c r="S34" s="14">
        <f t="shared" si="1"/>
        <v>304</v>
      </c>
      <c r="T34" s="14">
        <f t="shared" si="1"/>
        <v>287</v>
      </c>
      <c r="U34" s="14">
        <f t="shared" si="1"/>
        <v>242</v>
      </c>
      <c r="V34" s="14">
        <f t="shared" si="1"/>
        <v>216</v>
      </c>
      <c r="W34" s="14">
        <f t="shared" si="1"/>
        <v>211</v>
      </c>
      <c r="X34" s="14">
        <f t="shared" si="1"/>
        <v>205</v>
      </c>
      <c r="Y34" s="14">
        <f t="shared" si="1"/>
        <v>196</v>
      </c>
      <c r="Z34" s="14">
        <f t="shared" si="1"/>
        <v>171</v>
      </c>
      <c r="AA34" s="14">
        <f t="shared" si="1"/>
        <v>176</v>
      </c>
      <c r="AB34" s="14">
        <f t="shared" si="1"/>
        <v>176</v>
      </c>
      <c r="AC34" s="14">
        <f t="shared" si="1"/>
        <v>172</v>
      </c>
      <c r="AD34" s="14">
        <f t="shared" si="1"/>
        <v>175</v>
      </c>
    </row>
    <row r="35" spans="9:30" x14ac:dyDescent="0.25">
      <c r="I35" s="12">
        <v>5500</v>
      </c>
      <c r="J35" s="12">
        <v>22</v>
      </c>
      <c r="K35" s="13">
        <f t="shared" si="2"/>
        <v>16.977690472849726</v>
      </c>
      <c r="L35" s="13">
        <f t="shared" si="3"/>
        <v>12.660470151267507</v>
      </c>
      <c r="O35" s="16">
        <v>7000</v>
      </c>
      <c r="P35" s="14">
        <f t="shared" si="1"/>
        <v>390</v>
      </c>
      <c r="Q35" s="14">
        <f t="shared" si="1"/>
        <v>380</v>
      </c>
      <c r="R35" s="14">
        <f t="shared" si="1"/>
        <v>358</v>
      </c>
      <c r="S35" s="14">
        <f t="shared" si="1"/>
        <v>329</v>
      </c>
      <c r="T35" s="14">
        <f t="shared" si="1"/>
        <v>301</v>
      </c>
      <c r="U35" s="14">
        <f t="shared" si="1"/>
        <v>265</v>
      </c>
      <c r="V35" s="14">
        <f t="shared" si="1"/>
        <v>241</v>
      </c>
      <c r="W35" s="14">
        <f t="shared" si="1"/>
        <v>238</v>
      </c>
      <c r="X35" s="14">
        <f t="shared" si="1"/>
        <v>230</v>
      </c>
      <c r="Y35" s="14">
        <f t="shared" si="1"/>
        <v>221</v>
      </c>
      <c r="Z35" s="14">
        <f t="shared" si="1"/>
        <v>200</v>
      </c>
      <c r="AA35" s="14">
        <f t="shared" si="1"/>
        <v>180</v>
      </c>
      <c r="AB35" s="14">
        <f t="shared" si="1"/>
        <v>182</v>
      </c>
      <c r="AC35" s="14">
        <f t="shared" si="1"/>
        <v>174</v>
      </c>
      <c r="AD35" s="14">
        <f t="shared" si="1"/>
        <v>175</v>
      </c>
    </row>
    <row r="36" spans="9:30" x14ac:dyDescent="0.25">
      <c r="I36" s="12">
        <v>6000</v>
      </c>
      <c r="J36" s="12">
        <v>21</v>
      </c>
      <c r="K36" s="13">
        <f t="shared" si="2"/>
        <v>17.679247930405499</v>
      </c>
      <c r="L36" s="13">
        <f t="shared" si="3"/>
        <v>13.183630074873602</v>
      </c>
      <c r="O36" s="16">
        <v>7500</v>
      </c>
      <c r="P36" s="14">
        <f t="shared" si="1"/>
        <v>390</v>
      </c>
      <c r="Q36" s="14">
        <f t="shared" si="1"/>
        <v>382</v>
      </c>
      <c r="R36" s="14">
        <f t="shared" si="1"/>
        <v>365</v>
      </c>
      <c r="S36" s="14">
        <f t="shared" si="1"/>
        <v>341</v>
      </c>
      <c r="T36" s="14">
        <f t="shared" si="1"/>
        <v>324</v>
      </c>
      <c r="U36" s="14">
        <f t="shared" si="1"/>
        <v>280</v>
      </c>
      <c r="V36" s="14">
        <f t="shared" si="1"/>
        <v>262</v>
      </c>
      <c r="W36" s="14">
        <f t="shared" si="1"/>
        <v>246</v>
      </c>
      <c r="X36" s="14">
        <f t="shared" si="1"/>
        <v>234</v>
      </c>
      <c r="Y36" s="14">
        <f t="shared" si="1"/>
        <v>221</v>
      </c>
      <c r="Z36" s="14">
        <f t="shared" si="1"/>
        <v>200</v>
      </c>
      <c r="AA36" s="14">
        <f t="shared" si="1"/>
        <v>187</v>
      </c>
      <c r="AB36" s="14">
        <f t="shared" si="1"/>
        <v>175</v>
      </c>
      <c r="AC36" s="14">
        <f t="shared" si="1"/>
        <v>175</v>
      </c>
      <c r="AD36" s="14">
        <f t="shared" si="1"/>
        <v>175</v>
      </c>
    </row>
    <row r="37" spans="9:30" x14ac:dyDescent="0.25">
      <c r="I37" s="12">
        <v>6500</v>
      </c>
      <c r="J37" s="12">
        <v>20</v>
      </c>
      <c r="K37" s="13">
        <f>(J37*I37)/7127</f>
        <v>18.240493896450118</v>
      </c>
      <c r="L37" s="13">
        <f t="shared" si="3"/>
        <v>13.602158013758478</v>
      </c>
    </row>
    <row r="38" spans="9:30" x14ac:dyDescent="0.25">
      <c r="I38" s="12">
        <v>7000</v>
      </c>
      <c r="J38" s="12">
        <v>18</v>
      </c>
      <c r="K38" s="13">
        <f t="shared" ref="K38:K39" si="4">(J38*I38)/7127</f>
        <v>17.679247930405499</v>
      </c>
      <c r="L38" s="13">
        <f t="shared" si="3"/>
        <v>13.183630074873602</v>
      </c>
    </row>
    <row r="39" spans="9:30" x14ac:dyDescent="0.25">
      <c r="I39" s="12">
        <v>7500</v>
      </c>
      <c r="J39" s="12">
        <v>16</v>
      </c>
      <c r="K39" s="13">
        <f t="shared" si="4"/>
        <v>16.837378981338571</v>
      </c>
      <c r="L39" s="13">
        <f t="shared" si="3"/>
        <v>12.555838166546287</v>
      </c>
      <c r="P39">
        <v>600</v>
      </c>
      <c r="Q39">
        <v>595</v>
      </c>
      <c r="R39">
        <v>584</v>
      </c>
      <c r="S39">
        <v>577</v>
      </c>
      <c r="T39">
        <v>566</v>
      </c>
      <c r="U39">
        <v>557</v>
      </c>
      <c r="V39">
        <v>544</v>
      </c>
      <c r="W39">
        <v>530</v>
      </c>
      <c r="X39">
        <v>517</v>
      </c>
      <c r="Y39">
        <v>500</v>
      </c>
      <c r="Z39">
        <v>486</v>
      </c>
      <c r="AA39">
        <v>463</v>
      </c>
      <c r="AB39">
        <v>450</v>
      </c>
      <c r="AC39">
        <v>425</v>
      </c>
      <c r="AD39">
        <v>431</v>
      </c>
    </row>
    <row r="40" spans="9:30" x14ac:dyDescent="0.25">
      <c r="P40">
        <v>600</v>
      </c>
      <c r="Q40">
        <v>595</v>
      </c>
      <c r="R40">
        <v>580</v>
      </c>
      <c r="S40">
        <v>575</v>
      </c>
      <c r="T40">
        <v>565</v>
      </c>
      <c r="U40">
        <v>550</v>
      </c>
      <c r="V40">
        <v>521</v>
      </c>
      <c r="W40">
        <v>515</v>
      </c>
      <c r="X40">
        <v>505</v>
      </c>
      <c r="Y40">
        <v>489</v>
      </c>
      <c r="Z40">
        <v>478</v>
      </c>
      <c r="AA40">
        <v>463</v>
      </c>
      <c r="AB40">
        <v>450</v>
      </c>
      <c r="AC40">
        <v>425</v>
      </c>
      <c r="AD40">
        <v>425</v>
      </c>
    </row>
    <row r="41" spans="9:30" x14ac:dyDescent="0.25">
      <c r="P41">
        <v>600</v>
      </c>
      <c r="Q41">
        <v>588</v>
      </c>
      <c r="R41">
        <v>568</v>
      </c>
      <c r="S41">
        <v>564</v>
      </c>
      <c r="T41">
        <v>523</v>
      </c>
      <c r="U41">
        <v>495</v>
      </c>
      <c r="V41">
        <v>471</v>
      </c>
      <c r="W41">
        <v>487</v>
      </c>
      <c r="X41">
        <v>480</v>
      </c>
      <c r="Y41">
        <v>471</v>
      </c>
      <c r="Z41">
        <v>460</v>
      </c>
      <c r="AA41">
        <v>459</v>
      </c>
      <c r="AB41">
        <v>450</v>
      </c>
      <c r="AC41">
        <v>425</v>
      </c>
      <c r="AD41">
        <v>425</v>
      </c>
    </row>
    <row r="42" spans="9:30" x14ac:dyDescent="0.25">
      <c r="P42">
        <v>565</v>
      </c>
      <c r="Q42">
        <v>563</v>
      </c>
      <c r="R42">
        <v>563</v>
      </c>
      <c r="S42">
        <v>550</v>
      </c>
      <c r="T42">
        <v>496</v>
      </c>
      <c r="U42">
        <v>420</v>
      </c>
      <c r="V42">
        <v>400</v>
      </c>
      <c r="W42">
        <v>412</v>
      </c>
      <c r="X42">
        <v>431</v>
      </c>
      <c r="Y42">
        <v>454</v>
      </c>
      <c r="Z42">
        <v>448</v>
      </c>
      <c r="AA42">
        <v>451</v>
      </c>
      <c r="AB42">
        <v>445</v>
      </c>
      <c r="AC42">
        <v>425</v>
      </c>
      <c r="AD42">
        <v>425</v>
      </c>
    </row>
    <row r="43" spans="9:30" x14ac:dyDescent="0.25">
      <c r="P43">
        <v>550</v>
      </c>
      <c r="Q43">
        <v>548</v>
      </c>
      <c r="R43">
        <v>552</v>
      </c>
      <c r="S43">
        <v>534</v>
      </c>
      <c r="T43">
        <v>460</v>
      </c>
      <c r="U43">
        <v>370</v>
      </c>
      <c r="V43">
        <v>352</v>
      </c>
      <c r="W43">
        <v>367</v>
      </c>
      <c r="X43">
        <v>369</v>
      </c>
      <c r="Y43">
        <v>400</v>
      </c>
      <c r="Z43">
        <v>425</v>
      </c>
      <c r="AA43">
        <v>440</v>
      </c>
      <c r="AB43">
        <v>442</v>
      </c>
      <c r="AC43">
        <v>423</v>
      </c>
      <c r="AD43">
        <v>425</v>
      </c>
    </row>
    <row r="44" spans="9:30" x14ac:dyDescent="0.25">
      <c r="P44">
        <v>542</v>
      </c>
      <c r="Q44">
        <v>546</v>
      </c>
      <c r="R44">
        <v>531</v>
      </c>
      <c r="S44">
        <v>519</v>
      </c>
      <c r="T44">
        <v>415</v>
      </c>
      <c r="U44">
        <v>355</v>
      </c>
      <c r="V44">
        <v>340</v>
      </c>
      <c r="W44">
        <v>340</v>
      </c>
      <c r="X44">
        <v>341</v>
      </c>
      <c r="Y44">
        <v>375</v>
      </c>
      <c r="Z44">
        <v>415</v>
      </c>
      <c r="AA44">
        <v>440</v>
      </c>
      <c r="AB44">
        <v>438</v>
      </c>
      <c r="AC44">
        <v>420</v>
      </c>
      <c r="AD44">
        <v>425</v>
      </c>
    </row>
    <row r="45" spans="9:30" x14ac:dyDescent="0.25">
      <c r="P45">
        <v>540</v>
      </c>
      <c r="Q45">
        <v>538</v>
      </c>
      <c r="R45">
        <v>515</v>
      </c>
      <c r="S45">
        <v>498</v>
      </c>
      <c r="T45">
        <v>400</v>
      </c>
      <c r="U45">
        <v>357</v>
      </c>
      <c r="V45">
        <v>340</v>
      </c>
      <c r="W45">
        <v>340</v>
      </c>
      <c r="X45">
        <v>340</v>
      </c>
      <c r="Y45">
        <v>367</v>
      </c>
      <c r="Z45">
        <v>403</v>
      </c>
      <c r="AA45">
        <v>413</v>
      </c>
      <c r="AB45">
        <v>433</v>
      </c>
      <c r="AC45">
        <v>418</v>
      </c>
      <c r="AD45">
        <v>425</v>
      </c>
    </row>
    <row r="46" spans="9:30" x14ac:dyDescent="0.25">
      <c r="P46">
        <v>533</v>
      </c>
      <c r="Q46">
        <v>534</v>
      </c>
      <c r="R46">
        <v>507</v>
      </c>
      <c r="S46">
        <v>484</v>
      </c>
      <c r="T46">
        <v>415</v>
      </c>
      <c r="U46">
        <v>379</v>
      </c>
      <c r="V46">
        <v>345</v>
      </c>
      <c r="W46">
        <v>340</v>
      </c>
      <c r="X46">
        <v>341</v>
      </c>
      <c r="Y46">
        <v>366</v>
      </c>
      <c r="Z46">
        <v>394</v>
      </c>
      <c r="AA46">
        <v>401</v>
      </c>
      <c r="AB46">
        <v>429</v>
      </c>
      <c r="AC46">
        <v>417</v>
      </c>
      <c r="AD46">
        <v>425</v>
      </c>
    </row>
    <row r="47" spans="9:30" x14ac:dyDescent="0.25">
      <c r="P47">
        <v>524</v>
      </c>
      <c r="Q47">
        <v>530</v>
      </c>
      <c r="R47">
        <v>503</v>
      </c>
      <c r="S47">
        <v>470</v>
      </c>
      <c r="T47">
        <v>452</v>
      </c>
      <c r="U47">
        <v>413</v>
      </c>
      <c r="V47">
        <v>360</v>
      </c>
      <c r="W47">
        <v>365</v>
      </c>
      <c r="X47">
        <v>367</v>
      </c>
      <c r="Y47">
        <v>371</v>
      </c>
      <c r="Z47">
        <v>394</v>
      </c>
      <c r="AA47">
        <v>394</v>
      </c>
      <c r="AB47">
        <v>423</v>
      </c>
      <c r="AC47">
        <v>416</v>
      </c>
      <c r="AD47">
        <v>425</v>
      </c>
    </row>
    <row r="48" spans="9:30" x14ac:dyDescent="0.25">
      <c r="P48">
        <v>490</v>
      </c>
      <c r="Q48">
        <v>488</v>
      </c>
      <c r="R48">
        <v>486</v>
      </c>
      <c r="S48">
        <v>484</v>
      </c>
      <c r="T48">
        <v>441</v>
      </c>
      <c r="U48">
        <v>432</v>
      </c>
      <c r="V48">
        <v>385</v>
      </c>
      <c r="W48">
        <v>390</v>
      </c>
      <c r="X48">
        <v>405</v>
      </c>
      <c r="Y48">
        <v>407</v>
      </c>
      <c r="Z48">
        <v>394</v>
      </c>
      <c r="AA48">
        <v>394</v>
      </c>
      <c r="AB48">
        <v>420</v>
      </c>
      <c r="AC48">
        <v>417</v>
      </c>
      <c r="AD48">
        <v>425</v>
      </c>
    </row>
    <row r="49" spans="16:30" x14ac:dyDescent="0.25">
      <c r="P49">
        <v>531</v>
      </c>
      <c r="Q49">
        <v>525</v>
      </c>
      <c r="R49">
        <v>514</v>
      </c>
      <c r="S49">
        <v>493</v>
      </c>
      <c r="T49">
        <v>466</v>
      </c>
      <c r="U49">
        <v>449</v>
      </c>
      <c r="V49">
        <v>405</v>
      </c>
      <c r="W49">
        <v>415</v>
      </c>
      <c r="X49">
        <v>422</v>
      </c>
      <c r="Y49">
        <v>419</v>
      </c>
      <c r="Z49">
        <v>394</v>
      </c>
      <c r="AA49">
        <v>415</v>
      </c>
      <c r="AB49">
        <v>420</v>
      </c>
      <c r="AC49">
        <v>419</v>
      </c>
      <c r="AD49">
        <v>425</v>
      </c>
    </row>
    <row r="50" spans="16:30" x14ac:dyDescent="0.25">
      <c r="P50">
        <v>562</v>
      </c>
      <c r="Q50">
        <v>566</v>
      </c>
      <c r="R50">
        <v>561</v>
      </c>
      <c r="S50">
        <v>523</v>
      </c>
      <c r="T50">
        <v>493</v>
      </c>
      <c r="U50">
        <v>465</v>
      </c>
      <c r="V50">
        <v>425</v>
      </c>
      <c r="W50">
        <v>425</v>
      </c>
      <c r="X50">
        <v>423</v>
      </c>
      <c r="Y50">
        <v>422</v>
      </c>
      <c r="Z50">
        <v>415</v>
      </c>
      <c r="AA50">
        <v>418</v>
      </c>
      <c r="AB50">
        <v>423</v>
      </c>
      <c r="AC50">
        <v>420</v>
      </c>
      <c r="AD50">
        <v>425</v>
      </c>
    </row>
    <row r="51" spans="16:30" x14ac:dyDescent="0.25">
      <c r="P51">
        <v>610</v>
      </c>
      <c r="Q51">
        <v>608</v>
      </c>
      <c r="R51">
        <v>587</v>
      </c>
      <c r="S51">
        <v>554</v>
      </c>
      <c r="T51">
        <v>537</v>
      </c>
      <c r="U51">
        <v>492</v>
      </c>
      <c r="V51">
        <v>466</v>
      </c>
      <c r="W51">
        <v>461</v>
      </c>
      <c r="X51">
        <v>455</v>
      </c>
      <c r="Y51">
        <v>446</v>
      </c>
      <c r="Z51">
        <v>421</v>
      </c>
      <c r="AA51">
        <v>426</v>
      </c>
      <c r="AB51">
        <v>426</v>
      </c>
      <c r="AC51">
        <v>422</v>
      </c>
      <c r="AD51">
        <v>425</v>
      </c>
    </row>
    <row r="52" spans="16:30" x14ac:dyDescent="0.25">
      <c r="P52">
        <v>640</v>
      </c>
      <c r="Q52">
        <v>630</v>
      </c>
      <c r="R52">
        <v>608</v>
      </c>
      <c r="S52">
        <v>579</v>
      </c>
      <c r="T52">
        <v>551</v>
      </c>
      <c r="U52">
        <v>515</v>
      </c>
      <c r="V52">
        <v>491</v>
      </c>
      <c r="W52">
        <v>488</v>
      </c>
      <c r="X52">
        <v>480</v>
      </c>
      <c r="Y52">
        <v>471</v>
      </c>
      <c r="Z52">
        <v>450</v>
      </c>
      <c r="AA52">
        <v>430</v>
      </c>
      <c r="AB52">
        <v>432</v>
      </c>
      <c r="AC52">
        <v>424</v>
      </c>
      <c r="AD52">
        <v>425</v>
      </c>
    </row>
    <row r="53" spans="16:30" x14ac:dyDescent="0.25">
      <c r="P53">
        <v>640</v>
      </c>
      <c r="Q53">
        <v>632</v>
      </c>
      <c r="R53">
        <v>615</v>
      </c>
      <c r="S53">
        <v>591</v>
      </c>
      <c r="T53">
        <v>574</v>
      </c>
      <c r="U53">
        <v>530</v>
      </c>
      <c r="V53">
        <v>512</v>
      </c>
      <c r="W53">
        <v>496</v>
      </c>
      <c r="X53">
        <v>484</v>
      </c>
      <c r="Y53">
        <v>471</v>
      </c>
      <c r="Z53">
        <v>450</v>
      </c>
      <c r="AA53">
        <v>437</v>
      </c>
      <c r="AB53">
        <v>425</v>
      </c>
      <c r="AC53">
        <v>425</v>
      </c>
      <c r="AD53">
        <v>425</v>
      </c>
    </row>
  </sheetData>
  <mergeCells count="2">
    <mergeCell ref="P1:AD1"/>
    <mergeCell ref="P20:AD20"/>
  </mergeCells>
  <conditionalFormatting sqref="P22:AD3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3:AD1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69752-ADE5-4AAB-9C5F-6705C25A54C5}">
  <dimension ref="A1:P160"/>
  <sheetViews>
    <sheetView workbookViewId="0">
      <selection activeCell="N27" sqref="N27"/>
    </sheetView>
  </sheetViews>
  <sheetFormatPr defaultRowHeight="13.2" x14ac:dyDescent="0.25"/>
  <cols>
    <col min="1" max="1" width="35.44140625" style="12" bestFit="1" customWidth="1"/>
    <col min="2" max="2" width="25.88671875" style="12" bestFit="1" customWidth="1"/>
    <col min="3" max="3" width="17.6640625" style="12" bestFit="1" customWidth="1"/>
    <col min="4" max="4" width="15.33203125" style="12" bestFit="1" customWidth="1"/>
    <col min="5" max="5" width="24.44140625" style="12" bestFit="1" customWidth="1"/>
    <col min="6" max="7" width="8.88671875" style="12"/>
    <col min="8" max="8" width="14.33203125" style="75" bestFit="1" customWidth="1"/>
    <col min="9" max="9" width="18.77734375" style="76" bestFit="1" customWidth="1"/>
    <col min="10" max="10" width="9.33203125" style="75" bestFit="1" customWidth="1"/>
    <col min="11" max="11" width="20" style="77" bestFit="1" customWidth="1"/>
    <col min="12" max="12" width="20.44140625" style="74" bestFit="1" customWidth="1"/>
    <col min="13" max="13" width="8.88671875" style="12"/>
    <col min="14" max="14" width="34.33203125" style="12" bestFit="1" customWidth="1"/>
    <col min="15" max="15" width="15.44140625" style="12" customWidth="1"/>
    <col min="16" max="16" width="37.21875" style="12" bestFit="1" customWidth="1"/>
    <col min="17" max="16384" width="8.88671875" style="12"/>
  </cols>
  <sheetData>
    <row r="1" spans="1:16" ht="13.8" x14ac:dyDescent="0.25">
      <c r="A1" s="129" t="s">
        <v>177</v>
      </c>
      <c r="B1" s="129"/>
      <c r="C1" s="129"/>
      <c r="D1" s="129"/>
      <c r="E1" s="129"/>
      <c r="H1" s="87" t="s">
        <v>24</v>
      </c>
      <c r="I1" s="88" t="s">
        <v>130</v>
      </c>
      <c r="J1" s="87" t="s">
        <v>16</v>
      </c>
      <c r="K1" s="87" t="s">
        <v>15</v>
      </c>
      <c r="L1" s="87" t="s">
        <v>112</v>
      </c>
    </row>
    <row r="2" spans="1:16" ht="14.4" x14ac:dyDescent="0.3">
      <c r="A2" s="79" t="s">
        <v>138</v>
      </c>
      <c r="B2" s="20" t="s">
        <v>147</v>
      </c>
      <c r="C2" s="20" t="s">
        <v>131</v>
      </c>
      <c r="D2" s="20" t="s">
        <v>159</v>
      </c>
      <c r="E2" s="20" t="s">
        <v>157</v>
      </c>
      <c r="H2" s="75">
        <v>0</v>
      </c>
      <c r="I2" s="22">
        <v>41.956344120788835</v>
      </c>
      <c r="J2" s="75">
        <v>1.9091348477525374E-2</v>
      </c>
      <c r="K2" s="77">
        <v>21.411458333333336</v>
      </c>
      <c r="L2" s="74">
        <v>0</v>
      </c>
      <c r="N2" s="128" t="s">
        <v>111</v>
      </c>
      <c r="O2" s="128"/>
    </row>
    <row r="3" spans="1:16" ht="14.4" x14ac:dyDescent="0.3">
      <c r="A3" s="79" t="s">
        <v>139</v>
      </c>
      <c r="B3" s="74">
        <v>10</v>
      </c>
      <c r="C3" s="74">
        <v>12.3</v>
      </c>
      <c r="D3" s="74">
        <v>22</v>
      </c>
      <c r="E3" s="74">
        <v>9.1999999999999993</v>
      </c>
      <c r="H3" s="75">
        <v>1.5845973832571001</v>
      </c>
      <c r="I3" s="22">
        <v>41.956344120788835</v>
      </c>
      <c r="J3" s="75">
        <v>1.9091348477525374E-2</v>
      </c>
      <c r="K3" s="77">
        <v>21.411458333333336</v>
      </c>
      <c r="L3" s="74">
        <v>0</v>
      </c>
      <c r="N3" s="114" t="s">
        <v>127</v>
      </c>
      <c r="O3" s="114" t="s">
        <v>128</v>
      </c>
    </row>
    <row r="4" spans="1:16" ht="14.4" x14ac:dyDescent="0.3">
      <c r="A4" s="79" t="s">
        <v>140</v>
      </c>
      <c r="B4" s="74">
        <v>52</v>
      </c>
      <c r="C4" s="74">
        <v>680</v>
      </c>
      <c r="D4" s="74">
        <v>800</v>
      </c>
      <c r="E4" s="74">
        <v>400</v>
      </c>
      <c r="H4" s="75">
        <v>3.1826235578977355</v>
      </c>
      <c r="I4" s="22">
        <v>40.704649317751851</v>
      </c>
      <c r="J4" s="75">
        <v>1.9091348477525374E-2</v>
      </c>
      <c r="K4" s="77">
        <v>20.70369068287037</v>
      </c>
      <c r="L4" s="74">
        <v>0</v>
      </c>
      <c r="N4" s="142">
        <v>277</v>
      </c>
      <c r="O4" s="141">
        <f>N4/60</f>
        <v>4.6166666666666663</v>
      </c>
    </row>
    <row r="5" spans="1:16" ht="14.4" x14ac:dyDescent="0.3">
      <c r="A5" s="79" t="s">
        <v>141</v>
      </c>
      <c r="B5" s="74">
        <v>24000</v>
      </c>
      <c r="C5" s="74">
        <v>5500</v>
      </c>
      <c r="D5" s="74">
        <v>4000</v>
      </c>
      <c r="E5" s="74">
        <v>16500</v>
      </c>
      <c r="H5" s="75">
        <v>4.7874498439198199</v>
      </c>
      <c r="I5" s="22">
        <v>41.144398383272218</v>
      </c>
      <c r="J5" s="75">
        <v>1.9091348477525374E-2</v>
      </c>
      <c r="K5" s="77">
        <v>20.70369068287037</v>
      </c>
      <c r="L5" s="74">
        <v>0</v>
      </c>
    </row>
    <row r="6" spans="1:16" ht="14.4" x14ac:dyDescent="0.3">
      <c r="A6" s="79" t="s">
        <v>142</v>
      </c>
      <c r="B6" s="74">
        <v>40</v>
      </c>
      <c r="C6" s="74">
        <v>109</v>
      </c>
      <c r="D6" s="74">
        <v>80</v>
      </c>
      <c r="E6" s="74">
        <v>75</v>
      </c>
      <c r="H6" s="75">
        <v>6.406051462869133</v>
      </c>
      <c r="I6" s="22">
        <v>40.523362749469115</v>
      </c>
      <c r="J6" s="75">
        <v>1.9091348477525374E-2</v>
      </c>
      <c r="K6" s="77">
        <v>20.354267578125</v>
      </c>
      <c r="L6" s="74">
        <v>0</v>
      </c>
    </row>
    <row r="7" spans="1:16" ht="14.4" x14ac:dyDescent="0.3">
      <c r="A7" s="79" t="s">
        <v>143</v>
      </c>
      <c r="B7" s="74">
        <v>22</v>
      </c>
      <c r="C7" s="74">
        <v>62</v>
      </c>
      <c r="D7" s="74">
        <v>65</v>
      </c>
      <c r="E7" s="74">
        <v>40</v>
      </c>
      <c r="H7" s="75">
        <v>8.0386669486491762</v>
      </c>
      <c r="I7" s="22">
        <v>40.121355127982461</v>
      </c>
      <c r="J7" s="75">
        <v>1.9091348477525374E-2</v>
      </c>
      <c r="K7" s="77">
        <v>20.007818287037036</v>
      </c>
      <c r="L7" s="74">
        <v>0</v>
      </c>
      <c r="N7" s="114" t="s">
        <v>121</v>
      </c>
      <c r="P7" s="114" t="s">
        <v>122</v>
      </c>
    </row>
    <row r="8" spans="1:16" ht="14.4" x14ac:dyDescent="0.3">
      <c r="A8" s="79" t="s">
        <v>144</v>
      </c>
      <c r="B8" s="74">
        <v>30</v>
      </c>
      <c r="C8" s="74">
        <v>230</v>
      </c>
      <c r="D8" s="74">
        <v>300</v>
      </c>
      <c r="E8" s="20"/>
      <c r="H8" s="75">
        <v>9.6855410849600485</v>
      </c>
      <c r="I8" s="22">
        <v>39.719431660079714</v>
      </c>
      <c r="J8" s="75">
        <v>1.9091348477525374E-2</v>
      </c>
      <c r="K8" s="77">
        <v>19.664342809606477</v>
      </c>
      <c r="L8" s="74">
        <v>0</v>
      </c>
      <c r="N8" s="143">
        <f>AVERAGE(L2:L160)</f>
        <v>7.6128848640178246</v>
      </c>
      <c r="P8" s="143">
        <f>AVERAGE(I2:I160)</f>
        <v>13.603995670351656</v>
      </c>
    </row>
    <row r="9" spans="1:16" ht="14.4" x14ac:dyDescent="0.3">
      <c r="A9" s="79" t="s">
        <v>145</v>
      </c>
      <c r="B9" s="20"/>
      <c r="C9" s="74">
        <v>120</v>
      </c>
      <c r="D9" s="20"/>
      <c r="E9" s="20"/>
      <c r="H9" s="75">
        <v>11.346925125555599</v>
      </c>
      <c r="I9" s="22">
        <v>39.317591348039507</v>
      </c>
      <c r="J9" s="75">
        <v>1.9091348477525374E-2</v>
      </c>
      <c r="K9" s="77">
        <v>19.323841145833327</v>
      </c>
      <c r="L9" s="74">
        <v>0</v>
      </c>
    </row>
    <row r="10" spans="1:16" ht="14.4" x14ac:dyDescent="0.3">
      <c r="A10" s="79" t="s">
        <v>148</v>
      </c>
      <c r="B10" s="74">
        <v>85</v>
      </c>
      <c r="C10" s="74">
        <v>120</v>
      </c>
      <c r="D10" s="20"/>
      <c r="E10" s="74">
        <v>50</v>
      </c>
      <c r="H10" s="75">
        <v>13.023077024289776</v>
      </c>
      <c r="I10" s="22">
        <v>38.915833194140497</v>
      </c>
      <c r="J10" s="75">
        <v>1.9091348477525374E-2</v>
      </c>
      <c r="K10" s="77">
        <v>18.98631329571759</v>
      </c>
      <c r="L10" s="74">
        <v>0</v>
      </c>
      <c r="N10" s="114" t="s">
        <v>124</v>
      </c>
      <c r="P10" s="114" t="s">
        <v>123</v>
      </c>
    </row>
    <row r="11" spans="1:16" ht="14.4" x14ac:dyDescent="0.3">
      <c r="A11" s="79" t="s">
        <v>146</v>
      </c>
      <c r="B11" s="74">
        <v>95</v>
      </c>
      <c r="C11" s="74">
        <v>94</v>
      </c>
      <c r="D11" s="20"/>
      <c r="E11" s="74">
        <v>96</v>
      </c>
      <c r="H11" s="75">
        <v>14.714261675478969</v>
      </c>
      <c r="I11" s="22">
        <v>38.514156200661311</v>
      </c>
      <c r="J11" s="75">
        <v>1.9091348477525374E-2</v>
      </c>
      <c r="K11" s="77">
        <v>18.651759259259254</v>
      </c>
      <c r="L11" s="74">
        <v>0</v>
      </c>
      <c r="N11" s="141">
        <f>((SUM(L2:L160))/H160)</f>
        <v>3.722210073735412</v>
      </c>
      <c r="P11" s="143">
        <f>(SUM(I2:I160))/H160</f>
        <v>6.6514771511349764</v>
      </c>
    </row>
    <row r="12" spans="1:16" x14ac:dyDescent="0.25">
      <c r="C12" s="62" t="s">
        <v>160</v>
      </c>
      <c r="H12" s="75">
        <v>16.420751165140462</v>
      </c>
      <c r="I12" s="22">
        <v>38.112559369880607</v>
      </c>
      <c r="J12" s="75">
        <v>1.9091348477525374E-2</v>
      </c>
      <c r="K12" s="77">
        <v>18.320179036458331</v>
      </c>
      <c r="L12" s="74">
        <v>0</v>
      </c>
    </row>
    <row r="13" spans="1:16" ht="14.4" x14ac:dyDescent="0.3">
      <c r="A13" s="80"/>
      <c r="H13" s="75">
        <v>18.142825033702973</v>
      </c>
      <c r="I13" s="22">
        <v>37.711041704077026</v>
      </c>
      <c r="J13" s="75">
        <v>1.9091348477525374E-2</v>
      </c>
      <c r="K13" s="77">
        <v>17.99157262731481</v>
      </c>
      <c r="L13" s="74">
        <v>0</v>
      </c>
      <c r="N13" s="114" t="s">
        <v>125</v>
      </c>
      <c r="P13" s="114" t="s">
        <v>163</v>
      </c>
    </row>
    <row r="14" spans="1:16" x14ac:dyDescent="0.25">
      <c r="A14" s="128" t="s">
        <v>158</v>
      </c>
      <c r="B14" s="128"/>
      <c r="C14" s="128"/>
      <c r="D14" s="128"/>
      <c r="E14" s="128"/>
      <c r="H14" s="75">
        <v>19.880770550823662</v>
      </c>
      <c r="I14" s="22">
        <v>37.309602205529238</v>
      </c>
      <c r="J14" s="75">
        <v>1.9091348477525374E-2</v>
      </c>
      <c r="K14" s="77">
        <v>17.665940031828704</v>
      </c>
      <c r="L14" s="74">
        <v>0</v>
      </c>
      <c r="N14" s="141">
        <f>P11-N11</f>
        <v>2.9292670773995644</v>
      </c>
      <c r="P14" s="144">
        <f>'Hybrid System Costing'!E7</f>
        <v>0.77369519999999981</v>
      </c>
    </row>
    <row r="15" spans="1:16" ht="14.4" x14ac:dyDescent="0.3">
      <c r="A15" s="81" t="s">
        <v>179</v>
      </c>
      <c r="B15" s="81" t="s">
        <v>135</v>
      </c>
      <c r="C15" s="20" t="s">
        <v>153</v>
      </c>
      <c r="D15" s="20" t="s">
        <v>155</v>
      </c>
      <c r="E15" s="20" t="s">
        <v>156</v>
      </c>
      <c r="H15" s="75">
        <v>21.634883002987337</v>
      </c>
      <c r="I15" s="22">
        <v>36.908239876515843</v>
      </c>
      <c r="J15" s="75">
        <v>1.9091348477525374E-2</v>
      </c>
      <c r="K15" s="77">
        <v>17.34328125</v>
      </c>
      <c r="L15" s="74">
        <v>0</v>
      </c>
    </row>
    <row r="16" spans="1:16" ht="14.4" x14ac:dyDescent="0.3">
      <c r="A16" s="81" t="s">
        <v>139</v>
      </c>
      <c r="B16" s="44">
        <v>6.7</v>
      </c>
      <c r="C16" s="74">
        <v>4.2</v>
      </c>
      <c r="D16" s="74">
        <v>7.5</v>
      </c>
      <c r="E16" s="74">
        <v>10</v>
      </c>
      <c r="H16" s="75">
        <v>23.405465994607948</v>
      </c>
      <c r="I16" s="22">
        <v>36.506953719315518</v>
      </c>
      <c r="J16" s="75">
        <v>1.9091348477525374E-2</v>
      </c>
      <c r="K16" s="77">
        <v>17.023596281828702</v>
      </c>
      <c r="L16" s="74">
        <v>0</v>
      </c>
      <c r="N16" s="145" t="s">
        <v>126</v>
      </c>
      <c r="P16" s="114" t="s">
        <v>164</v>
      </c>
    </row>
    <row r="17" spans="1:16" ht="14.4" x14ac:dyDescent="0.3">
      <c r="A17" s="81" t="s">
        <v>151</v>
      </c>
      <c r="B17" s="44">
        <v>830</v>
      </c>
      <c r="C17" s="74">
        <v>400</v>
      </c>
      <c r="D17" s="74">
        <v>450</v>
      </c>
      <c r="E17" s="74">
        <v>900</v>
      </c>
      <c r="H17" s="75">
        <v>25.192831763400317</v>
      </c>
      <c r="I17" s="22">
        <v>36.105742736206913</v>
      </c>
      <c r="J17" s="75">
        <v>1.9091348477525374E-2</v>
      </c>
      <c r="K17" s="77">
        <v>16.706885127314809</v>
      </c>
      <c r="L17" s="74">
        <v>0</v>
      </c>
      <c r="N17" s="141">
        <f>'Cell Selection'!H18/N14</f>
        <v>35.836950754654872</v>
      </c>
      <c r="P17" s="141">
        <f>N17*P14</f>
        <v>27.726876781512846</v>
      </c>
    </row>
    <row r="18" spans="1:16" ht="14.4" x14ac:dyDescent="0.3">
      <c r="A18" s="81" t="s">
        <v>154</v>
      </c>
      <c r="B18" s="44">
        <v>500</v>
      </c>
      <c r="C18" s="74">
        <v>400</v>
      </c>
      <c r="D18" s="74">
        <v>450</v>
      </c>
      <c r="E18" s="74">
        <v>300</v>
      </c>
      <c r="H18" s="75">
        <v>26.997301510841417</v>
      </c>
      <c r="I18" s="22">
        <v>35.704605929468656</v>
      </c>
      <c r="J18" s="75">
        <v>1.9091348477525374E-2</v>
      </c>
      <c r="K18" s="77">
        <v>16.393147786458332</v>
      </c>
      <c r="L18" s="74">
        <v>0</v>
      </c>
    </row>
    <row r="19" spans="1:16" ht="14.4" x14ac:dyDescent="0.3">
      <c r="A19" s="81" t="s">
        <v>152</v>
      </c>
      <c r="B19" s="44">
        <v>250</v>
      </c>
      <c r="C19" s="74">
        <v>100</v>
      </c>
      <c r="D19" s="74">
        <v>135</v>
      </c>
      <c r="E19" s="74">
        <v>170</v>
      </c>
      <c r="H19" s="75">
        <v>28.819205748595959</v>
      </c>
      <c r="I19" s="22">
        <v>35.303542301379409</v>
      </c>
      <c r="J19" s="75">
        <v>1.9091348477525374E-2</v>
      </c>
      <c r="K19" s="77">
        <v>16.082384259259261</v>
      </c>
      <c r="L19" s="74">
        <v>0</v>
      </c>
    </row>
    <row r="20" spans="1:16" x14ac:dyDescent="0.25">
      <c r="B20" s="62" t="s">
        <v>160</v>
      </c>
      <c r="H20" s="75">
        <v>30.658884661840787</v>
      </c>
      <c r="I20" s="22">
        <v>34.9025508542178</v>
      </c>
      <c r="J20" s="75">
        <v>1.9091348477525374E-2</v>
      </c>
      <c r="K20" s="77">
        <v>15.774594545717591</v>
      </c>
      <c r="L20" s="74">
        <v>0</v>
      </c>
    </row>
    <row r="21" spans="1:16" x14ac:dyDescent="0.25">
      <c r="H21" s="75">
        <v>32.516688490487049</v>
      </c>
      <c r="I21" s="22">
        <v>34.501630590262486</v>
      </c>
      <c r="J21" s="75">
        <v>1.9091348477525374E-2</v>
      </c>
      <c r="K21" s="77">
        <v>15.469778645833332</v>
      </c>
      <c r="L21" s="74">
        <v>0</v>
      </c>
    </row>
    <row r="22" spans="1:16" x14ac:dyDescent="0.25">
      <c r="A22" s="128" t="s">
        <v>178</v>
      </c>
      <c r="B22" s="128"/>
      <c r="C22" s="128"/>
      <c r="D22" s="128"/>
      <c r="E22" s="128"/>
      <c r="H22" s="75">
        <v>34.392977929368591</v>
      </c>
      <c r="I22" s="22">
        <v>34.100780511792117</v>
      </c>
      <c r="J22" s="75">
        <v>1.9091348477525374E-2</v>
      </c>
      <c r="K22" s="77">
        <v>15.167936559606478</v>
      </c>
      <c r="L22" s="74">
        <v>0</v>
      </c>
    </row>
    <row r="23" spans="1:16" x14ac:dyDescent="0.25">
      <c r="A23" s="39" t="s">
        <v>182</v>
      </c>
      <c r="B23" s="39" t="s">
        <v>183</v>
      </c>
      <c r="C23" s="39" t="s">
        <v>184</v>
      </c>
      <c r="D23" s="39" t="s">
        <v>185</v>
      </c>
      <c r="E23" s="39" t="s">
        <v>186</v>
      </c>
      <c r="H23" s="75">
        <v>36.288124548540402</v>
      </c>
      <c r="I23" s="22">
        <v>33.699999621085325</v>
      </c>
      <c r="J23" s="75">
        <v>1.9091348477525374E-2</v>
      </c>
      <c r="K23" s="77">
        <v>14.869068287037036</v>
      </c>
      <c r="L23" s="74">
        <v>0</v>
      </c>
    </row>
    <row r="24" spans="1:16" x14ac:dyDescent="0.25">
      <c r="A24" s="39" t="s">
        <v>139</v>
      </c>
      <c r="B24" s="74">
        <v>3.1</v>
      </c>
      <c r="C24" s="74">
        <v>7</v>
      </c>
      <c r="D24" s="74">
        <v>1.3</v>
      </c>
      <c r="E24" s="74">
        <v>1.9</v>
      </c>
      <c r="H24" s="75">
        <v>38.202511234911924</v>
      </c>
      <c r="I24" s="22">
        <v>33.299286920420769</v>
      </c>
      <c r="J24" s="75">
        <v>1.9091348477525374E-2</v>
      </c>
      <c r="K24" s="77">
        <v>14.573173828125</v>
      </c>
      <c r="L24" s="74">
        <v>0</v>
      </c>
    </row>
    <row r="25" spans="1:16" x14ac:dyDescent="0.25">
      <c r="A25" s="39" t="s">
        <v>180</v>
      </c>
      <c r="B25" s="74">
        <v>13</v>
      </c>
      <c r="C25" s="74">
        <v>52</v>
      </c>
      <c r="D25" s="74">
        <v>14</v>
      </c>
      <c r="E25" s="74">
        <v>22</v>
      </c>
      <c r="H25" s="75">
        <v>40.136532656528281</v>
      </c>
      <c r="I25" s="22">
        <v>32.89864141207709</v>
      </c>
      <c r="J25" s="75">
        <v>1.9091348477525374E-2</v>
      </c>
      <c r="K25" s="77">
        <v>14.280253182870368</v>
      </c>
      <c r="L25" s="74">
        <v>0</v>
      </c>
      <c r="O25" s="12" t="s">
        <v>119</v>
      </c>
    </row>
    <row r="26" spans="1:16" x14ac:dyDescent="0.25">
      <c r="A26" s="39" t="s">
        <v>187</v>
      </c>
      <c r="B26" s="74">
        <v>10</v>
      </c>
      <c r="C26" s="74">
        <v>23</v>
      </c>
      <c r="D26" s="74">
        <v>7</v>
      </c>
      <c r="E26" s="74">
        <v>11</v>
      </c>
      <c r="H26" s="75">
        <v>42.090595750907504</v>
      </c>
      <c r="I26" s="22">
        <v>32.498062098332923</v>
      </c>
      <c r="J26" s="75">
        <v>1.9091348477525374E-2</v>
      </c>
      <c r="K26" s="77">
        <v>13.990306351273146</v>
      </c>
      <c r="L26" s="74">
        <v>0</v>
      </c>
    </row>
    <row r="27" spans="1:16" x14ac:dyDescent="0.25">
      <c r="A27" s="39" t="s">
        <v>188</v>
      </c>
      <c r="B27" s="75">
        <f>B26/B24</f>
        <v>3.225806451612903</v>
      </c>
      <c r="C27" s="75">
        <f t="shared" ref="C27:E27" si="0">C26/C24</f>
        <v>3.2857142857142856</v>
      </c>
      <c r="D27" s="75">
        <f t="shared" si="0"/>
        <v>5.3846153846153841</v>
      </c>
      <c r="E27" s="75">
        <f t="shared" si="0"/>
        <v>5.7894736842105265</v>
      </c>
      <c r="H27" s="75">
        <v>44.065120238945148</v>
      </c>
      <c r="I27" s="22">
        <v>32.097547981466938</v>
      </c>
      <c r="J27" s="75">
        <v>1.9091348477525374E-2</v>
      </c>
      <c r="K27" s="77">
        <v>13.70333333333333</v>
      </c>
      <c r="L27" s="74">
        <v>0</v>
      </c>
    </row>
    <row r="28" spans="1:16" x14ac:dyDescent="0.25">
      <c r="A28" s="39" t="s">
        <v>181</v>
      </c>
      <c r="B28" s="74">
        <v>95</v>
      </c>
      <c r="C28" s="74">
        <v>96</v>
      </c>
      <c r="D28" s="74">
        <v>95</v>
      </c>
      <c r="E28" s="74">
        <v>95</v>
      </c>
      <c r="H28" s="75">
        <v>46.060539166009647</v>
      </c>
      <c r="I28" s="22">
        <v>31.69709806375776</v>
      </c>
      <c r="J28" s="75">
        <v>1.9091348477525374E-2</v>
      </c>
      <c r="K28" s="77">
        <v>13.419334129050926</v>
      </c>
      <c r="L28" s="74">
        <v>0</v>
      </c>
    </row>
    <row r="29" spans="1:16" x14ac:dyDescent="0.25">
      <c r="E29" s="62" t="s">
        <v>160</v>
      </c>
      <c r="H29" s="75">
        <v>48.077299471973227</v>
      </c>
      <c r="I29" s="22">
        <v>31.296711347484045</v>
      </c>
      <c r="J29" s="75">
        <v>1.9091348477525374E-2</v>
      </c>
      <c r="K29" s="77">
        <v>13.138308738425925</v>
      </c>
      <c r="L29" s="74">
        <v>0</v>
      </c>
    </row>
    <row r="30" spans="1:16" x14ac:dyDescent="0.25">
      <c r="H30" s="75">
        <v>50.115862592055336</v>
      </c>
      <c r="I30" s="22">
        <v>30.896386834924431</v>
      </c>
      <c r="J30" s="75">
        <v>1.9091348477525374E-2</v>
      </c>
      <c r="K30" s="77">
        <v>12.860257161458332</v>
      </c>
      <c r="L30" s="74">
        <v>0</v>
      </c>
    </row>
    <row r="31" spans="1:16" x14ac:dyDescent="0.25">
      <c r="H31" s="75">
        <v>52.176705090498999</v>
      </c>
      <c r="I31" s="22">
        <v>30.496123528357575</v>
      </c>
      <c r="J31" s="75">
        <v>1.9091348477525374E-2</v>
      </c>
      <c r="K31" s="77">
        <v>12.585179398148146</v>
      </c>
      <c r="L31" s="74">
        <v>0</v>
      </c>
    </row>
    <row r="32" spans="1:16" x14ac:dyDescent="0.25">
      <c r="H32" s="75">
        <v>54.260319329256951</v>
      </c>
      <c r="I32" s="22">
        <v>30.095920430062119</v>
      </c>
      <c r="J32" s="75">
        <v>1.9091348477525374E-2</v>
      </c>
      <c r="K32" s="77">
        <v>12.31307544849537</v>
      </c>
      <c r="L32" s="74">
        <v>0</v>
      </c>
    </row>
    <row r="33" spans="8:12" x14ac:dyDescent="0.25">
      <c r="H33" s="75">
        <v>56.367214174034551</v>
      </c>
      <c r="I33" s="22">
        <v>29.695776542316697</v>
      </c>
      <c r="J33" s="75">
        <v>1.9091348477525374E-2</v>
      </c>
      <c r="K33" s="77">
        <v>12.0439453125</v>
      </c>
      <c r="L33" s="74">
        <v>0</v>
      </c>
    </row>
    <row r="34" spans="8:12" x14ac:dyDescent="0.25">
      <c r="H34" s="75">
        <v>58.497915740222062</v>
      </c>
      <c r="I34" s="22">
        <v>29.295690867399966</v>
      </c>
      <c r="J34" s="75">
        <v>1.9091348477525374E-2</v>
      </c>
      <c r="K34" s="77">
        <v>11.777788990162037</v>
      </c>
      <c r="L34" s="74">
        <v>0</v>
      </c>
    </row>
    <row r="35" spans="8:12" x14ac:dyDescent="0.25">
      <c r="H35" s="75">
        <v>60.652968181451719</v>
      </c>
      <c r="I35" s="22">
        <v>28.895662407590567</v>
      </c>
      <c r="J35" s="75">
        <v>1.9091348477525374E-2</v>
      </c>
      <c r="K35" s="77">
        <v>11.514606481481479</v>
      </c>
      <c r="L35" s="74">
        <v>0</v>
      </c>
    </row>
    <row r="36" spans="8:12" x14ac:dyDescent="0.25">
      <c r="H36" s="75">
        <v>62.83293452373605</v>
      </c>
      <c r="I36" s="22">
        <v>28.495690165167158</v>
      </c>
      <c r="J36" s="75">
        <v>1.9091348477525374E-2</v>
      </c>
      <c r="K36" s="77">
        <v>11.254397786458332</v>
      </c>
      <c r="L36" s="74">
        <v>0</v>
      </c>
    </row>
    <row r="37" spans="8:12" x14ac:dyDescent="0.25">
      <c r="H37" s="75">
        <v>65.038397548386286</v>
      </c>
      <c r="I37" s="22">
        <v>28.095773142408373</v>
      </c>
      <c r="J37" s="75">
        <v>1.9091348477525374E-2</v>
      </c>
      <c r="K37" s="77">
        <v>10.997162905092591</v>
      </c>
      <c r="L37" s="74">
        <v>0</v>
      </c>
    </row>
    <row r="38" spans="8:12" x14ac:dyDescent="0.25">
      <c r="H38" s="75">
        <v>67.269960727174393</v>
      </c>
      <c r="I38" s="22">
        <v>27.695910341592853</v>
      </c>
      <c r="J38" s="75">
        <v>1.9091348477525374E-2</v>
      </c>
      <c r="K38" s="77">
        <v>10.742901837384258</v>
      </c>
      <c r="L38" s="74">
        <v>0</v>
      </c>
    </row>
    <row r="39" spans="8:12" x14ac:dyDescent="0.25">
      <c r="H39" s="75">
        <v>69.528249213492899</v>
      </c>
      <c r="I39" s="22">
        <v>27.296100764999263</v>
      </c>
      <c r="J39" s="75">
        <v>1.9091348477525374E-2</v>
      </c>
      <c r="K39" s="77">
        <v>10.49161458333333</v>
      </c>
      <c r="L39" s="74">
        <v>0</v>
      </c>
    </row>
    <row r="40" spans="8:12" x14ac:dyDescent="0.25">
      <c r="H40" s="75">
        <v>71.813910893584961</v>
      </c>
      <c r="I40" s="22">
        <v>26.89634341490623</v>
      </c>
      <c r="J40" s="75">
        <v>1.9091348477525374E-2</v>
      </c>
      <c r="K40" s="77">
        <v>10.243301142939812</v>
      </c>
      <c r="L40" s="74">
        <v>0</v>
      </c>
    </row>
    <row r="41" spans="8:12" x14ac:dyDescent="0.25">
      <c r="H41" s="75">
        <v>74.127617502267114</v>
      </c>
      <c r="I41" s="22">
        <v>26.496637293592403</v>
      </c>
      <c r="J41" s="75">
        <v>1.9091348477525374E-2</v>
      </c>
      <c r="K41" s="77">
        <v>9.9979615162037039</v>
      </c>
      <c r="L41" s="74">
        <v>0</v>
      </c>
    </row>
    <row r="42" spans="8:12" x14ac:dyDescent="0.25">
      <c r="H42" s="75">
        <v>76.470065807951528</v>
      </c>
      <c r="I42" s="22">
        <v>26.096981403336439</v>
      </c>
      <c r="J42" s="75">
        <v>1.9091348477525374E-2</v>
      </c>
      <c r="K42" s="77">
        <v>9.7555957031249996</v>
      </c>
      <c r="L42" s="74">
        <v>0</v>
      </c>
    </row>
    <row r="43" spans="8:12" x14ac:dyDescent="0.25">
      <c r="H43" s="75">
        <v>78.841978872198013</v>
      </c>
      <c r="I43" s="22">
        <v>25.69737474641698</v>
      </c>
      <c r="J43" s="75">
        <v>1.9091348477525374E-2</v>
      </c>
      <c r="K43" s="77">
        <v>9.5162037037037024</v>
      </c>
      <c r="L43" s="74">
        <v>0</v>
      </c>
    </row>
    <row r="44" spans="8:12" x14ac:dyDescent="0.25">
      <c r="H44" s="75">
        <v>81.244107389492228</v>
      </c>
      <c r="I44" s="22">
        <v>25.297816325112656</v>
      </c>
      <c r="J44" s="75">
        <v>1.9091348477525374E-2</v>
      </c>
      <c r="K44" s="77">
        <v>9.2797855179398123</v>
      </c>
      <c r="L44" s="74">
        <v>0</v>
      </c>
    </row>
    <row r="45" spans="8:12" x14ac:dyDescent="0.25">
      <c r="H45" s="75">
        <v>83.677231113461204</v>
      </c>
      <c r="I45" s="22">
        <v>24.898305141702142</v>
      </c>
      <c r="J45" s="75">
        <v>1.9091348477525374E-2</v>
      </c>
      <c r="K45" s="77">
        <v>9.0463411458333347</v>
      </c>
      <c r="L45" s="74">
        <v>0</v>
      </c>
    </row>
    <row r="46" spans="8:12" x14ac:dyDescent="0.25">
      <c r="H46" s="75">
        <v>86.142160376305597</v>
      </c>
      <c r="I46" s="22">
        <v>24.498840198464052</v>
      </c>
      <c r="J46" s="75">
        <v>1.9091348477525374E-2</v>
      </c>
      <c r="K46" s="77">
        <v>8.8158705873842589</v>
      </c>
      <c r="L46" s="74">
        <v>0</v>
      </c>
    </row>
    <row r="47" spans="8:12" x14ac:dyDescent="0.25">
      <c r="H47" s="75">
        <v>88.639737708856529</v>
      </c>
      <c r="I47" s="22">
        <v>24.099420497677052</v>
      </c>
      <c r="J47" s="75">
        <v>1.9091348477525374E-2</v>
      </c>
      <c r="K47" s="77">
        <v>8.588373842592592</v>
      </c>
      <c r="L47" s="74">
        <v>0</v>
      </c>
    </row>
    <row r="48" spans="8:12" x14ac:dyDescent="0.25">
      <c r="H48" s="75">
        <v>91.170839569361164</v>
      </c>
      <c r="I48" s="22">
        <v>23.700045041619781</v>
      </c>
      <c r="J48" s="75">
        <v>1.9091348477525374E-2</v>
      </c>
      <c r="K48" s="77">
        <v>8.3638509114583321</v>
      </c>
      <c r="L48" s="74">
        <v>0</v>
      </c>
    </row>
    <row r="49" spans="8:12" x14ac:dyDescent="0.25">
      <c r="H49" s="75">
        <v>93.736378189872667</v>
      </c>
      <c r="I49" s="22">
        <v>23.300712832570884</v>
      </c>
      <c r="J49" s="75">
        <v>1.9091348477525374E-2</v>
      </c>
      <c r="K49" s="77">
        <v>8.1423017939814795</v>
      </c>
      <c r="L49" s="74">
        <v>0</v>
      </c>
    </row>
    <row r="50" spans="8:12" x14ac:dyDescent="0.25">
      <c r="H50" s="75">
        <v>96.337303549977435</v>
      </c>
      <c r="I50" s="22">
        <v>22.901422872809022</v>
      </c>
      <c r="J50" s="75">
        <v>1.9091348477525374E-2</v>
      </c>
      <c r="K50" s="77">
        <v>7.9237264901620366</v>
      </c>
      <c r="L50" s="74">
        <v>0</v>
      </c>
    </row>
    <row r="51" spans="8:12" x14ac:dyDescent="0.25">
      <c r="H51" s="75">
        <v>98.974605488545208</v>
      </c>
      <c r="I51" s="22">
        <v>22.502174164612818</v>
      </c>
      <c r="J51" s="75">
        <v>1.9091348477525374E-2</v>
      </c>
      <c r="K51" s="77">
        <v>7.7081249999999999</v>
      </c>
      <c r="L51" s="74">
        <v>0</v>
      </c>
    </row>
    <row r="52" spans="8:12" x14ac:dyDescent="0.25">
      <c r="H52" s="75">
        <v>101.64931596524869</v>
      </c>
      <c r="I52" s="22">
        <v>22.102965710260925</v>
      </c>
      <c r="J52" s="75">
        <v>1.9091348477525374E-2</v>
      </c>
      <c r="K52" s="77">
        <v>7.4954973234953686</v>
      </c>
      <c r="L52" s="74">
        <v>0</v>
      </c>
    </row>
    <row r="53" spans="8:12" x14ac:dyDescent="0.25">
      <c r="H53" s="75">
        <v>104.36251148478244</v>
      </c>
      <c r="I53" s="22">
        <v>21.703796512031996</v>
      </c>
      <c r="J53" s="75">
        <v>1.9091348477525374E-2</v>
      </c>
      <c r="K53" s="77">
        <v>7.285843460648147</v>
      </c>
      <c r="L53" s="74">
        <v>0</v>
      </c>
    </row>
    <row r="54" spans="8:12" x14ac:dyDescent="0.25">
      <c r="H54" s="75">
        <v>107.11531569803202</v>
      </c>
      <c r="I54" s="22">
        <v>21.30466557220468</v>
      </c>
      <c r="J54" s="75">
        <v>1.9091348477525374E-2</v>
      </c>
      <c r="K54" s="77">
        <v>7.0791634114583335</v>
      </c>
      <c r="L54" s="74">
        <v>0</v>
      </c>
    </row>
    <row r="55" spans="8:12" x14ac:dyDescent="0.25">
      <c r="H55" s="75">
        <v>109.90890219592232</v>
      </c>
      <c r="I55" s="22">
        <v>20.905571893057612</v>
      </c>
      <c r="J55" s="75">
        <v>1.9091348477525374E-2</v>
      </c>
      <c r="K55" s="77">
        <v>6.8754571759259262</v>
      </c>
      <c r="L55" s="74">
        <v>0</v>
      </c>
    </row>
    <row r="56" spans="8:12" x14ac:dyDescent="0.25">
      <c r="H56" s="75">
        <v>112.74449751332978</v>
      </c>
      <c r="I56" s="22">
        <v>20.506514476869437</v>
      </c>
      <c r="J56" s="75">
        <v>1.9091348477525374E-2</v>
      </c>
      <c r="K56" s="77">
        <v>6.6747247540509251</v>
      </c>
      <c r="L56" s="74">
        <v>0</v>
      </c>
    </row>
    <row r="57" spans="8:12" x14ac:dyDescent="0.25">
      <c r="H57" s="75">
        <v>115.6233843623007</v>
      </c>
      <c r="I57" s="22">
        <v>20.107492325918802</v>
      </c>
      <c r="J57" s="75">
        <v>1.9091348477525374E-2</v>
      </c>
      <c r="K57" s="77">
        <v>6.476966145833333</v>
      </c>
      <c r="L57" s="74">
        <v>0</v>
      </c>
    </row>
    <row r="58" spans="8:12" x14ac:dyDescent="0.25">
      <c r="H58" s="75">
        <v>118.54690511590684</v>
      </c>
      <c r="I58" s="22">
        <v>19.708504442484358</v>
      </c>
      <c r="J58" s="75">
        <v>1.9091348477525374E-2</v>
      </c>
      <c r="K58" s="77">
        <v>6.2821813512731461</v>
      </c>
      <c r="L58" s="74">
        <v>0</v>
      </c>
    </row>
    <row r="59" spans="8:12" x14ac:dyDescent="0.25">
      <c r="H59" s="75">
        <v>121.51646556642015</v>
      </c>
      <c r="I59" s="22">
        <v>19.309549828844762</v>
      </c>
      <c r="J59" s="75">
        <v>1.9091348477525374E-2</v>
      </c>
      <c r="K59" s="77">
        <v>6.0903703703703718</v>
      </c>
      <c r="L59" s="74">
        <v>0</v>
      </c>
    </row>
    <row r="60" spans="8:12" x14ac:dyDescent="0.25">
      <c r="H60" s="75">
        <v>124.53353898414169</v>
      </c>
      <c r="I60" s="22">
        <v>18.910627487278635</v>
      </c>
      <c r="J60" s="75">
        <v>1.9091348477525374E-2</v>
      </c>
      <c r="K60" s="77">
        <v>5.9015332031250001</v>
      </c>
      <c r="L60" s="74">
        <v>0</v>
      </c>
    </row>
    <row r="61" spans="8:12" x14ac:dyDescent="0.25">
      <c r="H61" s="75">
        <v>127.59967050621641</v>
      </c>
      <c r="I61" s="22">
        <v>18.511736420064636</v>
      </c>
      <c r="J61" s="75">
        <v>1.9091348477525374E-2</v>
      </c>
      <c r="K61" s="77">
        <v>5.7156698495370364</v>
      </c>
      <c r="L61" s="74">
        <v>0</v>
      </c>
    </row>
    <row r="62" spans="8:12" x14ac:dyDescent="0.25">
      <c r="H62" s="75">
        <v>130.71648188816013</v>
      </c>
      <c r="I62" s="22">
        <v>18.112875629481405</v>
      </c>
      <c r="J62" s="75">
        <v>1.9091348477525374E-2</v>
      </c>
      <c r="K62" s="77">
        <v>5.5327803096064798</v>
      </c>
      <c r="L62" s="74">
        <v>0</v>
      </c>
    </row>
    <row r="63" spans="8:12" x14ac:dyDescent="0.25">
      <c r="H63" s="75">
        <v>133.88567665467434</v>
      </c>
      <c r="I63" s="22">
        <v>17.714044117807607</v>
      </c>
      <c r="J63" s="75">
        <v>1.9091348477525374E-2</v>
      </c>
      <c r="K63" s="77">
        <v>5.3528645833333339</v>
      </c>
      <c r="L63" s="74">
        <v>0</v>
      </c>
    </row>
    <row r="64" spans="8:12" x14ac:dyDescent="0.25">
      <c r="H64" s="75">
        <v>137.10904569070161</v>
      </c>
      <c r="I64" s="22">
        <v>17.811593506071862</v>
      </c>
      <c r="J64" s="75">
        <v>1.9091348477525374E-2</v>
      </c>
      <c r="K64" s="77">
        <v>5.1759226707175925</v>
      </c>
      <c r="L64" s="74">
        <v>0</v>
      </c>
    </row>
    <row r="65" spans="8:12" x14ac:dyDescent="0.25">
      <c r="H65" s="75">
        <v>140.38847331865981</v>
      </c>
      <c r="I65" s="22">
        <v>17.404404802802826</v>
      </c>
      <c r="J65" s="75">
        <v>1.9091348477525374E-2</v>
      </c>
      <c r="K65" s="77">
        <v>5.0019545717592591</v>
      </c>
      <c r="L65" s="74">
        <v>0</v>
      </c>
    </row>
    <row r="66" spans="8:12" x14ac:dyDescent="0.25">
      <c r="H66" s="75">
        <v>143.72594391348451</v>
      </c>
      <c r="I66" s="22">
        <v>16.997242385279147</v>
      </c>
      <c r="J66" s="75">
        <v>1.9091348477525374E-2</v>
      </c>
      <c r="K66" s="77">
        <v>4.8309602864583319</v>
      </c>
      <c r="L66" s="74">
        <v>0</v>
      </c>
    </row>
    <row r="67" spans="8:12" x14ac:dyDescent="0.25">
      <c r="H67" s="75">
        <v>147.12354911362138</v>
      </c>
      <c r="I67" s="22">
        <v>16.59010525577947</v>
      </c>
      <c r="J67" s="75">
        <v>1.9091348477525374E-2</v>
      </c>
      <c r="K67" s="77">
        <v>4.6629398148148136</v>
      </c>
      <c r="L67" s="74">
        <v>0</v>
      </c>
    </row>
    <row r="68" spans="8:12" x14ac:dyDescent="0.25">
      <c r="H68" s="75">
        <v>150.58349569357728</v>
      </c>
      <c r="I68" s="22">
        <v>16.182992416582444</v>
      </c>
      <c r="J68" s="75">
        <v>1.9091348477525374E-2</v>
      </c>
      <c r="K68" s="77">
        <v>4.4978931568287024</v>
      </c>
      <c r="L68" s="74">
        <v>0</v>
      </c>
    </row>
    <row r="69" spans="8:12" x14ac:dyDescent="0.25">
      <c r="H69" s="75">
        <v>154.10811417222394</v>
      </c>
      <c r="I69" s="22">
        <v>15.775902869966711</v>
      </c>
      <c r="J69" s="75">
        <v>1.9091348477525374E-2</v>
      </c>
      <c r="K69" s="77">
        <v>4.3358203125000001</v>
      </c>
      <c r="L69" s="74">
        <v>0</v>
      </c>
    </row>
    <row r="70" spans="8:12" x14ac:dyDescent="0.25">
      <c r="H70" s="75">
        <v>157.69986824094005</v>
      </c>
      <c r="I70" s="22">
        <v>15.368835618210909</v>
      </c>
      <c r="J70" s="75">
        <v>1.9091348477525374E-2</v>
      </c>
      <c r="K70" s="77">
        <v>4.1767212818287023</v>
      </c>
      <c r="L70" s="74">
        <v>0</v>
      </c>
    </row>
    <row r="71" spans="8:12" x14ac:dyDescent="0.25">
      <c r="H71" s="75">
        <v>161.36136510710696</v>
      </c>
      <c r="I71" s="22">
        <v>14.961789663593699</v>
      </c>
      <c r="J71" s="75">
        <v>1.9091348477525374E-2</v>
      </c>
      <c r="K71" s="77">
        <v>4.0205960648148151</v>
      </c>
      <c r="L71" s="74">
        <v>0</v>
      </c>
    </row>
    <row r="72" spans="8:12" x14ac:dyDescent="0.25">
      <c r="H72" s="75">
        <v>165.09536686171282</v>
      </c>
      <c r="I72" s="22">
        <v>14.554764008393722</v>
      </c>
      <c r="J72" s="75">
        <v>1.9091348477525374E-2</v>
      </c>
      <c r="K72" s="77">
        <v>3.8674446614583329</v>
      </c>
      <c r="L72" s="74">
        <v>0</v>
      </c>
    </row>
    <row r="73" spans="8:12" x14ac:dyDescent="0.25">
      <c r="H73" s="75">
        <v>168.90480299519959</v>
      </c>
      <c r="I73" s="22">
        <v>14.147757654889617</v>
      </c>
      <c r="J73" s="75">
        <v>1.9091348477525374E-2</v>
      </c>
      <c r="K73" s="77">
        <v>3.7172670717592591</v>
      </c>
      <c r="L73" s="74">
        <v>0</v>
      </c>
    </row>
    <row r="74" spans="8:12" x14ac:dyDescent="0.25">
      <c r="H74" s="75">
        <v>172.79278420360362</v>
      </c>
      <c r="I74" s="22">
        <v>13.740769605360036</v>
      </c>
      <c r="J74" s="75">
        <v>1.9091348477525374E-2</v>
      </c>
      <c r="K74" s="77">
        <v>3.570063295717592</v>
      </c>
      <c r="L74" s="74">
        <v>0</v>
      </c>
    </row>
    <row r="75" spans="8:12" x14ac:dyDescent="0.25">
      <c r="H75" s="75">
        <v>176.76261764797405</v>
      </c>
      <c r="I75" s="22">
        <v>13.333798862083619</v>
      </c>
      <c r="J75" s="75">
        <v>1.9091348477525374E-2</v>
      </c>
      <c r="K75" s="77">
        <v>3.4258333333333324</v>
      </c>
      <c r="L75" s="74">
        <v>0</v>
      </c>
    </row>
    <row r="76" spans="8:12" x14ac:dyDescent="0.25">
      <c r="H76" s="75">
        <v>180.81782385458902</v>
      </c>
      <c r="I76" s="22">
        <v>12.926844427339024</v>
      </c>
      <c r="J76" s="75">
        <v>1.9091348477525374E-2</v>
      </c>
      <c r="K76" s="77">
        <v>3.2845771846064813</v>
      </c>
      <c r="L76" s="74">
        <v>0</v>
      </c>
    </row>
    <row r="77" spans="8:12" x14ac:dyDescent="0.25">
      <c r="H77" s="75">
        <v>184.96215547233837</v>
      </c>
      <c r="I77" s="22">
        <v>12.51990530340488</v>
      </c>
      <c r="J77" s="75">
        <v>1.9091348477525374E-2</v>
      </c>
      <c r="K77" s="77">
        <v>3.1462948495370364</v>
      </c>
      <c r="L77" s="74">
        <v>0</v>
      </c>
    </row>
    <row r="78" spans="8:12" x14ac:dyDescent="0.25">
      <c r="H78" s="75">
        <v>189.19961813767759</v>
      </c>
      <c r="I78" s="22">
        <v>12.112980492559846</v>
      </c>
      <c r="J78" s="75">
        <v>1.9091348477525374E-2</v>
      </c>
      <c r="K78" s="77">
        <v>3.010986328125</v>
      </c>
      <c r="L78" s="74">
        <v>0</v>
      </c>
    </row>
    <row r="79" spans="8:12" x14ac:dyDescent="0.25">
      <c r="H79" s="75">
        <v>193.53449373785222</v>
      </c>
      <c r="I79" s="22">
        <v>11.706068997082564</v>
      </c>
      <c r="J79" s="75">
        <v>1.9091348477525374E-2</v>
      </c>
      <c r="K79" s="77">
        <v>2.8786516203703698</v>
      </c>
      <c r="L79" s="74">
        <v>0</v>
      </c>
    </row>
    <row r="80" spans="8:12" x14ac:dyDescent="0.25">
      <c r="H80" s="75">
        <v>197.97136641097208</v>
      </c>
      <c r="I80" s="22">
        <v>11.299169819251681</v>
      </c>
      <c r="J80" s="75">
        <v>1.9091348477525374E-2</v>
      </c>
      <c r="K80" s="77">
        <v>2.7492907262731476</v>
      </c>
      <c r="L80" s="74">
        <v>0</v>
      </c>
    </row>
    <row r="81" spans="8:12" x14ac:dyDescent="0.25">
      <c r="H81" s="75">
        <v>202.51515167862499</v>
      </c>
      <c r="I81" s="22">
        <v>10.892281961345841</v>
      </c>
      <c r="J81" s="75">
        <v>1.9091348477525374E-2</v>
      </c>
      <c r="K81" s="77">
        <v>2.6229036458333326</v>
      </c>
      <c r="L81" s="74">
        <v>0</v>
      </c>
    </row>
    <row r="82" spans="8:12" x14ac:dyDescent="0.25">
      <c r="H82" s="75">
        <v>207.17112917510883</v>
      </c>
      <c r="I82" s="22">
        <v>10.48540442564369</v>
      </c>
      <c r="J82" s="75">
        <v>1.9091348477525374E-2</v>
      </c>
      <c r="K82" s="77">
        <v>2.499490379050926</v>
      </c>
      <c r="L82" s="74">
        <v>0</v>
      </c>
    </row>
    <row r="83" spans="8:12" x14ac:dyDescent="0.25">
      <c r="H83" s="75">
        <v>211.94497951960491</v>
      </c>
      <c r="I83" s="22">
        <v>10.07853621442387</v>
      </c>
      <c r="J83" s="75">
        <v>1.9091348477525374E-2</v>
      </c>
      <c r="K83" s="77">
        <v>2.3790509259259256</v>
      </c>
      <c r="L83" s="74">
        <v>0</v>
      </c>
    </row>
    <row r="84" spans="8:12" x14ac:dyDescent="0.25">
      <c r="H84" s="75">
        <v>216.84282597694505</v>
      </c>
      <c r="I84" s="22">
        <v>9.6716763299650346</v>
      </c>
      <c r="J84" s="75">
        <v>1.9091348477525374E-2</v>
      </c>
      <c r="K84" s="77">
        <v>2.2615852864583337</v>
      </c>
      <c r="L84" s="74">
        <v>0</v>
      </c>
    </row>
    <row r="85" spans="8:12" x14ac:dyDescent="0.25">
      <c r="H85" s="75">
        <v>221.67787953098596</v>
      </c>
      <c r="I85" s="22">
        <v>9.2639236848900275</v>
      </c>
      <c r="J85" s="75">
        <v>1.9091348477525374E-2</v>
      </c>
      <c r="K85" s="77">
        <v>2.147093460648148</v>
      </c>
      <c r="L85" s="74">
        <v>0</v>
      </c>
    </row>
    <row r="86" spans="8:12" x14ac:dyDescent="0.25">
      <c r="H86" s="75">
        <v>225.44922130313788</v>
      </c>
      <c r="I86" s="22">
        <v>0</v>
      </c>
      <c r="J86" s="75">
        <v>0</v>
      </c>
      <c r="K86" s="77">
        <v>2.3790509259259256</v>
      </c>
      <c r="L86" s="74">
        <v>0</v>
      </c>
    </row>
    <row r="87" spans="8:12" x14ac:dyDescent="0.25">
      <c r="H87" s="75">
        <v>228.14303685467496</v>
      </c>
      <c r="I87" s="22">
        <v>0</v>
      </c>
      <c r="J87" s="75">
        <v>0</v>
      </c>
      <c r="K87" s="77">
        <v>5.3528645833333339</v>
      </c>
      <c r="L87" s="74">
        <v>0</v>
      </c>
    </row>
    <row r="88" spans="8:12" x14ac:dyDescent="0.25">
      <c r="H88" s="75">
        <v>230.41492948850143</v>
      </c>
      <c r="I88" s="22">
        <v>0</v>
      </c>
      <c r="J88" s="75">
        <v>0</v>
      </c>
      <c r="K88" s="77">
        <v>9.5162037037037024</v>
      </c>
      <c r="L88" s="74">
        <v>0</v>
      </c>
    </row>
    <row r="89" spans="8:12" x14ac:dyDescent="0.25">
      <c r="H89" s="75">
        <v>232.58236728858873</v>
      </c>
      <c r="I89" s="22">
        <v>0</v>
      </c>
      <c r="J89" s="75">
        <v>0</v>
      </c>
      <c r="K89" s="77">
        <v>10.997162905092591</v>
      </c>
      <c r="L89" s="74">
        <v>0</v>
      </c>
    </row>
    <row r="90" spans="8:12" x14ac:dyDescent="0.25">
      <c r="H90" s="75">
        <v>234.70109862125835</v>
      </c>
      <c r="I90" s="22">
        <v>0</v>
      </c>
      <c r="J90" s="75">
        <v>0</v>
      </c>
      <c r="K90" s="77">
        <v>11.514606481481479</v>
      </c>
      <c r="L90" s="74">
        <v>0</v>
      </c>
    </row>
    <row r="91" spans="8:12" x14ac:dyDescent="0.25">
      <c r="H91" s="75">
        <v>236.77326443013303</v>
      </c>
      <c r="I91" s="22">
        <v>0</v>
      </c>
      <c r="J91" s="75">
        <v>0</v>
      </c>
      <c r="K91" s="77">
        <v>12.0439453125</v>
      </c>
      <c r="L91" s="74">
        <v>0</v>
      </c>
    </row>
    <row r="92" spans="8:12" x14ac:dyDescent="0.25">
      <c r="H92" s="75">
        <v>238.80086753344051</v>
      </c>
      <c r="I92" s="22">
        <v>0</v>
      </c>
      <c r="J92" s="75">
        <v>0</v>
      </c>
      <c r="K92" s="77">
        <v>12.585179398148146</v>
      </c>
      <c r="L92" s="74">
        <v>0</v>
      </c>
    </row>
    <row r="93" spans="8:12" x14ac:dyDescent="0.25">
      <c r="H93" s="75">
        <v>240.78578425562574</v>
      </c>
      <c r="I93" s="22">
        <v>0</v>
      </c>
      <c r="J93" s="75">
        <v>0</v>
      </c>
      <c r="K93" s="77">
        <v>13.138308738425925</v>
      </c>
      <c r="L93" s="74">
        <v>0</v>
      </c>
    </row>
    <row r="94" spans="8:12" x14ac:dyDescent="0.25">
      <c r="H94" s="75">
        <v>242.72977485982776</v>
      </c>
      <c r="I94" s="22">
        <v>0</v>
      </c>
      <c r="J94" s="75">
        <v>0</v>
      </c>
      <c r="K94" s="77">
        <v>13.70333333333333</v>
      </c>
      <c r="L94" s="74">
        <v>0</v>
      </c>
    </row>
    <row r="95" spans="8:12" x14ac:dyDescent="0.25">
      <c r="H95" s="75">
        <v>244.63449292657114</v>
      </c>
      <c r="I95" s="22">
        <v>0</v>
      </c>
      <c r="J95" s="75">
        <v>0</v>
      </c>
      <c r="K95" s="77">
        <v>14.280253182870368</v>
      </c>
      <c r="L95" s="74">
        <v>0</v>
      </c>
    </row>
    <row r="96" spans="8:12" x14ac:dyDescent="0.25">
      <c r="H96" s="75">
        <v>246.50149380387407</v>
      </c>
      <c r="I96" s="22">
        <v>0</v>
      </c>
      <c r="J96" s="75">
        <v>0</v>
      </c>
      <c r="K96" s="77">
        <v>14.869068287037036</v>
      </c>
      <c r="L96" s="74">
        <v>0</v>
      </c>
    </row>
    <row r="97" spans="8:12" x14ac:dyDescent="0.25">
      <c r="H97" s="75">
        <v>248.33224223695751</v>
      </c>
      <c r="I97" s="22">
        <v>0</v>
      </c>
      <c r="J97" s="75">
        <v>0</v>
      </c>
      <c r="K97" s="77">
        <v>15.469778645833332</v>
      </c>
      <c r="L97" s="74">
        <v>0</v>
      </c>
    </row>
    <row r="98" spans="8:12" x14ac:dyDescent="0.25">
      <c r="H98" s="75">
        <v>250.12811927131557</v>
      </c>
      <c r="I98" s="22">
        <v>0</v>
      </c>
      <c r="J98" s="75">
        <v>0</v>
      </c>
      <c r="K98" s="77">
        <v>16.082384259259261</v>
      </c>
      <c r="L98" s="74">
        <v>0</v>
      </c>
    </row>
    <row r="99" spans="8:12" x14ac:dyDescent="0.25">
      <c r="H99" s="75">
        <v>251.89042851063888</v>
      </c>
      <c r="I99" s="22">
        <v>0</v>
      </c>
      <c r="J99" s="75">
        <v>0</v>
      </c>
      <c r="K99" s="77">
        <v>16.706885127314809</v>
      </c>
      <c r="L99" s="74">
        <v>0</v>
      </c>
    </row>
    <row r="100" spans="8:12" x14ac:dyDescent="0.25">
      <c r="H100" s="75">
        <v>253.62040180061683</v>
      </c>
      <c r="I100" s="22">
        <v>0</v>
      </c>
      <c r="J100" s="75">
        <v>0</v>
      </c>
      <c r="K100" s="77">
        <v>17.34328125</v>
      </c>
      <c r="L100" s="74">
        <v>0</v>
      </c>
    </row>
    <row r="101" spans="8:12" x14ac:dyDescent="0.25">
      <c r="H101" s="75">
        <v>255.31920440068527</v>
      </c>
      <c r="I101" s="22">
        <v>0</v>
      </c>
      <c r="J101" s="75">
        <v>0</v>
      </c>
      <c r="K101" s="77">
        <v>17.99157262731481</v>
      </c>
      <c r="L101" s="74">
        <v>0</v>
      </c>
    </row>
    <row r="102" spans="8:12" x14ac:dyDescent="0.25">
      <c r="H102" s="75">
        <v>256.98793969809759</v>
      </c>
      <c r="I102" s="22">
        <v>0</v>
      </c>
      <c r="J102" s="75">
        <v>0</v>
      </c>
      <c r="K102" s="77">
        <v>18.651759259259254</v>
      </c>
      <c r="L102" s="74">
        <v>0</v>
      </c>
    </row>
    <row r="103" spans="8:12" x14ac:dyDescent="0.25">
      <c r="H103" s="75">
        <v>258.62765351207668</v>
      </c>
      <c r="I103" s="22">
        <v>0</v>
      </c>
      <c r="J103" s="75">
        <v>0</v>
      </c>
      <c r="K103" s="77">
        <v>19.323841145833327</v>
      </c>
      <c r="L103" s="74">
        <v>0</v>
      </c>
    </row>
    <row r="104" spans="8:12" x14ac:dyDescent="0.25">
      <c r="H104" s="75">
        <v>260.23933803009032</v>
      </c>
      <c r="I104" s="22">
        <v>0</v>
      </c>
      <c r="J104" s="75">
        <v>0</v>
      </c>
      <c r="K104" s="77">
        <v>20.007818287037036</v>
      </c>
      <c r="L104" s="74">
        <v>0</v>
      </c>
    </row>
    <row r="105" spans="8:12" x14ac:dyDescent="0.25">
      <c r="H105" s="75">
        <v>261.82393541334744</v>
      </c>
      <c r="I105" s="22">
        <v>0</v>
      </c>
      <c r="J105" s="75">
        <v>0</v>
      </c>
      <c r="K105" s="77">
        <v>20.70369068287037</v>
      </c>
      <c r="L105" s="74">
        <v>0</v>
      </c>
    </row>
    <row r="106" spans="8:12" x14ac:dyDescent="0.25">
      <c r="H106" s="75">
        <v>263.38234110431932</v>
      </c>
      <c r="I106" s="22">
        <v>0</v>
      </c>
      <c r="J106" s="75">
        <v>0</v>
      </c>
      <c r="K106" s="77">
        <v>21.411458333333336</v>
      </c>
      <c r="L106" s="74">
        <v>0</v>
      </c>
    </row>
    <row r="107" spans="8:12" x14ac:dyDescent="0.25">
      <c r="H107" s="75">
        <v>264.91540686535672</v>
      </c>
      <c r="I107" s="22">
        <v>0</v>
      </c>
      <c r="J107" s="75">
        <v>0</v>
      </c>
      <c r="K107" s="77">
        <v>22.131121238425919</v>
      </c>
      <c r="L107" s="74">
        <v>0</v>
      </c>
    </row>
    <row r="108" spans="8:12" x14ac:dyDescent="0.25">
      <c r="H108" s="75">
        <v>266.4239435742175</v>
      </c>
      <c r="I108" s="22">
        <v>0</v>
      </c>
      <c r="J108" s="75">
        <v>0</v>
      </c>
      <c r="K108" s="77">
        <v>22.862679398148146</v>
      </c>
      <c r="L108" s="74">
        <v>0</v>
      </c>
    </row>
    <row r="109" spans="8:12" x14ac:dyDescent="0.25">
      <c r="H109" s="75">
        <v>267.90872379947416</v>
      </c>
      <c r="I109" s="22">
        <v>0</v>
      </c>
      <c r="J109" s="75">
        <v>0</v>
      </c>
      <c r="K109" s="77">
        <v>23.6061328125</v>
      </c>
      <c r="L109" s="74">
        <v>0</v>
      </c>
    </row>
    <row r="110" spans="8:12" x14ac:dyDescent="0.25">
      <c r="H110" s="75">
        <v>269.37048417627722</v>
      </c>
      <c r="I110" s="22">
        <v>0</v>
      </c>
      <c r="J110" s="75">
        <v>0</v>
      </c>
      <c r="K110" s="77">
        <v>24.361481481481487</v>
      </c>
      <c r="L110" s="74">
        <v>0</v>
      </c>
    </row>
    <row r="111" spans="8:12" x14ac:dyDescent="0.25">
      <c r="H111" s="75">
        <v>270.80992760076271</v>
      </c>
      <c r="I111" s="22">
        <v>0</v>
      </c>
      <c r="J111" s="75">
        <v>0</v>
      </c>
      <c r="K111" s="77">
        <v>25.128725405092585</v>
      </c>
      <c r="L111" s="74">
        <v>0</v>
      </c>
    </row>
    <row r="112" spans="8:12" x14ac:dyDescent="0.25">
      <c r="H112" s="75">
        <v>272.22772525946641</v>
      </c>
      <c r="I112" s="22">
        <v>0</v>
      </c>
      <c r="J112" s="75">
        <v>0</v>
      </c>
      <c r="K112" s="77">
        <v>25.907864583333332</v>
      </c>
      <c r="L112" s="74">
        <v>0</v>
      </c>
    </row>
    <row r="113" spans="8:12" x14ac:dyDescent="0.25">
      <c r="H113" s="75">
        <v>273.62451850841154</v>
      </c>
      <c r="I113" s="22">
        <v>0</v>
      </c>
      <c r="J113" s="75">
        <v>0</v>
      </c>
      <c r="K113" s="77">
        <v>26.698899016203701</v>
      </c>
      <c r="L113" s="74">
        <v>0</v>
      </c>
    </row>
    <row r="114" spans="8:12" x14ac:dyDescent="0.25">
      <c r="H114" s="75">
        <v>275.00092061503631</v>
      </c>
      <c r="I114" s="22">
        <v>0</v>
      </c>
      <c r="J114" s="75">
        <v>0</v>
      </c>
      <c r="K114" s="77">
        <v>27.501828703703705</v>
      </c>
      <c r="L114" s="74">
        <v>0</v>
      </c>
    </row>
    <row r="115" spans="8:12" x14ac:dyDescent="0.25">
      <c r="H115" s="75">
        <v>276.35751837480319</v>
      </c>
      <c r="I115" s="22">
        <v>0</v>
      </c>
      <c r="J115" s="75">
        <v>0</v>
      </c>
      <c r="K115" s="77">
        <v>28.316653645833334</v>
      </c>
      <c r="L115" s="74">
        <v>0</v>
      </c>
    </row>
    <row r="116" spans="8:12" x14ac:dyDescent="0.25">
      <c r="H116" s="75">
        <v>277.69487361315493</v>
      </c>
      <c r="I116" s="22">
        <v>0</v>
      </c>
      <c r="J116" s="75">
        <v>0</v>
      </c>
      <c r="K116" s="77">
        <v>29.143373842592588</v>
      </c>
      <c r="L116" s="74">
        <v>0</v>
      </c>
    </row>
    <row r="117" spans="8:12" x14ac:dyDescent="0.25">
      <c r="H117" s="75">
        <v>279.01352458243883</v>
      </c>
      <c r="I117" s="22">
        <v>0</v>
      </c>
      <c r="J117" s="75">
        <v>0</v>
      </c>
      <c r="K117" s="77">
        <v>29.981989293981474</v>
      </c>
      <c r="L117" s="74">
        <v>0</v>
      </c>
    </row>
    <row r="118" spans="8:12" x14ac:dyDescent="0.25">
      <c r="H118" s="75">
        <v>280.3139872624912</v>
      </c>
      <c r="I118" s="22">
        <v>0</v>
      </c>
      <c r="J118" s="75">
        <v>-3.8182696955050749E-2</v>
      </c>
      <c r="K118" s="77">
        <v>30.8325</v>
      </c>
      <c r="L118" s="77">
        <f>0.6*K118</f>
        <v>18.499499999999998</v>
      </c>
    </row>
    <row r="119" spans="8:12" x14ac:dyDescent="0.25">
      <c r="H119" s="75">
        <v>281.59675657274693</v>
      </c>
      <c r="I119" s="22">
        <v>0</v>
      </c>
      <c r="J119" s="75">
        <v>-3.8182696955050749E-2</v>
      </c>
      <c r="K119" s="77">
        <v>31.694905960648146</v>
      </c>
      <c r="L119" s="77">
        <f t="shared" ref="L119:L159" si="1">0.6*K119</f>
        <v>19.016943576388886</v>
      </c>
    </row>
    <row r="120" spans="8:12" x14ac:dyDescent="0.25">
      <c r="H120" s="75">
        <v>282.86230750299927</v>
      </c>
      <c r="I120" s="22">
        <v>0</v>
      </c>
      <c r="J120" s="75">
        <v>-3.8182696955050749E-2</v>
      </c>
      <c r="K120" s="77">
        <v>32.569207175925918</v>
      </c>
      <c r="L120" s="77">
        <f t="shared" si="1"/>
        <v>19.541524305555551</v>
      </c>
    </row>
    <row r="121" spans="8:12" x14ac:dyDescent="0.25">
      <c r="H121" s="75">
        <v>284.11109616927473</v>
      </c>
      <c r="I121" s="22">
        <v>0</v>
      </c>
      <c r="J121" s="75">
        <v>-3.8182696955050749E-2</v>
      </c>
      <c r="K121" s="77">
        <v>33.455403645833329</v>
      </c>
      <c r="L121" s="77">
        <f t="shared" si="1"/>
        <v>20.073242187499996</v>
      </c>
    </row>
    <row r="122" spans="8:12" x14ac:dyDescent="0.25">
      <c r="H122" s="75">
        <v>285.34356080069693</v>
      </c>
      <c r="I122" s="22">
        <v>0</v>
      </c>
      <c r="J122" s="75">
        <v>-3.8182696955050749E-2</v>
      </c>
      <c r="K122" s="77">
        <v>34.353495370370368</v>
      </c>
      <c r="L122" s="77">
        <f t="shared" si="1"/>
        <v>20.612097222222221</v>
      </c>
    </row>
    <row r="123" spans="8:12" x14ac:dyDescent="0.25">
      <c r="H123" s="75">
        <v>286.56012266268141</v>
      </c>
      <c r="I123" s="22">
        <v>0</v>
      </c>
      <c r="J123" s="75">
        <v>-3.8182696955050749E-2</v>
      </c>
      <c r="K123" s="77">
        <v>35.263482349537036</v>
      </c>
      <c r="L123" s="77">
        <f t="shared" si="1"/>
        <v>21.158089409722219</v>
      </c>
    </row>
    <row r="124" spans="8:12" x14ac:dyDescent="0.25">
      <c r="H124" s="75">
        <v>287.76118692132849</v>
      </c>
      <c r="I124" s="22">
        <v>0</v>
      </c>
      <c r="J124" s="75">
        <v>-3.8182696955050749E-2</v>
      </c>
      <c r="K124" s="77">
        <v>36.185364583333339</v>
      </c>
      <c r="L124" s="77">
        <f t="shared" si="1"/>
        <v>21.711218750000004</v>
      </c>
    </row>
    <row r="125" spans="8:12" x14ac:dyDescent="0.25">
      <c r="H125" s="75">
        <v>288.94714345345176</v>
      </c>
      <c r="I125" s="22">
        <v>0</v>
      </c>
      <c r="J125" s="75">
        <v>-3.8182696955050749E-2</v>
      </c>
      <c r="K125" s="77">
        <v>37.119142071759249</v>
      </c>
      <c r="L125" s="77">
        <f t="shared" si="1"/>
        <v>22.271485243055547</v>
      </c>
    </row>
    <row r="126" spans="8:12" x14ac:dyDescent="0.25">
      <c r="H126" s="75">
        <v>290.11836760629399</v>
      </c>
      <c r="I126" s="22">
        <v>0</v>
      </c>
      <c r="J126" s="75">
        <v>-3.8182696955050749E-2</v>
      </c>
      <c r="K126" s="77">
        <v>38.06481481481481</v>
      </c>
      <c r="L126" s="77">
        <f t="shared" si="1"/>
        <v>22.838888888888885</v>
      </c>
    </row>
    <row r="127" spans="8:12" x14ac:dyDescent="0.25">
      <c r="H127" s="75">
        <v>291.27522091063508</v>
      </c>
      <c r="I127" s="22">
        <v>0</v>
      </c>
      <c r="J127" s="75">
        <v>-3.8182696955050749E-2</v>
      </c>
      <c r="K127" s="77">
        <v>39.022382812499998</v>
      </c>
      <c r="L127" s="77">
        <f t="shared" si="1"/>
        <v>23.413429687499999</v>
      </c>
    </row>
    <row r="128" spans="8:12" x14ac:dyDescent="0.25">
      <c r="H128" s="75">
        <v>292.41805175068112</v>
      </c>
      <c r="I128" s="22">
        <v>0</v>
      </c>
      <c r="J128" s="75">
        <v>-3.8182696955050749E-2</v>
      </c>
      <c r="K128" s="77">
        <v>39.991846064814816</v>
      </c>
      <c r="L128" s="77">
        <f t="shared" si="1"/>
        <v>23.995107638888889</v>
      </c>
    </row>
    <row r="129" spans="8:12" x14ac:dyDescent="0.25">
      <c r="H129" s="75">
        <v>293.54719599384038</v>
      </c>
      <c r="I129" s="22">
        <v>0</v>
      </c>
      <c r="J129" s="75">
        <v>-3.8182696955050749E-2</v>
      </c>
      <c r="K129" s="77">
        <v>40.973204571759247</v>
      </c>
      <c r="L129" s="77">
        <f t="shared" si="1"/>
        <v>24.583922743055549</v>
      </c>
    </row>
    <row r="130" spans="8:12" x14ac:dyDescent="0.25">
      <c r="H130" s="75">
        <v>294.66297758323441</v>
      </c>
      <c r="I130" s="22">
        <v>0</v>
      </c>
      <c r="J130" s="75">
        <v>-3.8182696955050749E-2</v>
      </c>
      <c r="K130" s="77">
        <v>41.966458333333321</v>
      </c>
      <c r="L130" s="77">
        <f t="shared" si="1"/>
        <v>25.179874999999992</v>
      </c>
    </row>
    <row r="131" spans="8:12" x14ac:dyDescent="0.25">
      <c r="H131" s="75">
        <v>295.76570909555954</v>
      </c>
      <c r="I131" s="22">
        <v>0</v>
      </c>
      <c r="J131" s="75">
        <v>-3.8182696955050749E-2</v>
      </c>
      <c r="K131" s="77">
        <v>42.971607349537031</v>
      </c>
      <c r="L131" s="77">
        <f t="shared" si="1"/>
        <v>25.782964409722219</v>
      </c>
    </row>
    <row r="132" spans="8:12" x14ac:dyDescent="0.25">
      <c r="H132" s="75">
        <v>296.85569226670174</v>
      </c>
      <c r="I132" s="22">
        <v>0</v>
      </c>
      <c r="J132" s="75">
        <v>-3.8182696955050749E-2</v>
      </c>
      <c r="K132" s="77">
        <v>43.988651620370362</v>
      </c>
      <c r="L132" s="77">
        <f t="shared" si="1"/>
        <v>26.393190972222218</v>
      </c>
    </row>
    <row r="133" spans="8:12" x14ac:dyDescent="0.25">
      <c r="H133" s="75">
        <v>297.93321848731659</v>
      </c>
      <c r="I133" s="22">
        <v>0</v>
      </c>
      <c r="J133" s="75">
        <v>-3.8182696955050749E-2</v>
      </c>
      <c r="K133" s="77">
        <v>45.017591145833329</v>
      </c>
      <c r="L133" s="77">
        <f t="shared" si="1"/>
        <v>27.010554687499997</v>
      </c>
    </row>
    <row r="134" spans="8:12" x14ac:dyDescent="0.25">
      <c r="H134" s="75">
        <v>298.99856927041037</v>
      </c>
      <c r="I134" s="22">
        <v>0</v>
      </c>
      <c r="J134" s="75">
        <v>-3.8182696955050749E-2</v>
      </c>
      <c r="K134" s="77">
        <v>46.058425925925917</v>
      </c>
      <c r="L134" s="77">
        <f t="shared" si="1"/>
        <v>27.635055555555549</v>
      </c>
    </row>
    <row r="135" spans="8:12" x14ac:dyDescent="0.25">
      <c r="H135" s="75">
        <v>300.05201669279916</v>
      </c>
      <c r="I135" s="22">
        <v>0</v>
      </c>
      <c r="J135" s="75">
        <v>-3.8182696955050749E-2</v>
      </c>
      <c r="K135" s="77">
        <v>47.111155960648148</v>
      </c>
      <c r="L135" s="77">
        <f t="shared" si="1"/>
        <v>28.266693576388889</v>
      </c>
    </row>
    <row r="136" spans="8:12" x14ac:dyDescent="0.25">
      <c r="H136" s="75">
        <v>301.09382381217813</v>
      </c>
      <c r="I136" s="22">
        <v>0</v>
      </c>
      <c r="J136" s="75">
        <v>-3.8182696955050749E-2</v>
      </c>
      <c r="K136" s="77">
        <v>48.17578125</v>
      </c>
      <c r="L136" s="77">
        <f t="shared" si="1"/>
        <v>28.905468749999997</v>
      </c>
    </row>
    <row r="137" spans="8:12" x14ac:dyDescent="0.25">
      <c r="H137" s="75">
        <v>302.12424506139996</v>
      </c>
      <c r="I137" s="22">
        <v>0</v>
      </c>
      <c r="J137" s="75">
        <v>-3.8182696955050749E-2</v>
      </c>
      <c r="K137" s="77">
        <v>49.252301793981481</v>
      </c>
      <c r="L137" s="77">
        <f t="shared" si="1"/>
        <v>29.551381076388886</v>
      </c>
    </row>
    <row r="138" spans="8:12" x14ac:dyDescent="0.25">
      <c r="H138" s="75">
        <v>303.14352662144103</v>
      </c>
      <c r="I138" s="22">
        <v>0</v>
      </c>
      <c r="J138" s="75">
        <v>-3.8182696955050749E-2</v>
      </c>
      <c r="K138" s="77">
        <v>50.340717592592583</v>
      </c>
      <c r="L138" s="77">
        <f t="shared" si="1"/>
        <v>30.204430555555547</v>
      </c>
    </row>
    <row r="139" spans="8:12" x14ac:dyDescent="0.25">
      <c r="H139" s="75">
        <v>304.1519067744228</v>
      </c>
      <c r="I139" s="22">
        <v>0</v>
      </c>
      <c r="J139" s="75">
        <v>-3.8182696955050749E-2</v>
      </c>
      <c r="K139" s="77">
        <v>51.441028645833327</v>
      </c>
      <c r="L139" s="77">
        <f t="shared" si="1"/>
        <v>30.864617187499995</v>
      </c>
    </row>
    <row r="140" spans="8:12" x14ac:dyDescent="0.25">
      <c r="H140" s="75">
        <v>305.14961623795506</v>
      </c>
      <c r="I140" s="22">
        <v>0</v>
      </c>
      <c r="J140" s="75">
        <v>-3.8182696955050749E-2</v>
      </c>
      <c r="K140" s="77">
        <v>52.553234953703701</v>
      </c>
      <c r="L140" s="77">
        <f t="shared" si="1"/>
        <v>31.53194097222222</v>
      </c>
    </row>
    <row r="141" spans="8:12" x14ac:dyDescent="0.25">
      <c r="H141" s="75">
        <v>306.13687848197389</v>
      </c>
      <c r="I141" s="22">
        <v>0</v>
      </c>
      <c r="J141" s="75">
        <v>-3.8182696955050749E-2</v>
      </c>
      <c r="K141" s="77">
        <v>53.677336516203702</v>
      </c>
      <c r="L141" s="77">
        <f t="shared" si="1"/>
        <v>32.206401909722217</v>
      </c>
    </row>
    <row r="142" spans="8:12" x14ac:dyDescent="0.25">
      <c r="H142" s="75">
        <v>307.11391002916349</v>
      </c>
      <c r="I142" s="22">
        <v>0</v>
      </c>
      <c r="J142" s="75">
        <v>-3.8182696955050749E-2</v>
      </c>
      <c r="K142" s="77">
        <v>54.813333333333318</v>
      </c>
      <c r="L142" s="77">
        <f t="shared" si="1"/>
        <v>32.887999999999991</v>
      </c>
    </row>
    <row r="143" spans="8:12" x14ac:dyDescent="0.25">
      <c r="H143" s="75">
        <v>308.08342656733186</v>
      </c>
      <c r="I143" s="22">
        <v>0</v>
      </c>
      <c r="J143" s="75">
        <v>-3.8182696955050749E-2</v>
      </c>
      <c r="K143" s="77">
        <v>55.961225405092584</v>
      </c>
      <c r="L143" s="77">
        <f t="shared" si="1"/>
        <v>33.576735243055552</v>
      </c>
    </row>
    <row r="144" spans="8:12" x14ac:dyDescent="0.25">
      <c r="H144" s="75">
        <v>309.05047695200199</v>
      </c>
      <c r="I144" s="22">
        <v>0</v>
      </c>
      <c r="J144" s="75">
        <v>-3.8182696955050749E-2</v>
      </c>
      <c r="K144" s="77">
        <v>56.534993107314811</v>
      </c>
      <c r="L144" s="77">
        <f t="shared" si="1"/>
        <v>33.920995864388885</v>
      </c>
    </row>
    <row r="145" spans="8:12" x14ac:dyDescent="0.25">
      <c r="H145" s="75">
        <v>310.01752733667212</v>
      </c>
      <c r="I145" s="22">
        <v>0</v>
      </c>
      <c r="J145" s="75">
        <v>-3.8182696955050749E-2</v>
      </c>
      <c r="K145" s="77">
        <v>56.534993107314811</v>
      </c>
      <c r="L145" s="77">
        <f t="shared" si="1"/>
        <v>33.920995864388885</v>
      </c>
    </row>
    <row r="146" spans="8:12" x14ac:dyDescent="0.25">
      <c r="H146" s="75">
        <v>310.98457772134225</v>
      </c>
      <c r="I146" s="22">
        <v>0</v>
      </c>
      <c r="J146" s="75">
        <v>-3.8182696955050749E-2</v>
      </c>
      <c r="K146" s="77">
        <v>56.534993107314811</v>
      </c>
      <c r="L146" s="77">
        <f t="shared" si="1"/>
        <v>33.920995864388885</v>
      </c>
    </row>
    <row r="147" spans="8:12" x14ac:dyDescent="0.25">
      <c r="H147" s="75">
        <v>311.95162810601238</v>
      </c>
      <c r="I147" s="22">
        <v>0</v>
      </c>
      <c r="J147" s="75">
        <v>-3.8182696955050749E-2</v>
      </c>
      <c r="K147" s="77">
        <v>56.534993107314811</v>
      </c>
      <c r="L147" s="77">
        <f t="shared" si="1"/>
        <v>33.920995864388885</v>
      </c>
    </row>
    <row r="148" spans="8:12" x14ac:dyDescent="0.25">
      <c r="H148" s="75">
        <v>312.91867849068251</v>
      </c>
      <c r="I148" s="22">
        <v>0</v>
      </c>
      <c r="J148" s="75">
        <v>-3.8182696955050749E-2</v>
      </c>
      <c r="K148" s="77">
        <v>56.534993107314811</v>
      </c>
      <c r="L148" s="77">
        <f t="shared" si="1"/>
        <v>33.920995864388885</v>
      </c>
    </row>
    <row r="149" spans="8:12" x14ac:dyDescent="0.25">
      <c r="H149" s="75">
        <v>313.88572887535264</v>
      </c>
      <c r="I149" s="22">
        <v>0</v>
      </c>
      <c r="J149" s="75">
        <v>-3.8182696955050749E-2</v>
      </c>
      <c r="K149" s="77">
        <v>56.534993107314811</v>
      </c>
      <c r="L149" s="77">
        <f t="shared" si="1"/>
        <v>33.920995864388885</v>
      </c>
    </row>
    <row r="150" spans="8:12" x14ac:dyDescent="0.25">
      <c r="H150" s="75">
        <v>314.85277926002277</v>
      </c>
      <c r="I150" s="22">
        <v>0</v>
      </c>
      <c r="J150" s="75">
        <v>-3.8182696955050749E-2</v>
      </c>
      <c r="K150" s="77">
        <v>56.534993107314811</v>
      </c>
      <c r="L150" s="77">
        <f t="shared" si="1"/>
        <v>33.920995864388885</v>
      </c>
    </row>
    <row r="151" spans="8:12" x14ac:dyDescent="0.25">
      <c r="H151" s="75">
        <v>315.8198296446929</v>
      </c>
      <c r="I151" s="22">
        <v>0</v>
      </c>
      <c r="J151" s="75">
        <v>-3.8182696955050749E-2</v>
      </c>
      <c r="K151" s="77">
        <v>56.534993107314811</v>
      </c>
      <c r="L151" s="77">
        <f t="shared" si="1"/>
        <v>33.920995864388885</v>
      </c>
    </row>
    <row r="152" spans="8:12" x14ac:dyDescent="0.25">
      <c r="H152" s="75">
        <v>316.78688002936303</v>
      </c>
      <c r="I152" s="22">
        <v>0</v>
      </c>
      <c r="J152" s="75">
        <v>-3.8182696955050749E-2</v>
      </c>
      <c r="K152" s="77">
        <v>56.534993107314811</v>
      </c>
      <c r="L152" s="77">
        <f t="shared" si="1"/>
        <v>33.920995864388885</v>
      </c>
    </row>
    <row r="153" spans="8:12" x14ac:dyDescent="0.25">
      <c r="H153" s="75">
        <v>317.75393041403316</v>
      </c>
      <c r="I153" s="22">
        <v>0</v>
      </c>
      <c r="J153" s="75">
        <v>-3.8182696955050749E-2</v>
      </c>
      <c r="K153" s="77">
        <v>56.534993107314811</v>
      </c>
      <c r="L153" s="77">
        <f t="shared" si="1"/>
        <v>33.920995864388885</v>
      </c>
    </row>
    <row r="154" spans="8:12" x14ac:dyDescent="0.25">
      <c r="H154" s="75">
        <v>318.72098079870329</v>
      </c>
      <c r="I154" s="22">
        <v>0</v>
      </c>
      <c r="J154" s="75">
        <v>-3.8182696955050749E-2</v>
      </c>
      <c r="K154" s="77">
        <v>56.534993107314811</v>
      </c>
      <c r="L154" s="77">
        <f t="shared" si="1"/>
        <v>33.920995864388885</v>
      </c>
    </row>
    <row r="155" spans="8:12" x14ac:dyDescent="0.25">
      <c r="H155" s="75">
        <v>319.68803118337343</v>
      </c>
      <c r="I155" s="22">
        <v>0</v>
      </c>
      <c r="J155" s="75">
        <v>-3.8182696955050749E-2</v>
      </c>
      <c r="K155" s="77">
        <v>56.534993107314811</v>
      </c>
      <c r="L155" s="77">
        <f t="shared" si="1"/>
        <v>33.920995864388885</v>
      </c>
    </row>
    <row r="156" spans="8:12" x14ac:dyDescent="0.25">
      <c r="H156" s="75">
        <v>320.65508156804356</v>
      </c>
      <c r="I156" s="22">
        <v>0</v>
      </c>
      <c r="J156" s="75">
        <v>-3.8182696955050749E-2</v>
      </c>
      <c r="K156" s="77">
        <v>56.534993107314811</v>
      </c>
      <c r="L156" s="77">
        <f t="shared" si="1"/>
        <v>33.920995864388885</v>
      </c>
    </row>
    <row r="157" spans="8:12" x14ac:dyDescent="0.25">
      <c r="H157" s="75">
        <v>321.62213195271369</v>
      </c>
      <c r="I157" s="22">
        <v>0</v>
      </c>
      <c r="J157" s="75">
        <v>-3.8182696955050749E-2</v>
      </c>
      <c r="K157" s="77">
        <v>56.534993107314811</v>
      </c>
      <c r="L157" s="77">
        <f t="shared" si="1"/>
        <v>33.920995864388885</v>
      </c>
    </row>
    <row r="158" spans="8:12" x14ac:dyDescent="0.25">
      <c r="H158" s="75">
        <v>322.58918233738376</v>
      </c>
      <c r="I158" s="22">
        <v>0</v>
      </c>
      <c r="J158" s="75">
        <v>-3.8182696955050749E-2</v>
      </c>
      <c r="K158" s="77">
        <v>56.534993107314811</v>
      </c>
      <c r="L158" s="77">
        <f t="shared" si="1"/>
        <v>33.920995864388885</v>
      </c>
    </row>
    <row r="159" spans="8:12" x14ac:dyDescent="0.25">
      <c r="H159" s="75">
        <v>323.55623272205384</v>
      </c>
      <c r="I159" s="22">
        <v>0</v>
      </c>
      <c r="J159" s="75">
        <v>-3.8182696955050749E-2</v>
      </c>
      <c r="K159" s="77">
        <v>56.534993107314811</v>
      </c>
      <c r="L159" s="77">
        <f t="shared" si="1"/>
        <v>33.920995864388885</v>
      </c>
    </row>
    <row r="160" spans="8:12" x14ac:dyDescent="0.25">
      <c r="H160" s="75">
        <v>325.19623272205382</v>
      </c>
      <c r="I160" s="22">
        <v>11.437046440803826</v>
      </c>
      <c r="J160" s="75">
        <v>0</v>
      </c>
      <c r="K160" s="77">
        <v>56.534993107314811</v>
      </c>
      <c r="L160" s="74">
        <v>0</v>
      </c>
    </row>
  </sheetData>
  <mergeCells count="4">
    <mergeCell ref="A14:E14"/>
    <mergeCell ref="N2:O2"/>
    <mergeCell ref="A1:E1"/>
    <mergeCell ref="A22:E22"/>
  </mergeCells>
  <conditionalFormatting sqref="B16:E16">
    <cfRule type="colorScale" priority="1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7:E17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8:E18"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:E19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E3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4:E4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E5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:E6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E7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E8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E9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0:E10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1:E11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4:E24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5:E25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6:E2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8:E28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B27:E27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8F908-6919-460E-95B0-835C8CACB170}">
  <dimension ref="A1:J42"/>
  <sheetViews>
    <sheetView workbookViewId="0">
      <selection activeCell="C20" sqref="C20"/>
    </sheetView>
  </sheetViews>
  <sheetFormatPr defaultRowHeight="13.2" x14ac:dyDescent="0.25"/>
  <cols>
    <col min="1" max="1" width="29.77734375" customWidth="1"/>
    <col min="2" max="2" width="18.88671875" bestFit="1" customWidth="1"/>
    <col min="3" max="3" width="17.5546875" bestFit="1" customWidth="1"/>
    <col min="4" max="4" width="30.33203125" bestFit="1" customWidth="1"/>
    <col min="5" max="5" width="20.77734375" bestFit="1" customWidth="1"/>
    <col min="6" max="6" width="18.77734375" bestFit="1" customWidth="1"/>
    <col min="7" max="7" width="20" bestFit="1" customWidth="1"/>
    <col min="8" max="8" width="22.33203125" bestFit="1" customWidth="1"/>
    <col min="9" max="9" width="28.88671875" bestFit="1" customWidth="1"/>
    <col min="10" max="10" width="20.5546875" bestFit="1" customWidth="1"/>
    <col min="11" max="11" width="7.5546875" bestFit="1" customWidth="1"/>
    <col min="12" max="12" width="20.5546875" bestFit="1" customWidth="1"/>
  </cols>
  <sheetData>
    <row r="1" spans="1:10" ht="14.4" x14ac:dyDescent="0.3">
      <c r="A1" s="40" t="s">
        <v>66</v>
      </c>
      <c r="B1" s="41" t="s">
        <v>67</v>
      </c>
      <c r="C1" s="41" t="s">
        <v>68</v>
      </c>
      <c r="D1" s="41" t="s">
        <v>69</v>
      </c>
      <c r="E1" s="42" t="s">
        <v>70</v>
      </c>
      <c r="F1" s="42" t="s">
        <v>71</v>
      </c>
      <c r="G1" s="42" t="s">
        <v>72</v>
      </c>
      <c r="H1" s="43" t="s">
        <v>73</v>
      </c>
      <c r="I1" s="43" t="s">
        <v>74</v>
      </c>
      <c r="J1" s="43" t="s">
        <v>75</v>
      </c>
    </row>
    <row r="2" spans="1:10" ht="14.4" x14ac:dyDescent="0.3">
      <c r="A2" s="40" t="s">
        <v>76</v>
      </c>
      <c r="B2" s="44">
        <v>3.6</v>
      </c>
      <c r="C2" s="44">
        <v>3.6</v>
      </c>
      <c r="D2" s="44">
        <v>3.6</v>
      </c>
      <c r="E2" s="45">
        <v>3.6</v>
      </c>
      <c r="F2" s="45">
        <v>3.6</v>
      </c>
      <c r="G2" s="46">
        <v>3.6</v>
      </c>
      <c r="H2" s="47">
        <v>3.3</v>
      </c>
      <c r="I2" s="47">
        <v>3.3</v>
      </c>
      <c r="J2" s="47">
        <v>3.3</v>
      </c>
    </row>
    <row r="3" spans="1:10" ht="14.4" x14ac:dyDescent="0.3">
      <c r="A3" s="40" t="s">
        <v>77</v>
      </c>
      <c r="B3" s="44">
        <v>22.1</v>
      </c>
      <c r="C3" s="44">
        <v>30</v>
      </c>
      <c r="D3" s="44">
        <v>15</v>
      </c>
      <c r="E3" s="48">
        <v>40</v>
      </c>
      <c r="F3" s="46">
        <v>45</v>
      </c>
      <c r="G3" s="46">
        <v>45</v>
      </c>
      <c r="H3" s="47">
        <v>32.299999999999997</v>
      </c>
      <c r="I3" s="47">
        <v>20</v>
      </c>
      <c r="J3" s="47">
        <v>50</v>
      </c>
    </row>
    <row r="4" spans="1:10" ht="14.4" x14ac:dyDescent="0.25">
      <c r="A4" s="40" t="s">
        <v>78</v>
      </c>
      <c r="B4" s="49">
        <f>B2*B3</f>
        <v>79.56</v>
      </c>
      <c r="C4" s="48">
        <f>C2*C3</f>
        <v>108</v>
      </c>
      <c r="D4" s="48">
        <f>D2*D3</f>
        <v>54</v>
      </c>
      <c r="E4" s="48">
        <f t="shared" ref="E4:J4" si="0">E2*E3</f>
        <v>144</v>
      </c>
      <c r="F4" s="45">
        <f t="shared" si="0"/>
        <v>162</v>
      </c>
      <c r="G4" s="45">
        <f t="shared" si="0"/>
        <v>162</v>
      </c>
      <c r="H4" s="45">
        <f t="shared" si="0"/>
        <v>106.58999999999999</v>
      </c>
      <c r="I4" s="45">
        <f t="shared" si="0"/>
        <v>66</v>
      </c>
      <c r="J4" s="45">
        <f t="shared" si="0"/>
        <v>165</v>
      </c>
    </row>
    <row r="5" spans="1:10" ht="14.4" x14ac:dyDescent="0.25">
      <c r="A5" s="40" t="s">
        <v>79</v>
      </c>
      <c r="B5" s="50">
        <f>(B6*B2)/1000</f>
        <v>1.0854000000000001E-2</v>
      </c>
      <c r="C5" s="50">
        <f>(C6*C2)/1000</f>
        <v>9.360000000000002E-3</v>
      </c>
      <c r="D5" s="50">
        <f>(D6*D2)/1000</f>
        <v>1.0800000000000001E-2</v>
      </c>
      <c r="E5" s="51">
        <f t="shared" ref="E5:J5" si="1">(E6*E2)/1000</f>
        <v>1.4760000000000001E-2</v>
      </c>
      <c r="F5" s="51">
        <f t="shared" si="1"/>
        <v>1.4760000000000001E-2</v>
      </c>
      <c r="G5" s="51">
        <f t="shared" si="1"/>
        <v>1.5120000000000001E-2</v>
      </c>
      <c r="H5" s="51">
        <f t="shared" si="1"/>
        <v>1.4189999999999999E-2</v>
      </c>
      <c r="I5" s="51">
        <f t="shared" si="1"/>
        <v>1.7489999999999999E-2</v>
      </c>
      <c r="J5" s="51">
        <f t="shared" si="1"/>
        <v>8.2500000000000004E-3</v>
      </c>
    </row>
    <row r="6" spans="1:10" ht="14.4" x14ac:dyDescent="0.3">
      <c r="A6" s="40" t="s">
        <v>80</v>
      </c>
      <c r="B6" s="49">
        <v>3.0150000000000001</v>
      </c>
      <c r="C6" s="49">
        <v>2.6</v>
      </c>
      <c r="D6" s="49">
        <v>3</v>
      </c>
      <c r="E6" s="52">
        <v>4.0999999999999996</v>
      </c>
      <c r="F6" s="53">
        <v>4.0999999999999996</v>
      </c>
      <c r="G6" s="46">
        <v>4.2</v>
      </c>
      <c r="H6" s="46">
        <v>4.3</v>
      </c>
      <c r="I6" s="47">
        <v>5.3</v>
      </c>
      <c r="J6" s="47">
        <v>2.5</v>
      </c>
    </row>
    <row r="7" spans="1:10" ht="14.4" x14ac:dyDescent="0.25">
      <c r="A7" s="40" t="s">
        <v>81</v>
      </c>
      <c r="B7" s="51">
        <f t="shared" ref="B7:E7" si="2">B6/B3</f>
        <v>0.13642533936651582</v>
      </c>
      <c r="C7" s="51">
        <f t="shared" si="2"/>
        <v>8.666666666666667E-2</v>
      </c>
      <c r="D7" s="51">
        <f t="shared" si="2"/>
        <v>0.2</v>
      </c>
      <c r="E7" s="51">
        <f t="shared" si="2"/>
        <v>0.10249999999999999</v>
      </c>
      <c r="F7" s="51">
        <f>F6/F3</f>
        <v>9.1111111111111101E-2</v>
      </c>
      <c r="G7" s="51">
        <f t="shared" ref="G7:J7" si="3">G6/G3</f>
        <v>9.3333333333333338E-2</v>
      </c>
      <c r="H7" s="51">
        <f t="shared" si="3"/>
        <v>0.13312693498452013</v>
      </c>
      <c r="I7" s="51">
        <f t="shared" si="3"/>
        <v>0.26500000000000001</v>
      </c>
      <c r="J7" s="51">
        <f t="shared" si="3"/>
        <v>0.05</v>
      </c>
    </row>
    <row r="8" spans="1:10" ht="14.4" x14ac:dyDescent="0.25">
      <c r="A8" s="40" t="s">
        <v>82</v>
      </c>
      <c r="B8" s="49">
        <f>B7*60</f>
        <v>8.1855203619909496</v>
      </c>
      <c r="C8" s="49">
        <f>C7*60</f>
        <v>5.2</v>
      </c>
      <c r="D8" s="49">
        <f>D7*60</f>
        <v>12</v>
      </c>
      <c r="E8" s="45">
        <f t="shared" ref="E8:J8" si="4">E7*60</f>
        <v>6.1499999999999995</v>
      </c>
      <c r="F8" s="48">
        <f t="shared" si="4"/>
        <v>5.4666666666666659</v>
      </c>
      <c r="G8" s="52">
        <f t="shared" si="4"/>
        <v>5.6000000000000005</v>
      </c>
      <c r="H8" s="52">
        <f t="shared" si="4"/>
        <v>7.9876160990712082</v>
      </c>
      <c r="I8" s="52">
        <f t="shared" si="4"/>
        <v>15.9</v>
      </c>
      <c r="J8" s="52">
        <f t="shared" si="4"/>
        <v>3</v>
      </c>
    </row>
    <row r="9" spans="1:10" ht="14.4" x14ac:dyDescent="0.25">
      <c r="A9" s="40" t="s">
        <v>94</v>
      </c>
      <c r="B9" s="49">
        <f>20000/B4</f>
        <v>251.38260432378078</v>
      </c>
      <c r="C9" s="49">
        <f t="shared" ref="C9:J9" si="5">20000/C4</f>
        <v>185.18518518518519</v>
      </c>
      <c r="D9" s="49">
        <f t="shared" si="5"/>
        <v>370.37037037037038</v>
      </c>
      <c r="E9" s="49">
        <f t="shared" si="5"/>
        <v>138.88888888888889</v>
      </c>
      <c r="F9" s="49">
        <f t="shared" si="5"/>
        <v>123.45679012345678</v>
      </c>
      <c r="G9" s="49">
        <f t="shared" si="5"/>
        <v>123.45679012345678</v>
      </c>
      <c r="H9" s="49">
        <f t="shared" si="5"/>
        <v>187.63486255746321</v>
      </c>
      <c r="I9" s="49">
        <f t="shared" si="5"/>
        <v>303.030303030303</v>
      </c>
      <c r="J9" s="49">
        <f t="shared" si="5"/>
        <v>121.21212121212122</v>
      </c>
    </row>
    <row r="10" spans="1:10" ht="14.4" x14ac:dyDescent="0.3">
      <c r="A10" s="40" t="s">
        <v>83</v>
      </c>
      <c r="B10" s="44">
        <v>44.73</v>
      </c>
      <c r="C10" s="44">
        <v>46.1</v>
      </c>
      <c r="D10" s="44">
        <v>46.6</v>
      </c>
      <c r="E10" s="48">
        <v>67.5</v>
      </c>
      <c r="F10" s="46">
        <v>66.8</v>
      </c>
      <c r="G10" s="53">
        <v>67.8</v>
      </c>
      <c r="H10" s="47">
        <v>88.84</v>
      </c>
      <c r="I10" s="47">
        <v>80</v>
      </c>
      <c r="J10" s="47">
        <v>75.7</v>
      </c>
    </row>
    <row r="11" spans="1:10" ht="14.4" x14ac:dyDescent="0.25">
      <c r="A11" s="40" t="s">
        <v>84</v>
      </c>
      <c r="B11" s="48">
        <f t="shared" ref="B11:J11" si="6">(B10*B9)/1000</f>
        <v>11.244343891402714</v>
      </c>
      <c r="C11" s="48">
        <f t="shared" si="6"/>
        <v>8.5370370370370381</v>
      </c>
      <c r="D11" s="48">
        <f t="shared" si="6"/>
        <v>17.25925925925926</v>
      </c>
      <c r="E11" s="48">
        <f t="shared" si="6"/>
        <v>9.375</v>
      </c>
      <c r="F11" s="48">
        <f t="shared" si="6"/>
        <v>8.2469135802469129</v>
      </c>
      <c r="G11" s="48">
        <f t="shared" si="6"/>
        <v>8.3703703703703702</v>
      </c>
      <c r="H11" s="48">
        <f t="shared" si="6"/>
        <v>16.66948118960503</v>
      </c>
      <c r="I11" s="48">
        <f t="shared" si="6"/>
        <v>24.242424242424239</v>
      </c>
      <c r="J11" s="48">
        <f t="shared" si="6"/>
        <v>9.1757575757575758</v>
      </c>
    </row>
    <row r="12" spans="1:10" ht="14.4" x14ac:dyDescent="0.3">
      <c r="A12" s="40" t="s">
        <v>85</v>
      </c>
      <c r="B12" s="44">
        <v>5</v>
      </c>
      <c r="C12" s="44">
        <v>5</v>
      </c>
      <c r="D12" s="44">
        <v>4.5</v>
      </c>
      <c r="E12" s="48">
        <v>5</v>
      </c>
      <c r="F12" s="46">
        <v>4.5</v>
      </c>
      <c r="G12" s="46">
        <v>6</v>
      </c>
      <c r="H12" s="46">
        <v>6.5</v>
      </c>
      <c r="I12" s="46">
        <v>6.5</v>
      </c>
      <c r="J12" s="46">
        <v>6.5</v>
      </c>
    </row>
    <row r="13" spans="1:10" ht="14.4" x14ac:dyDescent="0.25">
      <c r="A13" s="40" t="s">
        <v>86</v>
      </c>
      <c r="B13" s="48">
        <f t="shared" ref="B13:J13" si="7">B12*B9</f>
        <v>1256.9130216189039</v>
      </c>
      <c r="C13" s="48">
        <f t="shared" si="7"/>
        <v>925.92592592592598</v>
      </c>
      <c r="D13" s="48">
        <f t="shared" si="7"/>
        <v>1666.6666666666667</v>
      </c>
      <c r="E13" s="48">
        <f t="shared" si="7"/>
        <v>694.44444444444446</v>
      </c>
      <c r="F13" s="48">
        <f t="shared" si="7"/>
        <v>555.55555555555554</v>
      </c>
      <c r="G13" s="48">
        <f t="shared" si="7"/>
        <v>740.74074074074065</v>
      </c>
      <c r="H13" s="48">
        <f t="shared" si="7"/>
        <v>1219.626606623511</v>
      </c>
      <c r="I13" s="48">
        <f t="shared" si="7"/>
        <v>1969.6969696969695</v>
      </c>
      <c r="J13" s="48">
        <f t="shared" si="7"/>
        <v>787.87878787878788</v>
      </c>
    </row>
    <row r="14" spans="1:10" ht="14.4" x14ac:dyDescent="0.3">
      <c r="A14" s="40" t="s">
        <v>87</v>
      </c>
      <c r="B14" s="44">
        <v>60</v>
      </c>
      <c r="C14" s="44">
        <v>60</v>
      </c>
      <c r="D14" s="44">
        <v>80</v>
      </c>
      <c r="E14" s="45">
        <v>80</v>
      </c>
      <c r="F14" s="45">
        <v>80</v>
      </c>
      <c r="G14" s="53">
        <v>60</v>
      </c>
      <c r="H14" s="47">
        <v>60</v>
      </c>
      <c r="I14" s="47">
        <v>60</v>
      </c>
      <c r="J14" s="47">
        <v>55</v>
      </c>
    </row>
    <row r="15" spans="1:10" x14ac:dyDescent="0.25">
      <c r="F15" s="62" t="s">
        <v>88</v>
      </c>
    </row>
    <row r="17" spans="1:10" ht="14.4" x14ac:dyDescent="0.25">
      <c r="A17" s="40" t="s">
        <v>66</v>
      </c>
      <c r="B17" s="54" t="s">
        <v>89</v>
      </c>
      <c r="D17" s="64" t="s">
        <v>76</v>
      </c>
      <c r="E17" s="64" t="s">
        <v>95</v>
      </c>
      <c r="F17" s="65" t="s">
        <v>80</v>
      </c>
      <c r="G17" s="64" t="s">
        <v>99</v>
      </c>
      <c r="H17" s="64" t="s">
        <v>30</v>
      </c>
      <c r="I17" s="64" t="s">
        <v>193</v>
      </c>
    </row>
    <row r="18" spans="1:10" ht="14.4" x14ac:dyDescent="0.25">
      <c r="A18" s="40" t="s">
        <v>76</v>
      </c>
      <c r="B18" s="55">
        <v>3.6</v>
      </c>
      <c r="D18" s="64">
        <f>D21*B18</f>
        <v>259.2</v>
      </c>
      <c r="E18" s="64">
        <f>E21*B19</f>
        <v>405</v>
      </c>
      <c r="F18" s="64">
        <f>E21*B22</f>
        <v>36</v>
      </c>
      <c r="G18" s="64">
        <v>648</v>
      </c>
      <c r="H18" s="66">
        <f>(D18*E18)/1000</f>
        <v>104.976</v>
      </c>
      <c r="I18" s="66">
        <f>F18/(E18/2.173)</f>
        <v>0.19315555555555555</v>
      </c>
    </row>
    <row r="19" spans="1:10" ht="14.4" x14ac:dyDescent="0.25">
      <c r="A19" s="40" t="s">
        <v>90</v>
      </c>
      <c r="B19" s="56">
        <v>45</v>
      </c>
      <c r="D19" s="64"/>
      <c r="E19" s="64"/>
      <c r="F19" s="64"/>
      <c r="G19" s="64"/>
      <c r="H19" s="64"/>
      <c r="I19" s="64"/>
    </row>
    <row r="20" spans="1:10" ht="14.4" x14ac:dyDescent="0.25">
      <c r="A20" s="40" t="s">
        <v>78</v>
      </c>
      <c r="B20" s="55">
        <f t="shared" ref="B20" si="8">B18*B19</f>
        <v>162</v>
      </c>
      <c r="D20" s="64" t="s">
        <v>97</v>
      </c>
      <c r="E20" s="64" t="s">
        <v>98</v>
      </c>
      <c r="F20" s="64" t="s">
        <v>96</v>
      </c>
      <c r="G20" s="64" t="s">
        <v>93</v>
      </c>
      <c r="H20" s="64" t="s">
        <v>100</v>
      </c>
      <c r="I20" s="64" t="s">
        <v>192</v>
      </c>
    </row>
    <row r="21" spans="1:10" ht="14.4" x14ac:dyDescent="0.25">
      <c r="A21" s="40" t="s">
        <v>91</v>
      </c>
      <c r="B21" s="57">
        <f t="shared" ref="B21" si="9">(B22*B18)/1000</f>
        <v>1.44E-2</v>
      </c>
      <c r="D21" s="64">
        <v>72</v>
      </c>
      <c r="E21" s="64">
        <v>9</v>
      </c>
      <c r="F21" s="66">
        <f>(D18*F18)/1000</f>
        <v>9.3311999999999991</v>
      </c>
      <c r="G21" s="66">
        <f>(G18*B27)/1000</f>
        <v>43.2864</v>
      </c>
      <c r="H21" s="64">
        <f>G18*B29</f>
        <v>2916</v>
      </c>
      <c r="I21" s="66">
        <f>I18*60</f>
        <v>11.589333333333332</v>
      </c>
    </row>
    <row r="22" spans="1:10" ht="14.4" x14ac:dyDescent="0.25">
      <c r="A22" s="40" t="s">
        <v>80</v>
      </c>
      <c r="B22" s="56">
        <v>4</v>
      </c>
    </row>
    <row r="23" spans="1:10" ht="14.4" x14ac:dyDescent="0.25">
      <c r="A23" s="40" t="s">
        <v>92</v>
      </c>
      <c r="B23" s="56">
        <v>10</v>
      </c>
      <c r="D23" s="131" t="s">
        <v>129</v>
      </c>
      <c r="E23" s="69" t="s">
        <v>105</v>
      </c>
      <c r="F23" s="64" t="s">
        <v>106</v>
      </c>
      <c r="G23" s="68" t="s">
        <v>107</v>
      </c>
      <c r="I23" s="130" t="s">
        <v>190</v>
      </c>
      <c r="J23" s="130"/>
    </row>
    <row r="24" spans="1:10" ht="14.4" x14ac:dyDescent="0.25">
      <c r="A24" s="40" t="s">
        <v>81</v>
      </c>
      <c r="B24" s="58">
        <f t="shared" ref="B24" si="10">B22/B19</f>
        <v>8.8888888888888892E-2</v>
      </c>
      <c r="D24" s="132"/>
      <c r="E24" s="69" t="s">
        <v>110</v>
      </c>
      <c r="F24" s="64" t="s">
        <v>149</v>
      </c>
      <c r="G24" s="68" t="s">
        <v>150</v>
      </c>
      <c r="I24" s="64" t="s">
        <v>101</v>
      </c>
      <c r="J24" s="64" t="s">
        <v>102</v>
      </c>
    </row>
    <row r="25" spans="1:10" ht="14.4" x14ac:dyDescent="0.25">
      <c r="A25" s="40" t="s">
        <v>82</v>
      </c>
      <c r="B25" s="55">
        <f t="shared" ref="B25" si="11">B24*60</f>
        <v>5.3333333333333339</v>
      </c>
      <c r="C25" s="67"/>
      <c r="D25" s="112" t="s">
        <v>76</v>
      </c>
      <c r="E25" s="69">
        <f>8*B18</f>
        <v>28.8</v>
      </c>
      <c r="F25" s="64">
        <f>9*E25</f>
        <v>259.2</v>
      </c>
      <c r="G25" s="68">
        <f>F25</f>
        <v>259.2</v>
      </c>
      <c r="I25" s="111">
        <f>I26*2</f>
        <v>37.324799999999996</v>
      </c>
      <c r="J25" s="63">
        <v>0.25</v>
      </c>
    </row>
    <row r="26" spans="1:10" ht="14.4" x14ac:dyDescent="0.25">
      <c r="A26" s="40" t="s">
        <v>109</v>
      </c>
      <c r="B26" s="55">
        <f>100000/B20</f>
        <v>617.28395061728395</v>
      </c>
      <c r="C26" s="67"/>
      <c r="D26" s="112" t="s">
        <v>95</v>
      </c>
      <c r="E26" s="69">
        <f>1*B19</f>
        <v>45</v>
      </c>
      <c r="F26" s="64">
        <f>E26</f>
        <v>45</v>
      </c>
      <c r="G26" s="68">
        <f>9*F26</f>
        <v>405</v>
      </c>
      <c r="I26" s="111">
        <f>I27*2</f>
        <v>18.662399999999998</v>
      </c>
      <c r="J26" s="63">
        <v>0.5</v>
      </c>
    </row>
    <row r="27" spans="1:10" ht="14.4" x14ac:dyDescent="0.25">
      <c r="A27" s="40" t="s">
        <v>83</v>
      </c>
      <c r="B27" s="56">
        <v>66.8</v>
      </c>
      <c r="C27" s="67"/>
      <c r="D27" s="112" t="s">
        <v>80</v>
      </c>
      <c r="E27" s="69">
        <f>B22</f>
        <v>4</v>
      </c>
      <c r="F27" s="64">
        <f>B22</f>
        <v>4</v>
      </c>
      <c r="G27" s="68">
        <f>9*F27</f>
        <v>36</v>
      </c>
      <c r="I27" s="66">
        <f>F21</f>
        <v>9.3311999999999991</v>
      </c>
      <c r="J27" s="64">
        <v>1</v>
      </c>
    </row>
    <row r="28" spans="1:10" ht="14.4" x14ac:dyDescent="0.25">
      <c r="A28" s="40" t="s">
        <v>93</v>
      </c>
      <c r="B28" s="55">
        <f>(B27*B26)/1000</f>
        <v>41.234567901234563</v>
      </c>
      <c r="D28" s="112" t="s">
        <v>30</v>
      </c>
      <c r="E28" s="109">
        <f>(E25*E26)/1000</f>
        <v>1.296</v>
      </c>
      <c r="F28" s="66">
        <f>(F25*F26)/1000</f>
        <v>11.664</v>
      </c>
      <c r="G28" s="110">
        <f>(G25*G26)/1000</f>
        <v>104.976</v>
      </c>
      <c r="I28" s="111">
        <f>I27/2</f>
        <v>4.6655999999999995</v>
      </c>
      <c r="J28" s="63">
        <v>2</v>
      </c>
    </row>
    <row r="29" spans="1:10" ht="14.4" x14ac:dyDescent="0.25">
      <c r="A29" s="40" t="s">
        <v>85</v>
      </c>
      <c r="B29" s="56">
        <v>4.5</v>
      </c>
      <c r="D29" s="112" t="s">
        <v>96</v>
      </c>
      <c r="E29" s="109">
        <f>(E25*E27)/1000</f>
        <v>0.1152</v>
      </c>
      <c r="F29" s="66">
        <f>(F25*F27)/1000</f>
        <v>1.0367999999999999</v>
      </c>
      <c r="G29" s="110">
        <f>(G25*G27)/1000</f>
        <v>9.3311999999999991</v>
      </c>
      <c r="I29" s="111">
        <f>I28/2</f>
        <v>2.3327999999999998</v>
      </c>
      <c r="J29" s="63">
        <v>3</v>
      </c>
    </row>
    <row r="30" spans="1:10" ht="14.4" x14ac:dyDescent="0.25">
      <c r="A30" s="40" t="s">
        <v>86</v>
      </c>
      <c r="B30" s="55">
        <f>B29*B26</f>
        <v>2777.7777777777778</v>
      </c>
      <c r="D30" s="112" t="s">
        <v>191</v>
      </c>
      <c r="E30" s="70">
        <f>E27/(E26/2.173)</f>
        <v>0.19315555555555555</v>
      </c>
      <c r="F30" s="71">
        <f t="shared" ref="F30:G30" si="12">F27/(F26/2.173)</f>
        <v>0.19315555555555555</v>
      </c>
      <c r="G30" s="72">
        <f t="shared" si="12"/>
        <v>0.19315555555555555</v>
      </c>
    </row>
    <row r="31" spans="1:10" ht="14.4" x14ac:dyDescent="0.25">
      <c r="A31" s="40" t="s">
        <v>87</v>
      </c>
      <c r="B31" s="55">
        <v>80</v>
      </c>
      <c r="D31" s="112" t="s">
        <v>104</v>
      </c>
      <c r="E31" s="69">
        <v>8</v>
      </c>
      <c r="F31" s="64">
        <v>72</v>
      </c>
      <c r="G31" s="68">
        <v>648</v>
      </c>
      <c r="I31" s="133" t="s">
        <v>194</v>
      </c>
      <c r="J31" s="133"/>
    </row>
    <row r="32" spans="1:10" x14ac:dyDescent="0.25">
      <c r="D32" s="112" t="s">
        <v>103</v>
      </c>
      <c r="E32" s="109">
        <f>(E31*$B$27)/1000</f>
        <v>0.53439999999999999</v>
      </c>
      <c r="F32" s="66">
        <f>(F31*$B$27)/1000</f>
        <v>4.8095999999999997</v>
      </c>
      <c r="G32" s="110">
        <f>(G31*$B$27)/1000</f>
        <v>43.2864</v>
      </c>
    </row>
    <row r="34" spans="5:9" x14ac:dyDescent="0.25">
      <c r="G34" s="59"/>
    </row>
    <row r="35" spans="5:9" x14ac:dyDescent="0.25">
      <c r="E35" s="59"/>
      <c r="F35" s="60"/>
      <c r="G35" s="61"/>
      <c r="H35" s="61"/>
      <c r="I35" s="61"/>
    </row>
    <row r="36" spans="5:9" x14ac:dyDescent="0.25">
      <c r="F36" s="60"/>
      <c r="G36" s="60"/>
      <c r="H36" s="60"/>
      <c r="I36" s="60"/>
    </row>
    <row r="37" spans="5:9" x14ac:dyDescent="0.25">
      <c r="F37" s="60"/>
      <c r="G37" s="60"/>
      <c r="H37" s="60"/>
      <c r="I37" s="60"/>
    </row>
    <row r="38" spans="5:9" x14ac:dyDescent="0.25">
      <c r="F38" s="60"/>
      <c r="G38" s="60"/>
      <c r="H38" s="60"/>
      <c r="I38" s="60"/>
    </row>
    <row r="39" spans="5:9" x14ac:dyDescent="0.25">
      <c r="F39" s="60"/>
      <c r="G39" s="60"/>
      <c r="H39" s="60"/>
      <c r="I39" s="60"/>
    </row>
    <row r="40" spans="5:9" x14ac:dyDescent="0.25">
      <c r="F40" s="60"/>
      <c r="G40" s="60"/>
      <c r="H40" s="60"/>
      <c r="I40" s="60"/>
    </row>
    <row r="41" spans="5:9" x14ac:dyDescent="0.25">
      <c r="F41" s="61"/>
      <c r="G41" s="60"/>
      <c r="H41" s="60"/>
      <c r="I41" s="60"/>
    </row>
    <row r="42" spans="5:9" x14ac:dyDescent="0.25">
      <c r="F42" s="61"/>
    </row>
  </sheetData>
  <mergeCells count="3">
    <mergeCell ref="I23:J23"/>
    <mergeCell ref="D23:D24"/>
    <mergeCell ref="I31:J31"/>
  </mergeCells>
  <conditionalFormatting sqref="B2:J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:J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4:J4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5:J5"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7:J7"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8:J8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:J9">
    <cfRule type="colorScale" priority="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0:J10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1:J11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2:J12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3:J13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4:J14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6:J6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C57B1-FCA9-476F-AE80-1A9CEBDF5F68}">
  <dimension ref="A1:H20"/>
  <sheetViews>
    <sheetView workbookViewId="0">
      <selection activeCell="E18" sqref="E18"/>
    </sheetView>
  </sheetViews>
  <sheetFormatPr defaultRowHeight="13.2" x14ac:dyDescent="0.25"/>
  <cols>
    <col min="1" max="1" width="31.6640625" bestFit="1" customWidth="1"/>
    <col min="2" max="2" width="44" bestFit="1" customWidth="1"/>
    <col min="3" max="3" width="19" bestFit="1" customWidth="1"/>
    <col min="4" max="4" width="15.88671875" customWidth="1"/>
    <col min="5" max="5" width="18.33203125" bestFit="1" customWidth="1"/>
  </cols>
  <sheetData>
    <row r="1" spans="1:8" ht="21" x14ac:dyDescent="0.4">
      <c r="A1" s="83"/>
      <c r="B1" s="83" t="s">
        <v>134</v>
      </c>
      <c r="C1" s="83" t="s">
        <v>161</v>
      </c>
      <c r="D1" s="83" t="s">
        <v>100</v>
      </c>
      <c r="E1" s="83" t="s">
        <v>162</v>
      </c>
    </row>
    <row r="2" spans="1:8" ht="21" x14ac:dyDescent="0.4">
      <c r="A2" s="83" t="s">
        <v>120</v>
      </c>
      <c r="B2" s="113" t="s">
        <v>131</v>
      </c>
      <c r="C2" s="82">
        <v>12.3</v>
      </c>
      <c r="D2" s="82">
        <v>3760</v>
      </c>
      <c r="E2" s="85">
        <v>0.94</v>
      </c>
    </row>
    <row r="3" spans="1:8" ht="21" x14ac:dyDescent="0.4">
      <c r="A3" s="83" t="s">
        <v>132</v>
      </c>
      <c r="B3" s="113" t="s">
        <v>135</v>
      </c>
      <c r="C3" s="82">
        <v>6.7</v>
      </c>
      <c r="D3" s="82">
        <v>6646</v>
      </c>
      <c r="E3" s="85">
        <v>0.95</v>
      </c>
    </row>
    <row r="4" spans="1:8" ht="21" x14ac:dyDescent="0.4">
      <c r="A4" s="83" t="s">
        <v>195</v>
      </c>
      <c r="B4" s="113" t="s">
        <v>71</v>
      </c>
      <c r="C4" s="82">
        <v>43.29</v>
      </c>
      <c r="D4" s="82">
        <v>2916</v>
      </c>
      <c r="E4" s="85">
        <v>0.95</v>
      </c>
    </row>
    <row r="5" spans="1:8" ht="21" x14ac:dyDescent="0.4">
      <c r="A5" s="83" t="s">
        <v>133</v>
      </c>
      <c r="B5" s="113" t="s">
        <v>136</v>
      </c>
      <c r="C5" s="82">
        <v>2.25</v>
      </c>
      <c r="D5" s="82">
        <v>495</v>
      </c>
      <c r="E5" s="85">
        <v>0.96</v>
      </c>
    </row>
    <row r="6" spans="1:8" ht="21" x14ac:dyDescent="0.4">
      <c r="A6" s="83" t="s">
        <v>196</v>
      </c>
      <c r="B6" s="113" t="s">
        <v>197</v>
      </c>
      <c r="C6" s="82">
        <v>1.9</v>
      </c>
      <c r="D6" s="82">
        <v>399</v>
      </c>
      <c r="E6" s="85">
        <v>0.95</v>
      </c>
    </row>
    <row r="7" spans="1:8" ht="21" x14ac:dyDescent="0.4">
      <c r="A7" s="134" t="s">
        <v>137</v>
      </c>
      <c r="B7" s="134"/>
      <c r="C7" s="89">
        <f>SUM(C2:C6)</f>
        <v>66.44</v>
      </c>
      <c r="D7" s="89">
        <f>SUM(D2:D6)</f>
        <v>14216</v>
      </c>
      <c r="E7" s="86">
        <f>E2*E3*E4*E5*E6</f>
        <v>0.77369519999999981</v>
      </c>
    </row>
    <row r="8" spans="1:8" ht="21" x14ac:dyDescent="0.4">
      <c r="A8" s="84"/>
    </row>
    <row r="10" spans="1:8" x14ac:dyDescent="0.25">
      <c r="A10" s="146" t="s">
        <v>208</v>
      </c>
      <c r="B10" s="147">
        <v>164.59</v>
      </c>
      <c r="C10" s="147" t="s">
        <v>209</v>
      </c>
      <c r="D10" s="148" t="s">
        <v>211</v>
      </c>
      <c r="E10" s="148"/>
      <c r="F10" s="148"/>
      <c r="G10" s="148"/>
      <c r="H10" s="148"/>
    </row>
    <row r="11" spans="1:8" x14ac:dyDescent="0.25">
      <c r="A11" s="146" t="s">
        <v>210</v>
      </c>
      <c r="B11" s="147">
        <v>12.24</v>
      </c>
      <c r="C11" s="147" t="s">
        <v>213</v>
      </c>
      <c r="D11" s="148" t="s">
        <v>212</v>
      </c>
      <c r="E11" s="148"/>
      <c r="F11" s="148"/>
      <c r="G11" s="148"/>
      <c r="H11" s="148"/>
    </row>
    <row r="13" spans="1:8" x14ac:dyDescent="0.25">
      <c r="A13" s="114"/>
      <c r="B13" s="114" t="s">
        <v>216</v>
      </c>
      <c r="C13" s="114" t="s">
        <v>222</v>
      </c>
    </row>
    <row r="14" spans="1:8" x14ac:dyDescent="0.25">
      <c r="A14" s="114" t="s">
        <v>217</v>
      </c>
      <c r="B14" s="141">
        <f>(29*B10)/100</f>
        <v>47.731099999999998</v>
      </c>
      <c r="C14" s="141">
        <f>B14</f>
        <v>47.731099999999998</v>
      </c>
    </row>
    <row r="15" spans="1:8" x14ac:dyDescent="0.25">
      <c r="A15" s="114" t="s">
        <v>218</v>
      </c>
      <c r="B15" s="141">
        <f>('Cell Selection'!F21*'Hybrid System Costing'!B11)/100</f>
        <v>1.1421388800000001</v>
      </c>
      <c r="C15" s="142" t="s">
        <v>221</v>
      </c>
    </row>
    <row r="16" spans="1:8" x14ac:dyDescent="0.25">
      <c r="A16" s="114" t="s">
        <v>219</v>
      </c>
      <c r="B16" s="141">
        <f>B14+B15</f>
        <v>48.873238879999995</v>
      </c>
      <c r="C16" s="141">
        <f>C14</f>
        <v>47.731099999999998</v>
      </c>
    </row>
    <row r="17" spans="1:3" x14ac:dyDescent="0.25">
      <c r="A17" s="114" t="s">
        <v>220</v>
      </c>
      <c r="B17" s="142">
        <v>447.82</v>
      </c>
      <c r="C17" s="142">
        <v>244</v>
      </c>
    </row>
    <row r="18" spans="1:3" x14ac:dyDescent="0.25">
      <c r="A18" s="114" t="s">
        <v>215</v>
      </c>
      <c r="B18" s="141">
        <f>B16/B17</f>
        <v>0.10913590031709168</v>
      </c>
      <c r="C18" s="141">
        <f>C16/C17</f>
        <v>0.19561926229508195</v>
      </c>
    </row>
    <row r="19" spans="1:3" x14ac:dyDescent="0.25">
      <c r="A19" s="138"/>
      <c r="B19" s="138"/>
      <c r="C19" s="138"/>
    </row>
    <row r="20" spans="1:3" x14ac:dyDescent="0.25">
      <c r="A20" s="115" t="s">
        <v>214</v>
      </c>
      <c r="B20" s="139">
        <f>D7/(C18-B18)</f>
        <v>164378.43852113342</v>
      </c>
      <c r="C20" s="140" t="s">
        <v>61</v>
      </c>
    </row>
  </sheetData>
  <mergeCells count="3">
    <mergeCell ref="A7:B7"/>
    <mergeCell ref="D11:H11"/>
    <mergeCell ref="D10:H10"/>
  </mergeCells>
  <hyperlinks>
    <hyperlink ref="D10" r:id="rId1" display="https://www.rac.co.uk/drive/advice/fuel-watch/" xr:uid="{4BC5D1C3-8CE4-4ABD-AA69-F7AA25B4D903}"/>
    <hyperlink ref="D11" r:id="rId2" location=":~:text=Outfox%20the%20Market%20electricity%20cost%20per%20kWh%20,11.87%20%20%2024.88%20%20%202.07%20" display="https://www.safeenergyswitch.co.uk/electricity-prices-per-kwh.php - :~:text=Outfox%20the%20Market%20electricity%20cost%20per%20kWh%20,11.87%20%20%2024.88%20%20%202.07%20" xr:uid="{16441F0F-3837-4404-8554-3FEF16028B60}"/>
  </hyperlinks>
  <pageMargins left="0.7" right="0.7" top="0.75" bottom="0.75" header="0.3" footer="0.3"/>
  <pageSetup paperSize="9" orientation="portrait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563DE-7DA1-4EFA-8C37-A50176893A8C}">
  <dimension ref="B1:S19"/>
  <sheetViews>
    <sheetView workbookViewId="0">
      <selection activeCell="E23" sqref="E23"/>
    </sheetView>
  </sheetViews>
  <sheetFormatPr defaultRowHeight="13.2" x14ac:dyDescent="0.25"/>
  <cols>
    <col min="2" max="2" width="18.6640625" bestFit="1" customWidth="1"/>
    <col min="3" max="3" width="11.44140625" bestFit="1" customWidth="1"/>
    <col min="4" max="4" width="9.109375" customWidth="1"/>
    <col min="14" max="14" width="23.77734375" bestFit="1" customWidth="1"/>
  </cols>
  <sheetData>
    <row r="1" spans="2:19" ht="14.4" x14ac:dyDescent="0.3">
      <c r="B1" s="101"/>
      <c r="C1" s="81" t="s">
        <v>174</v>
      </c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</row>
    <row r="2" spans="2:19" ht="14.4" x14ac:dyDescent="0.3">
      <c r="B2" s="81" t="s">
        <v>165</v>
      </c>
      <c r="C2" s="44" t="s">
        <v>166</v>
      </c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</row>
    <row r="3" spans="2:19" ht="14.4" x14ac:dyDescent="0.3">
      <c r="B3" s="81" t="s">
        <v>167</v>
      </c>
      <c r="C3" s="44">
        <v>635</v>
      </c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</row>
    <row r="4" spans="2:19" ht="14.4" x14ac:dyDescent="0.3">
      <c r="B4" s="81" t="s">
        <v>168</v>
      </c>
      <c r="C4" s="44">
        <v>30</v>
      </c>
      <c r="D4" s="101"/>
      <c r="E4" s="101"/>
      <c r="F4" s="101"/>
      <c r="G4" s="101"/>
      <c r="H4" s="101"/>
      <c r="I4" s="101"/>
      <c r="J4" s="101"/>
      <c r="K4" s="101"/>
      <c r="L4" s="101"/>
      <c r="M4" s="101"/>
      <c r="N4" s="101"/>
      <c r="O4" s="101"/>
      <c r="P4" s="101"/>
      <c r="Q4" s="101"/>
      <c r="R4" s="101"/>
      <c r="S4" s="101"/>
    </row>
    <row r="5" spans="2:19" ht="14.4" x14ac:dyDescent="0.3">
      <c r="B5" s="90" t="s">
        <v>141</v>
      </c>
      <c r="C5" s="44">
        <v>5500</v>
      </c>
      <c r="D5" s="101"/>
      <c r="E5" s="101"/>
      <c r="F5" s="101"/>
      <c r="G5" s="101"/>
      <c r="H5" s="101"/>
      <c r="I5" s="101"/>
      <c r="J5" s="101"/>
      <c r="K5" s="101"/>
      <c r="L5" s="101"/>
      <c r="M5" s="101"/>
      <c r="N5" s="101"/>
      <c r="O5" s="101"/>
      <c r="P5" s="101"/>
      <c r="Q5" s="101"/>
      <c r="R5" s="101"/>
      <c r="S5" s="101"/>
    </row>
    <row r="6" spans="2:19" x14ac:dyDescent="0.25"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</row>
    <row r="7" spans="2:19" ht="14.4" x14ac:dyDescent="0.3">
      <c r="B7" s="137" t="s">
        <v>176</v>
      </c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92"/>
      <c r="N7" s="93" t="s">
        <v>175</v>
      </c>
      <c r="O7" s="94"/>
      <c r="P7" s="95"/>
      <c r="Q7" s="95"/>
      <c r="R7" s="95"/>
      <c r="S7" s="91"/>
    </row>
    <row r="8" spans="2:19" ht="14.4" x14ac:dyDescent="0.3">
      <c r="B8" s="81" t="s">
        <v>169</v>
      </c>
      <c r="C8" s="102">
        <v>5</v>
      </c>
      <c r="D8" s="102">
        <v>6</v>
      </c>
      <c r="E8" s="102">
        <v>7</v>
      </c>
      <c r="F8" s="102">
        <v>8</v>
      </c>
      <c r="G8" s="102">
        <v>9</v>
      </c>
      <c r="H8" s="102">
        <v>10</v>
      </c>
      <c r="I8" s="102">
        <v>11</v>
      </c>
      <c r="J8" s="102">
        <v>12</v>
      </c>
      <c r="K8" s="102">
        <v>13</v>
      </c>
      <c r="L8" s="102">
        <v>14</v>
      </c>
      <c r="M8" s="92"/>
      <c r="N8" s="105">
        <v>13.6</v>
      </c>
      <c r="O8" s="94"/>
      <c r="P8" s="96"/>
      <c r="Q8" s="97"/>
      <c r="R8" s="95"/>
      <c r="S8" s="91"/>
    </row>
    <row r="9" spans="2:19" ht="14.4" x14ac:dyDescent="0.3">
      <c r="B9" s="81">
        <v>500</v>
      </c>
      <c r="C9" s="103">
        <f>(((($C$3*10^-3)*3.142)*(B9/60))/$C$8)*2.237</f>
        <v>7.4386588166666678</v>
      </c>
      <c r="D9" s="103">
        <f>(((($C$3*10^-3)*3.142)*(B9/60))/$D$8)*2.237</f>
        <v>6.1988823472222228</v>
      </c>
      <c r="E9" s="103">
        <f>(((($C$3*10^-3)*3.142)*(B9/60))/$E$8)*2.237</f>
        <v>5.3133277261904768</v>
      </c>
      <c r="F9" s="103">
        <f>(((($C$3*10^-3)*3.142)*(B9/60))/$F$8)*2.237</f>
        <v>4.6491617604166668</v>
      </c>
      <c r="G9" s="103">
        <f>(((($C$3*10^-3)*3.142)*(B9/60))/$G$8)*2.237</f>
        <v>4.1325882314814821</v>
      </c>
      <c r="H9" s="103">
        <f>(((($C$3*10^-3)*3.142)*($B$9/60))/$H$8)*2.237</f>
        <v>3.7193294083333339</v>
      </c>
      <c r="I9" s="103">
        <f>(((($C$3*10^-3)*3.142)*(B9/60))/$I$8)*2.237</f>
        <v>3.3812085530303033</v>
      </c>
      <c r="J9" s="103">
        <f>(((($C$3*10^-3)*3.142)*(B9/60))/$J$8)*2.237</f>
        <v>3.0994411736111114</v>
      </c>
      <c r="K9" s="103">
        <f>(((($C$3*10^-3)*3.142)*(B9/60))/$K$8)*2.237</f>
        <v>2.8610226217948722</v>
      </c>
      <c r="L9" s="103">
        <f>(((($C$3*10^-3)*3.142)*(B9/60))/$L$8)*2.237</f>
        <v>2.6566638630952384</v>
      </c>
      <c r="M9" s="92"/>
      <c r="N9" s="103">
        <f>(((($C$3*10^-3)*3.142)*(B9/60))/$N$8)*2.237</f>
        <v>2.7348010355392161</v>
      </c>
      <c r="O9" s="92"/>
      <c r="P9" s="135" t="s">
        <v>170</v>
      </c>
      <c r="Q9" s="135"/>
      <c r="R9" s="94"/>
      <c r="S9" s="91"/>
    </row>
    <row r="10" spans="2:19" ht="14.4" x14ac:dyDescent="0.3">
      <c r="B10" s="81">
        <v>1000</v>
      </c>
      <c r="C10" s="103">
        <f t="shared" ref="C10:C19" si="0">(((($C$3*10^-3)*3.142)*(B10/60))/$C$8)*2.237</f>
        <v>14.877317633333336</v>
      </c>
      <c r="D10" s="103">
        <f t="shared" ref="D10:D19" si="1">(((($C$3*10^-3)*3.142)*(B10/60))/$D$8)*2.237</f>
        <v>12.397764694444446</v>
      </c>
      <c r="E10" s="103">
        <f t="shared" ref="E10:E19" si="2">(((($C$3*10^-3)*3.142)*(B10/60))/$E$8)*2.237</f>
        <v>10.626655452380954</v>
      </c>
      <c r="F10" s="103">
        <f t="shared" ref="F10:F19" si="3">(((($C$3*10^-3)*3.142)*(B10/60))/$F$8)*2.237</f>
        <v>9.2983235208333337</v>
      </c>
      <c r="G10" s="103">
        <f t="shared" ref="G10:G19" si="4">(((($C$3*10^-3)*3.142)*(B10/60))/$G$8)*2.237</f>
        <v>8.2651764629629643</v>
      </c>
      <c r="H10" s="103">
        <f t="shared" ref="H10:H19" si="5">(((($C$3*10^-3)*3.142)*(B10/60))/$H$8)*2.237</f>
        <v>7.4386588166666678</v>
      </c>
      <c r="I10" s="103">
        <f t="shared" ref="I10:I19" si="6">(((($C$3*10^-3)*3.142)*(B10/60))/$I$8)*2.237</f>
        <v>6.7624171060606066</v>
      </c>
      <c r="J10" s="103">
        <f t="shared" ref="J10:J19" si="7">(((($C$3*10^-3)*3.142)*(B10/60))/$J$8)*2.237</f>
        <v>6.1988823472222228</v>
      </c>
      <c r="K10" s="103">
        <f t="shared" ref="K10:K19" si="8">(((($C$3*10^-3)*3.142)*(B10/60))/$K$8)*2.237</f>
        <v>5.7220452435897444</v>
      </c>
      <c r="L10" s="103">
        <f t="shared" ref="L10:L19" si="9">(((($C$3*10^-3)*3.142)*(B10/60))/$L$8)*2.237</f>
        <v>5.3133277261904768</v>
      </c>
      <c r="M10" s="92"/>
      <c r="N10" s="103">
        <f t="shared" ref="N10:N19" si="10">(((($C$3*10^-3)*3.142)*(B10/60))/$N$8)*2.237</f>
        <v>5.4696020710784321</v>
      </c>
      <c r="O10" s="92"/>
      <c r="P10" s="93" t="s">
        <v>171</v>
      </c>
      <c r="Q10" s="93" t="s">
        <v>172</v>
      </c>
      <c r="R10" s="94"/>
      <c r="S10" s="91"/>
    </row>
    <row r="11" spans="2:19" ht="14.4" x14ac:dyDescent="0.3">
      <c r="B11" s="81">
        <v>1500</v>
      </c>
      <c r="C11" s="103">
        <f t="shared" si="0"/>
        <v>22.315976450000001</v>
      </c>
      <c r="D11" s="103">
        <f t="shared" si="1"/>
        <v>18.596647041666667</v>
      </c>
      <c r="E11" s="103">
        <f t="shared" si="2"/>
        <v>15.939983178571429</v>
      </c>
      <c r="F11" s="103">
        <f t="shared" si="3"/>
        <v>13.94748528125</v>
      </c>
      <c r="G11" s="103">
        <f t="shared" si="4"/>
        <v>12.397764694444446</v>
      </c>
      <c r="H11" s="103">
        <f t="shared" si="5"/>
        <v>11.157988225</v>
      </c>
      <c r="I11" s="103">
        <f t="shared" si="6"/>
        <v>10.14362565909091</v>
      </c>
      <c r="J11" s="103">
        <f t="shared" si="7"/>
        <v>9.2983235208333337</v>
      </c>
      <c r="K11" s="103">
        <f t="shared" si="8"/>
        <v>8.5830678653846153</v>
      </c>
      <c r="L11" s="103">
        <f t="shared" si="9"/>
        <v>7.9699915892857147</v>
      </c>
      <c r="M11" s="92"/>
      <c r="N11" s="103">
        <f t="shared" si="10"/>
        <v>8.2044031066176473</v>
      </c>
      <c r="O11" s="92"/>
      <c r="P11" s="98">
        <v>68</v>
      </c>
      <c r="Q11" s="98">
        <v>5</v>
      </c>
      <c r="R11" s="94"/>
      <c r="S11" s="91"/>
    </row>
    <row r="12" spans="2:19" ht="14.4" x14ac:dyDescent="0.3">
      <c r="B12" s="81">
        <v>2000</v>
      </c>
      <c r="C12" s="103">
        <f t="shared" si="0"/>
        <v>29.754635266666671</v>
      </c>
      <c r="D12" s="103">
        <f t="shared" si="1"/>
        <v>24.795529388888891</v>
      </c>
      <c r="E12" s="103">
        <f t="shared" si="2"/>
        <v>21.253310904761907</v>
      </c>
      <c r="F12" s="103">
        <f t="shared" si="3"/>
        <v>18.596647041666667</v>
      </c>
      <c r="G12" s="103">
        <f t="shared" si="4"/>
        <v>16.530352925925929</v>
      </c>
      <c r="H12" s="103">
        <f t="shared" si="5"/>
        <v>14.877317633333336</v>
      </c>
      <c r="I12" s="103">
        <f t="shared" si="6"/>
        <v>13.524834212121213</v>
      </c>
      <c r="J12" s="103">
        <f t="shared" si="7"/>
        <v>12.397764694444446</v>
      </c>
      <c r="K12" s="103">
        <f t="shared" si="8"/>
        <v>11.444090487179489</v>
      </c>
      <c r="L12" s="103">
        <f t="shared" si="9"/>
        <v>10.626655452380954</v>
      </c>
      <c r="M12" s="92"/>
      <c r="N12" s="103">
        <f t="shared" si="10"/>
        <v>10.939204142156864</v>
      </c>
      <c r="O12" s="92"/>
      <c r="P12" s="135" t="s">
        <v>173</v>
      </c>
      <c r="Q12" s="135"/>
      <c r="R12" s="94"/>
      <c r="S12" s="91"/>
    </row>
    <row r="13" spans="2:19" ht="14.4" x14ac:dyDescent="0.3">
      <c r="B13" s="81">
        <v>2500</v>
      </c>
      <c r="C13" s="103">
        <f t="shared" si="0"/>
        <v>37.193294083333328</v>
      </c>
      <c r="D13" s="103">
        <f t="shared" si="1"/>
        <v>30.994411736111111</v>
      </c>
      <c r="E13" s="103">
        <f t="shared" si="2"/>
        <v>26.566638630952383</v>
      </c>
      <c r="F13" s="103">
        <f t="shared" si="3"/>
        <v>23.245808802083332</v>
      </c>
      <c r="G13" s="103">
        <f t="shared" si="4"/>
        <v>20.66294115740741</v>
      </c>
      <c r="H13" s="103">
        <f t="shared" si="5"/>
        <v>18.596647041666664</v>
      </c>
      <c r="I13" s="103">
        <f t="shared" si="6"/>
        <v>16.906042765151515</v>
      </c>
      <c r="J13" s="103">
        <f t="shared" si="7"/>
        <v>15.497205868055556</v>
      </c>
      <c r="K13" s="103">
        <f t="shared" si="8"/>
        <v>14.305113108974359</v>
      </c>
      <c r="L13" s="103">
        <f t="shared" si="9"/>
        <v>13.283319315476191</v>
      </c>
      <c r="M13" s="92"/>
      <c r="N13" s="103">
        <f t="shared" si="10"/>
        <v>13.674005177696078</v>
      </c>
      <c r="O13" s="99"/>
      <c r="P13" s="136">
        <f>P11/Q11</f>
        <v>13.6</v>
      </c>
      <c r="Q13" s="136"/>
      <c r="R13" s="94"/>
      <c r="S13" s="91"/>
    </row>
    <row r="14" spans="2:19" ht="14.4" x14ac:dyDescent="0.3">
      <c r="B14" s="81">
        <v>3000</v>
      </c>
      <c r="C14" s="103">
        <f t="shared" si="0"/>
        <v>44.631952900000002</v>
      </c>
      <c r="D14" s="103">
        <f t="shared" si="1"/>
        <v>37.193294083333335</v>
      </c>
      <c r="E14" s="103">
        <f t="shared" si="2"/>
        <v>31.879966357142859</v>
      </c>
      <c r="F14" s="103">
        <f t="shared" si="3"/>
        <v>27.894970562499999</v>
      </c>
      <c r="G14" s="103">
        <f t="shared" si="4"/>
        <v>24.795529388888891</v>
      </c>
      <c r="H14" s="103">
        <f t="shared" si="5"/>
        <v>22.315976450000001</v>
      </c>
      <c r="I14" s="103">
        <f t="shared" si="6"/>
        <v>20.28725131818182</v>
      </c>
      <c r="J14" s="103">
        <f t="shared" si="7"/>
        <v>18.596647041666667</v>
      </c>
      <c r="K14" s="103">
        <f t="shared" si="8"/>
        <v>17.166135730769231</v>
      </c>
      <c r="L14" s="103">
        <f t="shared" si="9"/>
        <v>15.939983178571429</v>
      </c>
      <c r="M14" s="92"/>
      <c r="N14" s="103">
        <f t="shared" si="10"/>
        <v>16.408806213235295</v>
      </c>
      <c r="O14" s="94"/>
      <c r="P14" s="100"/>
      <c r="Q14" s="100"/>
      <c r="R14" s="95"/>
      <c r="S14" s="91"/>
    </row>
    <row r="15" spans="2:19" ht="14.4" x14ac:dyDescent="0.3">
      <c r="B15" s="81">
        <v>3500</v>
      </c>
      <c r="C15" s="103">
        <f t="shared" si="0"/>
        <v>52.070611716666669</v>
      </c>
      <c r="D15" s="103">
        <f t="shared" si="1"/>
        <v>43.392176430555558</v>
      </c>
      <c r="E15" s="103">
        <f t="shared" si="2"/>
        <v>37.193294083333335</v>
      </c>
      <c r="F15" s="103">
        <f t="shared" si="3"/>
        <v>32.544132322916667</v>
      </c>
      <c r="G15" s="103">
        <f t="shared" si="4"/>
        <v>28.928117620370369</v>
      </c>
      <c r="H15" s="103">
        <f t="shared" si="5"/>
        <v>26.035305858333334</v>
      </c>
      <c r="I15" s="103">
        <f t="shared" si="6"/>
        <v>23.668459871212121</v>
      </c>
      <c r="J15" s="103">
        <f t="shared" si="7"/>
        <v>21.696088215277779</v>
      </c>
      <c r="K15" s="103">
        <f t="shared" si="8"/>
        <v>20.027158352564101</v>
      </c>
      <c r="L15" s="103">
        <f t="shared" si="9"/>
        <v>18.596647041666667</v>
      </c>
      <c r="M15" s="92"/>
      <c r="N15" s="103">
        <f t="shared" si="10"/>
        <v>19.143607248774511</v>
      </c>
      <c r="O15" s="94"/>
      <c r="P15" s="95"/>
      <c r="Q15" s="95"/>
      <c r="R15" s="95"/>
      <c r="S15" s="91"/>
    </row>
    <row r="16" spans="2:19" ht="14.4" x14ac:dyDescent="0.3">
      <c r="B16" s="81">
        <v>4000</v>
      </c>
      <c r="C16" s="103">
        <f t="shared" si="0"/>
        <v>59.509270533333343</v>
      </c>
      <c r="D16" s="103">
        <f t="shared" si="1"/>
        <v>49.591058777777782</v>
      </c>
      <c r="E16" s="103">
        <f t="shared" si="2"/>
        <v>42.506621809523814</v>
      </c>
      <c r="F16" s="103">
        <f t="shared" si="3"/>
        <v>37.193294083333335</v>
      </c>
      <c r="G16" s="103">
        <f t="shared" si="4"/>
        <v>33.060705851851857</v>
      </c>
      <c r="H16" s="103">
        <f t="shared" si="5"/>
        <v>29.754635266666671</v>
      </c>
      <c r="I16" s="103">
        <f t="shared" si="6"/>
        <v>27.049668424242427</v>
      </c>
      <c r="J16" s="103">
        <f t="shared" si="7"/>
        <v>24.795529388888891</v>
      </c>
      <c r="K16" s="103">
        <f t="shared" si="8"/>
        <v>22.888180974358978</v>
      </c>
      <c r="L16" s="103">
        <f t="shared" si="9"/>
        <v>21.253310904761907</v>
      </c>
      <c r="M16" s="92"/>
      <c r="N16" s="103">
        <f t="shared" si="10"/>
        <v>21.878408284313728</v>
      </c>
      <c r="O16" s="94"/>
      <c r="P16" s="95"/>
      <c r="Q16" s="95"/>
      <c r="R16" s="95"/>
      <c r="S16" s="91"/>
    </row>
    <row r="17" spans="2:19" ht="14.4" x14ac:dyDescent="0.3">
      <c r="B17" s="81">
        <v>4500</v>
      </c>
      <c r="C17" s="103">
        <f t="shared" si="0"/>
        <v>66.947929349999995</v>
      </c>
      <c r="D17" s="103">
        <f t="shared" si="1"/>
        <v>55.789941124999991</v>
      </c>
      <c r="E17" s="103">
        <f t="shared" si="2"/>
        <v>47.819949535714279</v>
      </c>
      <c r="F17" s="103">
        <f t="shared" si="3"/>
        <v>41.842455843749995</v>
      </c>
      <c r="G17" s="103">
        <f t="shared" si="4"/>
        <v>37.193294083333328</v>
      </c>
      <c r="H17" s="103">
        <f t="shared" si="5"/>
        <v>33.473964674999998</v>
      </c>
      <c r="I17" s="103">
        <f t="shared" si="6"/>
        <v>30.430876977272725</v>
      </c>
      <c r="J17" s="103">
        <f t="shared" si="7"/>
        <v>27.894970562499996</v>
      </c>
      <c r="K17" s="103">
        <f t="shared" si="8"/>
        <v>25.749203596153844</v>
      </c>
      <c r="L17" s="103">
        <f t="shared" si="9"/>
        <v>23.90997476785714</v>
      </c>
      <c r="M17" s="91"/>
      <c r="N17" s="103">
        <f t="shared" si="10"/>
        <v>24.613209319852942</v>
      </c>
      <c r="O17" s="91"/>
      <c r="P17" s="91"/>
      <c r="Q17" s="91"/>
      <c r="R17" s="91"/>
      <c r="S17" s="91"/>
    </row>
    <row r="18" spans="2:19" ht="14.4" x14ac:dyDescent="0.3">
      <c r="B18" s="104">
        <v>5000</v>
      </c>
      <c r="C18" s="103">
        <f t="shared" si="0"/>
        <v>74.386588166666655</v>
      </c>
      <c r="D18" s="103">
        <f t="shared" si="1"/>
        <v>61.988823472222222</v>
      </c>
      <c r="E18" s="103">
        <f t="shared" si="2"/>
        <v>53.133277261904766</v>
      </c>
      <c r="F18" s="103">
        <f t="shared" si="3"/>
        <v>46.491617604166663</v>
      </c>
      <c r="G18" s="103">
        <f t="shared" si="4"/>
        <v>41.32588231481482</v>
      </c>
      <c r="H18" s="103">
        <f t="shared" si="5"/>
        <v>37.193294083333328</v>
      </c>
      <c r="I18" s="103">
        <f t="shared" si="6"/>
        <v>33.81208553030303</v>
      </c>
      <c r="J18" s="103">
        <f t="shared" si="7"/>
        <v>30.994411736111111</v>
      </c>
      <c r="K18" s="103">
        <f t="shared" si="8"/>
        <v>28.610226217948718</v>
      </c>
      <c r="L18" s="103">
        <f t="shared" si="9"/>
        <v>26.566638630952383</v>
      </c>
      <c r="N18" s="103">
        <f t="shared" si="10"/>
        <v>27.348010355392155</v>
      </c>
    </row>
    <row r="19" spans="2:19" ht="14.4" x14ac:dyDescent="0.3">
      <c r="B19" s="104">
        <v>5500</v>
      </c>
      <c r="C19" s="103">
        <f t="shared" si="0"/>
        <v>81.825246983333329</v>
      </c>
      <c r="D19" s="103">
        <f t="shared" si="1"/>
        <v>68.187705819444446</v>
      </c>
      <c r="E19" s="103">
        <f t="shared" si="2"/>
        <v>58.446604988095238</v>
      </c>
      <c r="F19" s="103">
        <f t="shared" si="3"/>
        <v>51.140779364583331</v>
      </c>
      <c r="G19" s="103">
        <f t="shared" si="4"/>
        <v>45.458470546296297</v>
      </c>
      <c r="H19" s="103">
        <f t="shared" si="5"/>
        <v>40.912623491666665</v>
      </c>
      <c r="I19" s="103">
        <f t="shared" si="6"/>
        <v>37.193294083333335</v>
      </c>
      <c r="J19" s="103">
        <f t="shared" si="7"/>
        <v>34.093852909722223</v>
      </c>
      <c r="K19" s="103">
        <f t="shared" si="8"/>
        <v>31.471248839743588</v>
      </c>
      <c r="L19" s="103">
        <f t="shared" si="9"/>
        <v>29.223302494047619</v>
      </c>
      <c r="N19" s="103">
        <f t="shared" si="10"/>
        <v>30.082811390931372</v>
      </c>
    </row>
  </sheetData>
  <mergeCells count="4">
    <mergeCell ref="P9:Q9"/>
    <mergeCell ref="P12:Q12"/>
    <mergeCell ref="P13:Q13"/>
    <mergeCell ref="B7:L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A6F57-DDFB-45D6-911B-5A8BA11E2C30}">
  <dimension ref="C8:H12"/>
  <sheetViews>
    <sheetView workbookViewId="0">
      <selection activeCell="H14" sqref="H14"/>
    </sheetView>
  </sheetViews>
  <sheetFormatPr defaultRowHeight="13.2" x14ac:dyDescent="0.25"/>
  <cols>
    <col min="3" max="3" width="26" bestFit="1" customWidth="1"/>
    <col min="4" max="4" width="16.77734375" bestFit="1" customWidth="1"/>
    <col min="5" max="5" width="13.21875" bestFit="1" customWidth="1"/>
    <col min="6" max="6" width="25" bestFit="1" customWidth="1"/>
    <col min="8" max="8" width="73.21875" bestFit="1" customWidth="1"/>
  </cols>
  <sheetData>
    <row r="8" spans="3:8" ht="15.6" x14ac:dyDescent="0.3">
      <c r="C8" s="116" t="s">
        <v>198</v>
      </c>
      <c r="D8" s="116" t="s">
        <v>199</v>
      </c>
      <c r="E8" s="116" t="s">
        <v>200</v>
      </c>
      <c r="F8" s="116" t="s">
        <v>201</v>
      </c>
      <c r="H8" s="116" t="s">
        <v>207</v>
      </c>
    </row>
    <row r="9" spans="3:8" ht="15.6" x14ac:dyDescent="0.3">
      <c r="C9" s="116" t="s">
        <v>203</v>
      </c>
      <c r="D9" s="117">
        <v>692.72</v>
      </c>
      <c r="E9" s="117">
        <v>449.39</v>
      </c>
      <c r="F9" s="117">
        <v>814</v>
      </c>
      <c r="H9" s="119" t="s">
        <v>204</v>
      </c>
    </row>
    <row r="10" spans="3:8" ht="15.6" x14ac:dyDescent="0.3">
      <c r="C10" s="116" t="s">
        <v>30</v>
      </c>
      <c r="D10" s="117">
        <v>55</v>
      </c>
      <c r="E10" s="117">
        <v>43.47</v>
      </c>
      <c r="F10" s="117">
        <v>55</v>
      </c>
      <c r="H10" s="119" t="s">
        <v>205</v>
      </c>
    </row>
    <row r="11" spans="3:8" ht="15.6" x14ac:dyDescent="0.3">
      <c r="C11" s="116" t="s">
        <v>161</v>
      </c>
      <c r="D11" s="117">
        <v>50</v>
      </c>
      <c r="E11" s="117">
        <v>25.9</v>
      </c>
      <c r="F11" s="117">
        <v>35</v>
      </c>
      <c r="H11" s="119" t="s">
        <v>206</v>
      </c>
    </row>
    <row r="12" spans="3:8" ht="15.6" x14ac:dyDescent="0.3">
      <c r="C12" s="116" t="s">
        <v>202</v>
      </c>
      <c r="D12" s="117">
        <f>D10/D11</f>
        <v>1.1000000000000001</v>
      </c>
      <c r="E12" s="118">
        <f t="shared" ref="E12:F12" si="0">E10/E11</f>
        <v>1.6783783783783783</v>
      </c>
      <c r="F12" s="118">
        <f t="shared" si="0"/>
        <v>1.5714285714285714</v>
      </c>
    </row>
  </sheetData>
  <hyperlinks>
    <hyperlink ref="H9" r:id="rId1" display="https://www.husqvarna-motorcycles.com/en-gb/models/supermoto/701-supermoto-2022.html" xr:uid="{40645B2F-CA05-4EC5-BE6A-5BFC44B0589C}"/>
    <hyperlink ref="H10" r:id="rId2" display="https://www.ktm.com/en-gb/models/mx/4-stroke/ktm-450-sx-f-factoryedition2021.html" xr:uid="{B9BE4C5D-59A7-4844-8135-393BB578724A}"/>
    <hyperlink ref="H11" r:id="rId3" display="http://www.wankel-ag.de/seite1_e.html" xr:uid="{7ECB6494-BE55-400D-A888-1FBC5633AD9D}"/>
  </hyperlinks>
  <pageMargins left="0.7" right="0.7" top="0.75" bottom="0.75" header="0.3" footer="0.3"/>
  <pageSetup paperSize="9" orientation="portrait" r:id="rId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50F8F-FF57-4F54-9661-91389D7BFA7E}">
  <dimension ref="A1"/>
  <sheetViews>
    <sheetView zoomScale="85" zoomScaleNormal="85" workbookViewId="0">
      <selection activeCell="R14" sqref="R14"/>
    </sheetView>
  </sheetViews>
  <sheetFormatPr defaultRowHeight="13.2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833C4-793B-492D-ABF7-CFF588DD5497}">
  <dimension ref="A1"/>
  <sheetViews>
    <sheetView zoomScale="102" zoomScaleNormal="102" workbookViewId="0">
      <selection activeCell="O21" sqref="O21"/>
    </sheetView>
  </sheetViews>
  <sheetFormatPr defaultRowHeight="13.2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Data</vt:lpstr>
      <vt:lpstr>BSFC</vt:lpstr>
      <vt:lpstr>Electric Motor</vt:lpstr>
      <vt:lpstr>Cell Selection</vt:lpstr>
      <vt:lpstr>Hybrid System Costing</vt:lpstr>
      <vt:lpstr>Final Drive Ratio</vt:lpstr>
      <vt:lpstr>Alternative ICE</vt:lpstr>
      <vt:lpstr>Graphs</vt:lpstr>
      <vt:lpstr>Track Map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Parry</dc:creator>
  <cp:lastModifiedBy>Chris Parry</cp:lastModifiedBy>
  <dcterms:created xsi:type="dcterms:W3CDTF">2021-11-12T14:26:39Z</dcterms:created>
  <dcterms:modified xsi:type="dcterms:W3CDTF">2022-03-28T13:46:53Z</dcterms:modified>
</cp:coreProperties>
</file>