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JamesLloyd\AppData\Local\Box\Box Edit\Documents\kup85tS8akOvIL9koPSr_A==\"/>
    </mc:Choice>
  </mc:AlternateContent>
  <xr:revisionPtr revIDLastSave="0" documentId="13_ncr:1_{EE3D8C4B-3E6D-40FD-95FF-28FD2600C7E8}" xr6:coauthVersionLast="47" xr6:coauthVersionMax="47" xr10:uidLastSave="{00000000-0000-0000-0000-000000000000}"/>
  <bookViews>
    <workbookView xWindow="-28920" yWindow="-7830" windowWidth="29040" windowHeight="15840" xr2:uid="{00000000-000D-0000-FFFF-FFFF00000000}"/>
  </bookViews>
  <sheets>
    <sheet name="Final" sheetId="11" r:id="rId1"/>
  </sheets>
  <definedNames>
    <definedName name="_xlnm._FilterDatabase" localSheetId="0" hidden="1">Final!$A$15:$AE$110</definedName>
    <definedName name="_xlnm.Print_Area" localSheetId="0">Final!$B$2:$AE$110</definedName>
    <definedName name="_xlnm.Print_Titles" localSheetId="0">Final!$2:$15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2" i="11" l="1"/>
  <c r="J84" i="11"/>
  <c r="K84" i="11"/>
  <c r="L84" i="11"/>
  <c r="M84" i="11"/>
  <c r="N84" i="11"/>
  <c r="O84" i="11"/>
  <c r="P84" i="11"/>
  <c r="Q84" i="11"/>
  <c r="R84" i="11"/>
  <c r="S84" i="11"/>
  <c r="S82" i="11" s="1"/>
  <c r="T84" i="11"/>
  <c r="U84" i="11"/>
  <c r="V84" i="11"/>
  <c r="W84" i="11"/>
  <c r="W82" i="11" s="1"/>
  <c r="X84" i="11"/>
  <c r="Y84" i="11"/>
  <c r="Z84" i="11"/>
  <c r="AA84" i="11"/>
  <c r="AA82" i="11" s="1"/>
  <c r="AB84" i="11"/>
  <c r="AC84" i="11"/>
  <c r="J85" i="11"/>
  <c r="K85" i="11"/>
  <c r="L85" i="11"/>
  <c r="M85" i="11"/>
  <c r="N85" i="11"/>
  <c r="O85" i="11"/>
  <c r="P85" i="11"/>
  <c r="Q85" i="11"/>
  <c r="R85" i="11"/>
  <c r="S85" i="11"/>
  <c r="T85" i="11"/>
  <c r="U85" i="11"/>
  <c r="V85" i="11"/>
  <c r="W85" i="11"/>
  <c r="X85" i="11"/>
  <c r="Y85" i="11"/>
  <c r="Z85" i="11"/>
  <c r="AA85" i="11"/>
  <c r="AB85" i="11"/>
  <c r="AC85" i="11"/>
  <c r="J86" i="11"/>
  <c r="K86" i="11"/>
  <c r="L86" i="11"/>
  <c r="M86" i="11"/>
  <c r="N86" i="11"/>
  <c r="O86" i="11"/>
  <c r="P86" i="11"/>
  <c r="Q86" i="11"/>
  <c r="R86" i="11"/>
  <c r="S86" i="11"/>
  <c r="T86" i="11"/>
  <c r="U86" i="11"/>
  <c r="V86" i="11"/>
  <c r="W86" i="11"/>
  <c r="X86" i="11"/>
  <c r="Y86" i="11"/>
  <c r="Z86" i="11"/>
  <c r="AA86" i="11"/>
  <c r="AB86" i="11"/>
  <c r="AC86" i="11"/>
  <c r="J87" i="11"/>
  <c r="K87" i="11"/>
  <c r="L87" i="11"/>
  <c r="M87" i="11"/>
  <c r="N87" i="11"/>
  <c r="O87" i="11"/>
  <c r="P87" i="11"/>
  <c r="Q87" i="11"/>
  <c r="R87" i="11"/>
  <c r="S87" i="11"/>
  <c r="T87" i="11"/>
  <c r="U87" i="11"/>
  <c r="V87" i="11"/>
  <c r="W87" i="11"/>
  <c r="X87" i="11"/>
  <c r="Y87" i="11"/>
  <c r="Y82" i="11" s="1"/>
  <c r="Z87" i="11"/>
  <c r="AA87" i="11"/>
  <c r="AB87" i="11"/>
  <c r="AC87" i="11"/>
  <c r="H87" i="11"/>
  <c r="H86" i="11"/>
  <c r="H85" i="11"/>
  <c r="I85" i="11"/>
  <c r="H84" i="11"/>
  <c r="I84" i="11"/>
  <c r="I86" i="11"/>
  <c r="I87" i="11"/>
  <c r="E87" i="11"/>
  <c r="E82" i="11" s="1"/>
  <c r="E86" i="11"/>
  <c r="E85" i="11"/>
  <c r="E84" i="11"/>
  <c r="G87" i="11"/>
  <c r="G86" i="11"/>
  <c r="G85" i="11"/>
  <c r="F89" i="11"/>
  <c r="E89" i="11"/>
  <c r="G91" i="11"/>
  <c r="E25" i="11"/>
  <c r="G25" i="11" s="1"/>
  <c r="L25" i="11" s="1"/>
  <c r="F61" i="11"/>
  <c r="G61" i="11" s="1"/>
  <c r="S32" i="11"/>
  <c r="T32" i="11"/>
  <c r="U32" i="11"/>
  <c r="V32" i="11"/>
  <c r="W32" i="11"/>
  <c r="X32" i="11"/>
  <c r="Y32" i="11"/>
  <c r="Z32" i="11"/>
  <c r="AA32" i="11"/>
  <c r="AB32" i="11"/>
  <c r="I32" i="11"/>
  <c r="X31" i="11"/>
  <c r="W31" i="11"/>
  <c r="V31" i="11"/>
  <c r="U31" i="11"/>
  <c r="T31" i="11"/>
  <c r="H31" i="11"/>
  <c r="I31" i="11"/>
  <c r="AC31" i="11"/>
  <c r="AB31" i="11"/>
  <c r="AA31" i="11"/>
  <c r="Z31" i="11"/>
  <c r="Y31" i="11"/>
  <c r="J31" i="11"/>
  <c r="K31" i="11"/>
  <c r="L31" i="11"/>
  <c r="M31" i="11"/>
  <c r="N31" i="11"/>
  <c r="O31" i="11"/>
  <c r="P31" i="11"/>
  <c r="Q31" i="11"/>
  <c r="R31" i="11"/>
  <c r="S31" i="11"/>
  <c r="E34" i="11"/>
  <c r="E33" i="11"/>
  <c r="G33" i="11" s="1"/>
  <c r="E32" i="11"/>
  <c r="G32" i="11" s="1"/>
  <c r="E31" i="11"/>
  <c r="G31" i="11" s="1"/>
  <c r="E30" i="11"/>
  <c r="E29" i="11"/>
  <c r="G29" i="11" s="1"/>
  <c r="E28" i="11"/>
  <c r="G28" i="11" s="1"/>
  <c r="H28" i="11" s="1"/>
  <c r="E27" i="11"/>
  <c r="G27" i="11" s="1"/>
  <c r="E26" i="11"/>
  <c r="E24" i="11"/>
  <c r="G24" i="11" s="1"/>
  <c r="H24" i="11" s="1"/>
  <c r="E23" i="11"/>
  <c r="E22" i="11"/>
  <c r="G30" i="11"/>
  <c r="K30" i="11" s="1"/>
  <c r="G34" i="11"/>
  <c r="M34" i="11" s="1"/>
  <c r="G35" i="11"/>
  <c r="E79" i="11"/>
  <c r="E78" i="11"/>
  <c r="E77" i="11"/>
  <c r="G77" i="11" s="1"/>
  <c r="E76" i="11"/>
  <c r="E75" i="11"/>
  <c r="E74" i="11"/>
  <c r="E66" i="11"/>
  <c r="E67" i="11"/>
  <c r="E68" i="11"/>
  <c r="G68" i="11" s="1"/>
  <c r="AA68" i="11" s="1"/>
  <c r="E62" i="11"/>
  <c r="G62" i="11" s="1"/>
  <c r="Z62" i="11" s="1"/>
  <c r="F60" i="11"/>
  <c r="E59" i="11"/>
  <c r="E55" i="11"/>
  <c r="E54" i="11"/>
  <c r="E53" i="11"/>
  <c r="E46" i="11"/>
  <c r="E49" i="11"/>
  <c r="E48" i="11"/>
  <c r="E47" i="11"/>
  <c r="E45" i="11"/>
  <c r="E44" i="11"/>
  <c r="E38" i="11"/>
  <c r="E36" i="11" s="1"/>
  <c r="E43" i="11"/>
  <c r="G43" i="11" s="1"/>
  <c r="E42" i="11"/>
  <c r="Z51" i="11"/>
  <c r="I13" i="11"/>
  <c r="J13" i="11" s="1"/>
  <c r="K13" i="11" s="1"/>
  <c r="L13" i="11" s="1"/>
  <c r="M13" i="11" s="1"/>
  <c r="N13" i="11" s="1"/>
  <c r="O13" i="11" s="1"/>
  <c r="P13" i="11" s="1"/>
  <c r="Q13" i="11" s="1"/>
  <c r="R13" i="11" s="1"/>
  <c r="S13" i="11" s="1"/>
  <c r="T13" i="11" s="1"/>
  <c r="U13" i="11" s="1"/>
  <c r="V13" i="11" s="1"/>
  <c r="W13" i="11" s="1"/>
  <c r="X13" i="11" s="1"/>
  <c r="Y13" i="11" s="1"/>
  <c r="Z13" i="11" s="1"/>
  <c r="AA13" i="11" s="1"/>
  <c r="AB13" i="11" s="1"/>
  <c r="AC13" i="11" s="1"/>
  <c r="AB89" i="11"/>
  <c r="AA89" i="11"/>
  <c r="Z89" i="11"/>
  <c r="Y89" i="11"/>
  <c r="X89" i="11"/>
  <c r="W89" i="11"/>
  <c r="V89" i="11"/>
  <c r="U89" i="11"/>
  <c r="T89" i="11"/>
  <c r="S89" i="11"/>
  <c r="AB82" i="11"/>
  <c r="Z82" i="11"/>
  <c r="X82" i="11"/>
  <c r="V82" i="11"/>
  <c r="U82" i="11"/>
  <c r="T82" i="11"/>
  <c r="Y70" i="11"/>
  <c r="X70" i="11"/>
  <c r="W70" i="11"/>
  <c r="V70" i="11"/>
  <c r="U70" i="11"/>
  <c r="T70" i="11"/>
  <c r="S70" i="11"/>
  <c r="AB64" i="11"/>
  <c r="U64" i="11"/>
  <c r="T64" i="11"/>
  <c r="S64" i="11"/>
  <c r="AB57" i="11"/>
  <c r="Y57" i="11"/>
  <c r="W57" i="11"/>
  <c r="V57" i="11"/>
  <c r="U57" i="11"/>
  <c r="T57" i="11"/>
  <c r="S57" i="11"/>
  <c r="AB51" i="11"/>
  <c r="AA51" i="11"/>
  <c r="U51" i="11"/>
  <c r="T51" i="11"/>
  <c r="S51" i="11"/>
  <c r="AB40" i="11"/>
  <c r="AA40" i="11"/>
  <c r="Z40" i="11"/>
  <c r="S40" i="11"/>
  <c r="AB36" i="11"/>
  <c r="AA36" i="11"/>
  <c r="Z36" i="11"/>
  <c r="Y36" i="11"/>
  <c r="X36" i="11"/>
  <c r="W36" i="11"/>
  <c r="V36" i="11"/>
  <c r="U36" i="11"/>
  <c r="AB16" i="11"/>
  <c r="AA16" i="11"/>
  <c r="Z16" i="11"/>
  <c r="Y16" i="11"/>
  <c r="X16" i="11"/>
  <c r="W16" i="11"/>
  <c r="V16" i="11"/>
  <c r="U16" i="11"/>
  <c r="T16" i="11"/>
  <c r="S16" i="11"/>
  <c r="AA24" i="11" l="1"/>
  <c r="K24" i="11"/>
  <c r="V29" i="11"/>
  <c r="U29" i="11"/>
  <c r="S29" i="11"/>
  <c r="Y29" i="11"/>
  <c r="L33" i="11"/>
  <c r="R33" i="11"/>
  <c r="P34" i="11"/>
  <c r="W28" i="11"/>
  <c r="AB34" i="11"/>
  <c r="L34" i="11"/>
  <c r="S28" i="11"/>
  <c r="W24" i="11"/>
  <c r="X34" i="11"/>
  <c r="S25" i="11"/>
  <c r="O28" i="11"/>
  <c r="S24" i="11"/>
  <c r="T34" i="11"/>
  <c r="AA28" i="11"/>
  <c r="K28" i="11"/>
  <c r="O24" i="11"/>
  <c r="AA61" i="11"/>
  <c r="Z61" i="11"/>
  <c r="J27" i="11"/>
  <c r="N27" i="11"/>
  <c r="R27" i="11"/>
  <c r="V27" i="11"/>
  <c r="Z27" i="11"/>
  <c r="K27" i="11"/>
  <c r="O27" i="11"/>
  <c r="S27" i="11"/>
  <c r="W27" i="11"/>
  <c r="AA27" i="11"/>
  <c r="I27" i="11"/>
  <c r="Q27" i="11"/>
  <c r="Y27" i="11"/>
  <c r="H27" i="11"/>
  <c r="L27" i="11"/>
  <c r="P27" i="11"/>
  <c r="T27" i="11"/>
  <c r="X27" i="11"/>
  <c r="AB27" i="11"/>
  <c r="M27" i="11"/>
  <c r="U27" i="11"/>
  <c r="AC27" i="11"/>
  <c r="V30" i="11"/>
  <c r="J30" i="11"/>
  <c r="W68" i="11"/>
  <c r="I34" i="11"/>
  <c r="AA34" i="11"/>
  <c r="W34" i="11"/>
  <c r="S34" i="11"/>
  <c r="O34" i="11"/>
  <c r="K34" i="11"/>
  <c r="I25" i="11"/>
  <c r="O25" i="11"/>
  <c r="AC30" i="11"/>
  <c r="Y30" i="11"/>
  <c r="U30" i="11"/>
  <c r="Q30" i="11"/>
  <c r="M30" i="11"/>
  <c r="I30" i="11"/>
  <c r="AB29" i="11"/>
  <c r="X29" i="11"/>
  <c r="T29" i="11"/>
  <c r="Z28" i="11"/>
  <c r="V28" i="11"/>
  <c r="R28" i="11"/>
  <c r="N28" i="11"/>
  <c r="J28" i="11"/>
  <c r="Z24" i="11"/>
  <c r="V24" i="11"/>
  <c r="R24" i="11"/>
  <c r="N24" i="11"/>
  <c r="J24" i="11"/>
  <c r="R30" i="11"/>
  <c r="N30" i="11"/>
  <c r="Y68" i="11"/>
  <c r="H34" i="11"/>
  <c r="Z34" i="11"/>
  <c r="V34" i="11"/>
  <c r="R34" i="11"/>
  <c r="N34" i="11"/>
  <c r="J34" i="11"/>
  <c r="AA25" i="11"/>
  <c r="K25" i="11"/>
  <c r="AB30" i="11"/>
  <c r="X30" i="11"/>
  <c r="T30" i="11"/>
  <c r="P30" i="11"/>
  <c r="L30" i="11"/>
  <c r="H30" i="11"/>
  <c r="AA29" i="11"/>
  <c r="W29" i="11"/>
  <c r="AB28" i="11"/>
  <c r="Y28" i="11"/>
  <c r="U28" i="11"/>
  <c r="Q28" i="11"/>
  <c r="M28" i="11"/>
  <c r="I28" i="11"/>
  <c r="I24" i="11"/>
  <c r="Y24" i="11"/>
  <c r="U24" i="11"/>
  <c r="Q24" i="11"/>
  <c r="M24" i="11"/>
  <c r="AC24" i="11"/>
  <c r="Z30" i="11"/>
  <c r="AC34" i="11"/>
  <c r="Y34" i="11"/>
  <c r="U34" i="11"/>
  <c r="Q34" i="11"/>
  <c r="W25" i="11"/>
  <c r="AA30" i="11"/>
  <c r="W30" i="11"/>
  <c r="S30" i="11"/>
  <c r="O30" i="11"/>
  <c r="Z29" i="11"/>
  <c r="AC28" i="11"/>
  <c r="X28" i="11"/>
  <c r="T28" i="11"/>
  <c r="P28" i="11"/>
  <c r="L28" i="11"/>
  <c r="AB24" i="11"/>
  <c r="X24" i="11"/>
  <c r="T24" i="11"/>
  <c r="P24" i="11"/>
  <c r="L24" i="11"/>
  <c r="H25" i="11"/>
  <c r="Z25" i="11"/>
  <c r="V25" i="11"/>
  <c r="R25" i="11"/>
  <c r="N25" i="11"/>
  <c r="J25" i="11"/>
  <c r="AC25" i="11"/>
  <c r="Y25" i="11"/>
  <c r="U25" i="11"/>
  <c r="Q25" i="11"/>
  <c r="M25" i="11"/>
  <c r="AB25" i="11"/>
  <c r="X25" i="11"/>
  <c r="T25" i="11"/>
  <c r="P25" i="11"/>
  <c r="E20" i="11"/>
  <c r="G26" i="11"/>
  <c r="AB77" i="11"/>
  <c r="AA77" i="11"/>
  <c r="Z77" i="11"/>
  <c r="Z70" i="11" s="1"/>
  <c r="V43" i="11"/>
  <c r="T43" i="11"/>
  <c r="X43" i="11"/>
  <c r="U43" i="11"/>
  <c r="W43" i="11"/>
  <c r="X68" i="11"/>
  <c r="E70" i="11"/>
  <c r="E40" i="11"/>
  <c r="L26" i="11" l="1"/>
  <c r="P26" i="11"/>
  <c r="T26" i="11"/>
  <c r="X26" i="11"/>
  <c r="AB26" i="11"/>
  <c r="M26" i="11"/>
  <c r="Q26" i="11"/>
  <c r="U26" i="11"/>
  <c r="Y26" i="11"/>
  <c r="AC26" i="11"/>
  <c r="O26" i="11"/>
  <c r="W26" i="11"/>
  <c r="I26" i="11"/>
  <c r="J26" i="11"/>
  <c r="N26" i="11"/>
  <c r="R26" i="11"/>
  <c r="V26" i="11"/>
  <c r="Z26" i="11"/>
  <c r="H26" i="11"/>
  <c r="K26" i="11"/>
  <c r="S26" i="11"/>
  <c r="AA26" i="11"/>
  <c r="F16" i="11"/>
  <c r="G75" i="11"/>
  <c r="G76" i="11"/>
  <c r="G55" i="11"/>
  <c r="G49" i="11"/>
  <c r="W49" i="11" s="1"/>
  <c r="G48" i="11"/>
  <c r="G17" i="11"/>
  <c r="W55" i="11" l="1"/>
  <c r="X55" i="11"/>
  <c r="Q76" i="11"/>
  <c r="P76" i="11"/>
  <c r="Y48" i="11"/>
  <c r="Y40" i="11" s="1"/>
  <c r="X48" i="11"/>
  <c r="W48" i="11"/>
  <c r="AB75" i="11"/>
  <c r="AB70" i="11" s="1"/>
  <c r="AA75" i="11"/>
  <c r="AA70" i="11" s="1"/>
  <c r="I12" i="11"/>
  <c r="J12" i="11" s="1"/>
  <c r="K12" i="11" s="1"/>
  <c r="L12" i="11" s="1"/>
  <c r="M12" i="11" s="1"/>
  <c r="N12" i="11" s="1"/>
  <c r="O12" i="11" s="1"/>
  <c r="P12" i="11" s="1"/>
  <c r="Q12" i="11" s="1"/>
  <c r="R12" i="11" s="1"/>
  <c r="S12" i="11" s="1"/>
  <c r="T12" i="11" s="1"/>
  <c r="U12" i="11" s="1"/>
  <c r="V12" i="11" s="1"/>
  <c r="W12" i="11" s="1"/>
  <c r="X12" i="11" s="1"/>
  <c r="Y12" i="11" s="1"/>
  <c r="Z12" i="11" s="1"/>
  <c r="AA12" i="11" s="1"/>
  <c r="AB12" i="11" s="1"/>
  <c r="AC12" i="11" s="1"/>
  <c r="G38" i="11"/>
  <c r="G37" i="11"/>
  <c r="G18" i="11"/>
  <c r="G23" i="11"/>
  <c r="G22" i="11"/>
  <c r="G90" i="11"/>
  <c r="G89" i="11" s="1"/>
  <c r="G84" i="11"/>
  <c r="G83" i="11"/>
  <c r="G80" i="11"/>
  <c r="G79" i="11"/>
  <c r="G78" i="11"/>
  <c r="G74" i="11"/>
  <c r="G73" i="11"/>
  <c r="G72" i="11"/>
  <c r="G71" i="11"/>
  <c r="G67" i="11"/>
  <c r="G66" i="11"/>
  <c r="G65" i="11"/>
  <c r="G60" i="11"/>
  <c r="G59" i="11"/>
  <c r="X59" i="11" s="1"/>
  <c r="X57" i="11" s="1"/>
  <c r="G58" i="11"/>
  <c r="G54" i="11"/>
  <c r="G53" i="11"/>
  <c r="G52" i="11"/>
  <c r="G47" i="11"/>
  <c r="G46" i="11"/>
  <c r="G45" i="11"/>
  <c r="G44" i="11"/>
  <c r="G42" i="11"/>
  <c r="G41" i="11"/>
  <c r="S22" i="11" l="1"/>
  <c r="AC22" i="11"/>
  <c r="I23" i="11"/>
  <c r="I20" i="11" s="1"/>
  <c r="M23" i="11"/>
  <c r="M20" i="11" s="1"/>
  <c r="Q23" i="11"/>
  <c r="Q20" i="11" s="1"/>
  <c r="U23" i="11"/>
  <c r="U20" i="11" s="1"/>
  <c r="Y23" i="11"/>
  <c r="Y20" i="11" s="1"/>
  <c r="AC23" i="11"/>
  <c r="H23" i="11"/>
  <c r="H20" i="11" s="1"/>
  <c r="AB23" i="11"/>
  <c r="AB20" i="11" s="1"/>
  <c r="AB93" i="11" s="1"/>
  <c r="AB94" i="11" s="1"/>
  <c r="AB95" i="11" s="1"/>
  <c r="J23" i="11"/>
  <c r="J20" i="11" s="1"/>
  <c r="N23" i="11"/>
  <c r="N20" i="11" s="1"/>
  <c r="R23" i="11"/>
  <c r="R20" i="11" s="1"/>
  <c r="V23" i="11"/>
  <c r="V20" i="11" s="1"/>
  <c r="Z23" i="11"/>
  <c r="Z20" i="11" s="1"/>
  <c r="L23" i="11"/>
  <c r="L20" i="11" s="1"/>
  <c r="T23" i="11"/>
  <c r="T20" i="11" s="1"/>
  <c r="K23" i="11"/>
  <c r="K20" i="11" s="1"/>
  <c r="O23" i="11"/>
  <c r="O20" i="11" s="1"/>
  <c r="S23" i="11"/>
  <c r="W23" i="11"/>
  <c r="W20" i="11" s="1"/>
  <c r="AA23" i="11"/>
  <c r="AA20" i="11" s="1"/>
  <c r="P23" i="11"/>
  <c r="P20" i="11" s="1"/>
  <c r="X23" i="11"/>
  <c r="X20" i="11" s="1"/>
  <c r="W42" i="11"/>
  <c r="V42" i="11"/>
  <c r="U42" i="11"/>
  <c r="X42" i="11"/>
  <c r="W47" i="11"/>
  <c r="X47" i="11"/>
  <c r="V66" i="11"/>
  <c r="AA66" i="11"/>
  <c r="X66" i="11"/>
  <c r="W66" i="11"/>
  <c r="W46" i="11"/>
  <c r="V46" i="11"/>
  <c r="U46" i="11"/>
  <c r="X46" i="11"/>
  <c r="T46" i="11"/>
  <c r="Y54" i="11"/>
  <c r="Y51" i="11" s="1"/>
  <c r="W54" i="11"/>
  <c r="X54" i="11"/>
  <c r="Q79" i="11"/>
  <c r="N79" i="11"/>
  <c r="O79" i="11"/>
  <c r="M79" i="11"/>
  <c r="P79" i="11"/>
  <c r="R79" i="11"/>
  <c r="W44" i="11"/>
  <c r="V44" i="11"/>
  <c r="X44" i="11"/>
  <c r="Z67" i="11"/>
  <c r="Z64" i="11" s="1"/>
  <c r="V67" i="11"/>
  <c r="Y67" i="11"/>
  <c r="Y64" i="11" s="1"/>
  <c r="X67" i="11"/>
  <c r="AA67" i="11"/>
  <c r="W67" i="11"/>
  <c r="M74" i="11"/>
  <c r="L74" i="11"/>
  <c r="N74" i="11"/>
  <c r="X45" i="11"/>
  <c r="T45" i="11"/>
  <c r="W45" i="11"/>
  <c r="V45" i="11"/>
  <c r="U45" i="11"/>
  <c r="V53" i="11"/>
  <c r="V51" i="11" s="1"/>
  <c r="X53" i="11"/>
  <c r="W53" i="11"/>
  <c r="AA60" i="11"/>
  <c r="AA57" i="11" s="1"/>
  <c r="Z60" i="11"/>
  <c r="Z57" i="11" s="1"/>
  <c r="N78" i="11"/>
  <c r="R78" i="11"/>
  <c r="R70" i="11" s="1"/>
  <c r="O78" i="11"/>
  <c r="P78" i="11"/>
  <c r="Q78" i="11"/>
  <c r="M78" i="11"/>
  <c r="K73" i="11"/>
  <c r="J73" i="11"/>
  <c r="L73" i="11"/>
  <c r="J72" i="11"/>
  <c r="I72" i="11"/>
  <c r="S38" i="11"/>
  <c r="S36" i="11" s="1"/>
  <c r="T38" i="11"/>
  <c r="T36" i="11" s="1"/>
  <c r="R89" i="11"/>
  <c r="R64" i="11"/>
  <c r="R57" i="11"/>
  <c r="R51" i="11"/>
  <c r="R40" i="11"/>
  <c r="R36" i="11"/>
  <c r="R16" i="11"/>
  <c r="AC20" i="11" l="1"/>
  <c r="Y93" i="11"/>
  <c r="Y94" i="11" s="1"/>
  <c r="Y95" i="11" s="1"/>
  <c r="W51" i="11"/>
  <c r="X40" i="11"/>
  <c r="S20" i="11"/>
  <c r="S93" i="11" s="1"/>
  <c r="Z93" i="11"/>
  <c r="X51" i="11"/>
  <c r="V64" i="11"/>
  <c r="U40" i="11"/>
  <c r="U93" i="11" s="1"/>
  <c r="Z94" i="11"/>
  <c r="Z95" i="11" s="1"/>
  <c r="T40" i="11"/>
  <c r="T93" i="11" s="1"/>
  <c r="T94" i="11" s="1"/>
  <c r="W64" i="11"/>
  <c r="V40" i="11"/>
  <c r="AA64" i="11"/>
  <c r="X64" i="11"/>
  <c r="W40" i="11"/>
  <c r="S94" i="11"/>
  <c r="S95" i="11" s="1"/>
  <c r="R82" i="11"/>
  <c r="R93" i="11" s="1"/>
  <c r="X93" i="11" l="1"/>
  <c r="X94" i="11" s="1"/>
  <c r="X95" i="11" s="1"/>
  <c r="W93" i="11"/>
  <c r="W94" i="11" s="1"/>
  <c r="W95" i="11" s="1"/>
  <c r="U94" i="11"/>
  <c r="U95" i="11" s="1"/>
  <c r="V93" i="11"/>
  <c r="V94" i="11" s="1"/>
  <c r="V95" i="11" s="1"/>
  <c r="AA93" i="11"/>
  <c r="AA94" i="11" s="1"/>
  <c r="AA95" i="11" s="1"/>
  <c r="T95" i="11"/>
  <c r="Q89" i="11"/>
  <c r="P89" i="11"/>
  <c r="O89" i="11"/>
  <c r="N89" i="11"/>
  <c r="Q82" i="11"/>
  <c r="P82" i="11"/>
  <c r="O82" i="11"/>
  <c r="N82" i="11"/>
  <c r="Q70" i="11"/>
  <c r="P70" i="11"/>
  <c r="O70" i="11"/>
  <c r="N70" i="11"/>
  <c r="Q64" i="11"/>
  <c r="P64" i="11"/>
  <c r="O64" i="11"/>
  <c r="N64" i="11"/>
  <c r="Q57" i="11"/>
  <c r="P57" i="11"/>
  <c r="O57" i="11"/>
  <c r="N57" i="11"/>
  <c r="Q51" i="11"/>
  <c r="P51" i="11"/>
  <c r="O51" i="11"/>
  <c r="N51" i="11"/>
  <c r="Q40" i="11"/>
  <c r="P40" i="11"/>
  <c r="O40" i="11"/>
  <c r="N40" i="11"/>
  <c r="Q36" i="11"/>
  <c r="P36" i="11"/>
  <c r="O36" i="11"/>
  <c r="N36" i="11"/>
  <c r="Q16" i="11"/>
  <c r="P16" i="11"/>
  <c r="O16" i="11"/>
  <c r="N16" i="11"/>
  <c r="O93" i="11" l="1"/>
  <c r="P93" i="11"/>
  <c r="N93" i="11"/>
  <c r="Q93" i="11"/>
  <c r="M89" i="11"/>
  <c r="L89" i="11"/>
  <c r="K89" i="11"/>
  <c r="M82" i="11"/>
  <c r="L82" i="11"/>
  <c r="K82" i="11"/>
  <c r="M70" i="11"/>
  <c r="L70" i="11"/>
  <c r="K70" i="11"/>
  <c r="M64" i="11"/>
  <c r="L64" i="11"/>
  <c r="K64" i="11"/>
  <c r="M57" i="11"/>
  <c r="L57" i="11"/>
  <c r="K57" i="11"/>
  <c r="M51" i="11"/>
  <c r="L51" i="11"/>
  <c r="K51" i="11"/>
  <c r="M40" i="11"/>
  <c r="L40" i="11"/>
  <c r="K40" i="11"/>
  <c r="M36" i="11"/>
  <c r="L36" i="11"/>
  <c r="K36" i="11"/>
  <c r="M16" i="11"/>
  <c r="L16" i="11"/>
  <c r="K16" i="11"/>
  <c r="J89" i="11"/>
  <c r="J82" i="11"/>
  <c r="J70" i="11"/>
  <c r="J64" i="11"/>
  <c r="J57" i="11"/>
  <c r="J51" i="11"/>
  <c r="J40" i="11"/>
  <c r="J36" i="11"/>
  <c r="J16" i="11"/>
  <c r="J93" i="11" l="1"/>
  <c r="L93" i="11"/>
  <c r="K93" i="11"/>
  <c r="M93" i="11"/>
  <c r="I89" i="11"/>
  <c r="AC89" i="11"/>
  <c r="AD89" i="11"/>
  <c r="H82" i="11"/>
  <c r="I82" i="11"/>
  <c r="AC82" i="11"/>
  <c r="AD82" i="11"/>
  <c r="H70" i="11"/>
  <c r="I70" i="11"/>
  <c r="AC70" i="11"/>
  <c r="AD70" i="11"/>
  <c r="F64" i="11"/>
  <c r="H64" i="11"/>
  <c r="I64" i="11"/>
  <c r="AC64" i="11"/>
  <c r="AD64" i="11"/>
  <c r="H57" i="11"/>
  <c r="I57" i="11"/>
  <c r="AC57" i="11"/>
  <c r="AD57" i="11"/>
  <c r="H51" i="11"/>
  <c r="I51" i="11"/>
  <c r="AC51" i="11"/>
  <c r="AD51" i="11"/>
  <c r="H40" i="11"/>
  <c r="I40" i="11"/>
  <c r="AC40" i="11"/>
  <c r="AD40" i="11"/>
  <c r="I36" i="11"/>
  <c r="AC36" i="11"/>
  <c r="I16" i="11"/>
  <c r="AC16" i="11"/>
  <c r="I93" i="11" l="1"/>
  <c r="I94" i="11" s="1"/>
  <c r="AC93" i="11"/>
  <c r="K94" i="11"/>
  <c r="N94" i="11"/>
  <c r="M94" i="11"/>
  <c r="O94" i="11"/>
  <c r="J94" i="11"/>
  <c r="P94" i="11"/>
  <c r="R94" i="11" l="1"/>
  <c r="R95" i="11"/>
  <c r="N95" i="11"/>
  <c r="O95" i="11"/>
  <c r="K95" i="11"/>
  <c r="P95" i="11"/>
  <c r="M95" i="11"/>
  <c r="J95" i="11"/>
  <c r="I95" i="11"/>
  <c r="F36" i="11"/>
  <c r="H36" i="11"/>
  <c r="F20" i="11"/>
  <c r="H89" i="11"/>
  <c r="H16" i="11"/>
  <c r="H93" i="11" l="1"/>
  <c r="H94" i="11"/>
  <c r="H95" i="11" l="1"/>
  <c r="Q94" i="11" l="1"/>
  <c r="G21" i="11"/>
  <c r="G20" i="11" s="1"/>
  <c r="G19" i="11"/>
  <c r="G16" i="11" s="1"/>
  <c r="G39" i="11"/>
  <c r="F40" i="11"/>
  <c r="G50" i="11"/>
  <c r="F51" i="11"/>
  <c r="G56" i="11"/>
  <c r="F57" i="11"/>
  <c r="G63" i="11"/>
  <c r="G69" i="11"/>
  <c r="F70" i="11"/>
  <c r="G81" i="11"/>
  <c r="G70" i="11" s="1"/>
  <c r="F93" i="11" l="1"/>
  <c r="L94" i="11"/>
  <c r="Q95" i="11"/>
  <c r="G82" i="11"/>
  <c r="E51" i="11"/>
  <c r="E57" i="11"/>
  <c r="E64" i="11"/>
  <c r="E93" i="11" s="1"/>
  <c r="G36" i="11"/>
  <c r="H96" i="11"/>
  <c r="I96" i="11" l="1"/>
  <c r="J96" i="11" s="1"/>
  <c r="K96" i="11" s="1"/>
  <c r="L96" i="11" s="1"/>
  <c r="G40" i="11"/>
  <c r="G51" i="11"/>
  <c r="G57" i="11"/>
  <c r="G93" i="11" s="1"/>
  <c r="G64" i="11"/>
  <c r="M96" i="11" l="1"/>
  <c r="N96" i="11" s="1"/>
  <c r="O96" i="11" s="1"/>
  <c r="P96" i="11" s="1"/>
  <c r="Q96" i="11" s="1"/>
  <c r="R96" i="11" s="1"/>
  <c r="S96" i="11" s="1"/>
  <c r="T96" i="11" s="1"/>
  <c r="U96" i="11" s="1"/>
  <c r="V96" i="11" s="1"/>
  <c r="W96" i="11" s="1"/>
  <c r="X96" i="11" s="1"/>
  <c r="Y96" i="11" s="1"/>
  <c r="Z96" i="11" s="1"/>
  <c r="AA96" i="11" s="1"/>
  <c r="AB96" i="11" s="1"/>
  <c r="AC96" i="11" s="1"/>
  <c r="L95" i="11"/>
  <c r="AC94" i="11" l="1"/>
  <c r="AC95" i="11" s="1"/>
</calcChain>
</file>

<file path=xl/sharedStrings.xml><?xml version="1.0" encoding="utf-8"?>
<sst xmlns="http://schemas.openxmlformats.org/spreadsheetml/2006/main" count="79" uniqueCount="79">
  <si>
    <t>TOTAL</t>
  </si>
  <si>
    <t>Client</t>
  </si>
  <si>
    <t>Contract</t>
  </si>
  <si>
    <t>Date</t>
  </si>
  <si>
    <t xml:space="preserve">PROV </t>
  </si>
  <si>
    <t>Revision</t>
  </si>
  <si>
    <t>ACTUAL</t>
  </si>
  <si>
    <t>NOTES:</t>
  </si>
  <si>
    <t xml:space="preserve">PRELIMINARY SCHEDULE OF VALUATIONS (MONTHLY EXPENDITURE ANALYSIS) </t>
  </si>
  <si>
    <t>Programme No</t>
  </si>
  <si>
    <t>ITEM</t>
  </si>
  <si>
    <t>TOTALS - MONTHLY GROSS APPLICATION</t>
  </si>
  <si>
    <t>Comments</t>
  </si>
  <si>
    <t>ELEMENT</t>
  </si>
  <si>
    <t>PRELIMINARIES</t>
  </si>
  <si>
    <t>TOTALS - CUMULATIVE GROSS (Excl VAT)</t>
  </si>
  <si>
    <t xml:space="preserve">TOTALS - MONTHLY NETT APPLICATION </t>
  </si>
  <si>
    <t>SUBSTRUCTURE</t>
  </si>
  <si>
    <t>SUPERSTRUCTURE</t>
  </si>
  <si>
    <t>FINISHES</t>
  </si>
  <si>
    <t>FIXTURES &amp; FITTINGS</t>
  </si>
  <si>
    <t>SERVICES</t>
  </si>
  <si>
    <t>Includes Contract Instructions as identified above</t>
  </si>
  <si>
    <t>DESIGN FEES</t>
  </si>
  <si>
    <t>Substructures</t>
  </si>
  <si>
    <t>Frame</t>
  </si>
  <si>
    <t>Upper Floors</t>
  </si>
  <si>
    <t>Roof</t>
  </si>
  <si>
    <t>Stairs</t>
  </si>
  <si>
    <t>External Walls</t>
  </si>
  <si>
    <t>Windows &amp; External Doors</t>
  </si>
  <si>
    <t>Internal Walls &amp; Partitions</t>
  </si>
  <si>
    <t>Internal Doors</t>
  </si>
  <si>
    <t>Wall Finishes</t>
  </si>
  <si>
    <t>Floor Finishes</t>
  </si>
  <si>
    <t>Ceiling Finishes</t>
  </si>
  <si>
    <t>EXTERNAL WORKS</t>
  </si>
  <si>
    <t>Adoptable Roads &amp; Paths</t>
  </si>
  <si>
    <t>Blueprint Construction</t>
  </si>
  <si>
    <t>Split Level Boardwalk</t>
  </si>
  <si>
    <t>Corten Steel Structure</t>
  </si>
  <si>
    <t>ACE Capital Project</t>
  </si>
  <si>
    <t>Phase 1: Port Talbot Cultural Quarter, National Steel Museum of Wales - Amgueddfa Dur Cymru</t>
  </si>
  <si>
    <t>Site Strip &amp; Clearance (Including site preparation, demolitions, disposal etc.)</t>
  </si>
  <si>
    <t>Plumbing, Heating and Ventilation Installations</t>
  </si>
  <si>
    <t>Electrical Installations</t>
  </si>
  <si>
    <t>Bessemer Converter</t>
  </si>
  <si>
    <t>Musuem Exhibition Equipment</t>
  </si>
  <si>
    <t>Restaurant Fittings</t>
  </si>
  <si>
    <t>N/A</t>
  </si>
  <si>
    <t>25th April 2024</t>
  </si>
  <si>
    <t>Rev A</t>
  </si>
  <si>
    <t>James Lloyd - QS (1900878)</t>
  </si>
  <si>
    <t>New Road Layout and Associated works</t>
  </si>
  <si>
    <t>Playarea to basement</t>
  </si>
  <si>
    <t>BWIC</t>
  </si>
  <si>
    <t>Fencing, Railings and Walls</t>
  </si>
  <si>
    <t>Soft Landscaping, Planting and Irrigation Systems</t>
  </si>
  <si>
    <t>External Fixtures</t>
  </si>
  <si>
    <t>TOTALS - RETENTION (5%)</t>
  </si>
  <si>
    <t>Defects After Competion</t>
  </si>
  <si>
    <t>Management and Staff</t>
  </si>
  <si>
    <t>Site Consumables</t>
  </si>
  <si>
    <t>Temporary Services</t>
  </si>
  <si>
    <t>Security</t>
  </si>
  <si>
    <t>Safety and Environmental Protection</t>
  </si>
  <si>
    <t>Control and Protection</t>
  </si>
  <si>
    <t>Mechanical Plant</t>
  </si>
  <si>
    <t>Temporary Works</t>
  </si>
  <si>
    <t>Fees and Charges</t>
  </si>
  <si>
    <t>Insurance, Bonds, Guarantees and Warranties</t>
  </si>
  <si>
    <t>OH&amp;P</t>
  </si>
  <si>
    <t>Site Accommodation</t>
  </si>
  <si>
    <t>Risk Contingency</t>
  </si>
  <si>
    <t>Variations</t>
  </si>
  <si>
    <t>Design Contingency</t>
  </si>
  <si>
    <t>Construction Risk</t>
  </si>
  <si>
    <t>Employers Change</t>
  </si>
  <si>
    <t>Other Misc. Risks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</si>
</sst>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£&quot;#,##0.00;[Red]\-&quot;£&quot;#,##0.00"/>
    <numFmt numFmtId="44" formatCode="_-&quot;£&quot;* #,##0.00_-;\-&quot;£&quot;* #,##0.00_-;_-&quot;£&quot;* &quot;-&quot;??_-;_-@_-"/>
    <numFmt numFmtId="164" formatCode="&quot;£&quot;#,##0.00"/>
    <numFmt numFmtId="165" formatCode="#,##0_ ;\-#,##0\ "/>
    <numFmt numFmtId="166" formatCode="0.0"/>
  </numFmts>
  <fonts count="15" x14ac:knownFonts="1">
    <font>
      <sz val="8"/>
      <name val="Arial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6"/>
      <name val="Arial"/>
      <family val="2"/>
    </font>
    <font>
      <sz val="8"/>
      <color indexed="10"/>
      <name val="Arial"/>
      <family val="2"/>
    </font>
    <font>
      <b/>
      <sz val="8"/>
      <color indexed="10"/>
      <name val="Arial"/>
      <family val="2"/>
    </font>
    <font>
      <b/>
      <sz val="8"/>
      <color indexed="18"/>
      <name val="Arial"/>
      <family val="2"/>
    </font>
    <font>
      <sz val="8"/>
      <color indexed="18"/>
      <name val="Arial"/>
      <family val="2"/>
    </font>
    <font>
      <b/>
      <sz val="12"/>
      <name val="Arial"/>
      <family val="2"/>
    </font>
    <font>
      <sz val="8"/>
      <color rgb="FFFF0000"/>
      <name val="Arial"/>
      <family val="2"/>
    </font>
    <font>
      <sz val="8"/>
      <color theme="1"/>
      <name val="Arial"/>
      <family val="2"/>
    </font>
    <font>
      <b/>
      <sz val="8"/>
      <color rgb="FFFF0000"/>
      <name val="Arial"/>
      <family val="2"/>
    </font>
    <font>
      <b/>
      <sz val="26"/>
      <color indexed="18"/>
      <name val="Arial"/>
      <family val="2"/>
    </font>
    <font>
      <b/>
      <sz val="2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/>
    <xf numFmtId="0" fontId="1" fillId="0" borderId="0"/>
  </cellStyleXfs>
  <cellXfs count="161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11" xfId="0" applyFont="1" applyBorder="1"/>
    <xf numFmtId="0" fontId="2" fillId="0" borderId="14" xfId="0" applyFont="1" applyBorder="1"/>
    <xf numFmtId="164" fontId="2" fillId="0" borderId="0" xfId="0" applyNumberFormat="1" applyFont="1" applyAlignment="1">
      <alignment horizontal="right"/>
    </xf>
    <xf numFmtId="164" fontId="3" fillId="0" borderId="0" xfId="0" applyNumberFormat="1" applyFont="1" applyAlignment="1">
      <alignment horizontal="right"/>
    </xf>
    <xf numFmtId="4" fontId="3" fillId="0" borderId="0" xfId="0" applyNumberFormat="1" applyFont="1" applyAlignment="1">
      <alignment horizontal="right"/>
    </xf>
    <xf numFmtId="4" fontId="5" fillId="0" borderId="0" xfId="0" applyNumberFormat="1" applyFont="1" applyAlignment="1">
      <alignment horizontal="right"/>
    </xf>
    <xf numFmtId="4" fontId="6" fillId="0" borderId="0" xfId="0" applyNumberFormat="1" applyFont="1" applyAlignment="1">
      <alignment horizontal="right"/>
    </xf>
    <xf numFmtId="0" fontId="3" fillId="0" borderId="18" xfId="0" applyFont="1" applyBorder="1" applyAlignment="1">
      <alignment horizontal="right"/>
    </xf>
    <xf numFmtId="164" fontId="5" fillId="0" borderId="0" xfId="0" applyNumberFormat="1" applyFont="1" applyAlignment="1">
      <alignment horizontal="right"/>
    </xf>
    <xf numFmtId="164" fontId="6" fillId="0" borderId="0" xfId="0" applyNumberFormat="1" applyFont="1" applyAlignment="1">
      <alignment horizontal="right"/>
    </xf>
    <xf numFmtId="0" fontId="3" fillId="0" borderId="10" xfId="0" applyFont="1" applyBorder="1" applyAlignment="1">
      <alignment vertical="top"/>
    </xf>
    <xf numFmtId="0" fontId="3" fillId="0" borderId="0" xfId="0" applyFont="1" applyAlignment="1">
      <alignment vertical="top"/>
    </xf>
    <xf numFmtId="0" fontId="3" fillId="0" borderId="6" xfId="0" applyFont="1" applyBorder="1" applyAlignment="1">
      <alignment vertical="top"/>
    </xf>
    <xf numFmtId="0" fontId="3" fillId="0" borderId="12" xfId="0" applyFont="1" applyBorder="1" applyAlignment="1">
      <alignment vertical="top"/>
    </xf>
    <xf numFmtId="0" fontId="3" fillId="0" borderId="13" xfId="0" applyFont="1" applyBorder="1" applyAlignment="1">
      <alignment vertical="top"/>
    </xf>
    <xf numFmtId="0" fontId="3" fillId="0" borderId="19" xfId="0" applyFont="1" applyBorder="1" applyAlignment="1">
      <alignment vertical="top"/>
    </xf>
    <xf numFmtId="0" fontId="2" fillId="0" borderId="10" xfId="0" applyFont="1" applyBorder="1" applyAlignment="1">
      <alignment horizontal="left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15" fontId="2" fillId="0" borderId="0" xfId="0" applyNumberFormat="1" applyFont="1" applyAlignment="1">
      <alignment horizontal="right" vertical="center"/>
    </xf>
    <xf numFmtId="164" fontId="2" fillId="0" borderId="0" xfId="0" applyNumberFormat="1" applyFont="1" applyAlignment="1">
      <alignment horizontal="left" vertical="center"/>
    </xf>
    <xf numFmtId="164" fontId="3" fillId="0" borderId="0" xfId="0" applyNumberFormat="1" applyFont="1" applyAlignment="1">
      <alignment horizontal="right" vertical="center"/>
    </xf>
    <xf numFmtId="164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2" fillId="0" borderId="0" xfId="0" applyNumberFormat="1" applyFont="1" applyAlignment="1">
      <alignment vertical="center"/>
    </xf>
    <xf numFmtId="0" fontId="10" fillId="0" borderId="5" xfId="0" applyFont="1" applyBorder="1" applyAlignment="1">
      <alignment horizontal="left" vertical="center"/>
    </xf>
    <xf numFmtId="0" fontId="10" fillId="0" borderId="4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3" fillId="0" borderId="23" xfId="0" applyFont="1" applyBorder="1" applyAlignment="1">
      <alignment vertical="center"/>
    </xf>
    <xf numFmtId="164" fontId="3" fillId="0" borderId="23" xfId="0" applyNumberFormat="1" applyFont="1" applyBorder="1" applyAlignment="1">
      <alignment horizontal="center" vertical="center"/>
    </xf>
    <xf numFmtId="164" fontId="3" fillId="0" borderId="26" xfId="0" applyNumberFormat="1" applyFont="1" applyBorder="1" applyAlignment="1">
      <alignment horizontal="center" vertical="center"/>
    </xf>
    <xf numFmtId="164" fontId="10" fillId="0" borderId="26" xfId="0" applyNumberFormat="1" applyFont="1" applyBorder="1" applyAlignment="1">
      <alignment horizontal="center" vertical="center"/>
    </xf>
    <xf numFmtId="4" fontId="3" fillId="0" borderId="30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2" fontId="3" fillId="0" borderId="27" xfId="0" applyNumberFormat="1" applyFont="1" applyBorder="1" applyAlignment="1">
      <alignment horizontal="center" vertical="center" wrapText="1"/>
    </xf>
    <xf numFmtId="0" fontId="3" fillId="0" borderId="26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2" fillId="3" borderId="26" xfId="0" applyFont="1" applyFill="1" applyBorder="1" applyAlignment="1">
      <alignment horizontal="left" vertical="center" wrapText="1"/>
    </xf>
    <xf numFmtId="166" fontId="3" fillId="0" borderId="0" xfId="0" applyNumberFormat="1" applyFont="1" applyAlignment="1">
      <alignment vertical="center"/>
    </xf>
    <xf numFmtId="166" fontId="2" fillId="0" borderId="0" xfId="0" applyNumberFormat="1" applyFont="1" applyAlignment="1">
      <alignment horizontal="left" vertical="center"/>
    </xf>
    <xf numFmtId="166" fontId="2" fillId="0" borderId="0" xfId="0" quotePrefix="1" applyNumberFormat="1" applyFont="1" applyAlignment="1">
      <alignment horizontal="right" vertical="center"/>
    </xf>
    <xf numFmtId="0" fontId="2" fillId="0" borderId="10" xfId="0" applyFont="1" applyBorder="1"/>
    <xf numFmtId="0" fontId="3" fillId="0" borderId="6" xfId="0" applyFont="1" applyBorder="1" applyAlignment="1">
      <alignment horizontal="right"/>
    </xf>
    <xf numFmtId="0" fontId="3" fillId="0" borderId="6" xfId="0" applyFont="1" applyBorder="1" applyAlignment="1">
      <alignment vertical="top" wrapText="1"/>
    </xf>
    <xf numFmtId="0" fontId="4" fillId="0" borderId="0" xfId="0" applyFont="1" applyAlignment="1">
      <alignment horizontal="right"/>
    </xf>
    <xf numFmtId="165" fontId="2" fillId="0" borderId="0" xfId="1" applyNumberFormat="1" applyFont="1" applyFill="1" applyBorder="1" applyAlignment="1">
      <alignment horizontal="right" vertical="center"/>
    </xf>
    <xf numFmtId="166" fontId="2" fillId="0" borderId="0" xfId="1" applyNumberFormat="1" applyFont="1" applyFill="1" applyBorder="1" applyAlignment="1">
      <alignment horizontal="right" vertical="center"/>
    </xf>
    <xf numFmtId="0" fontId="2" fillId="0" borderId="46" xfId="0" applyFont="1" applyBorder="1" applyAlignment="1">
      <alignment horizontal="right" vertical="center"/>
    </xf>
    <xf numFmtId="17" fontId="2" fillId="0" borderId="46" xfId="0" applyNumberFormat="1" applyFont="1" applyBorder="1" applyAlignment="1">
      <alignment horizontal="right" vertical="center"/>
    </xf>
    <xf numFmtId="0" fontId="10" fillId="0" borderId="46" xfId="0" applyFont="1" applyBorder="1" applyAlignment="1">
      <alignment horizontal="right" vertical="center"/>
    </xf>
    <xf numFmtId="164" fontId="3" fillId="0" borderId="46" xfId="0" applyNumberFormat="1" applyFont="1" applyBorder="1" applyAlignment="1">
      <alignment horizontal="right" vertical="center"/>
    </xf>
    <xf numFmtId="8" fontId="2" fillId="3" borderId="26" xfId="0" applyNumberFormat="1" applyFont="1" applyFill="1" applyBorder="1" applyAlignment="1">
      <alignment horizontal="right" vertical="center"/>
    </xf>
    <xf numFmtId="8" fontId="2" fillId="0" borderId="3" xfId="0" applyNumberFormat="1" applyFont="1" applyBorder="1" applyAlignment="1">
      <alignment horizontal="right" vertical="center"/>
    </xf>
    <xf numFmtId="4" fontId="3" fillId="0" borderId="46" xfId="0" applyNumberFormat="1" applyFont="1" applyBorder="1" applyAlignment="1">
      <alignment horizontal="right" vertical="center"/>
    </xf>
    <xf numFmtId="4" fontId="7" fillId="0" borderId="46" xfId="0" applyNumberFormat="1" applyFont="1" applyBorder="1" applyAlignment="1">
      <alignment horizontal="right" vertical="center"/>
    </xf>
    <xf numFmtId="4" fontId="8" fillId="0" borderId="46" xfId="0" applyNumberFormat="1" applyFont="1" applyBorder="1" applyAlignment="1">
      <alignment horizontal="right" vertical="center"/>
    </xf>
    <xf numFmtId="0" fontId="7" fillId="0" borderId="44" xfId="0" applyFont="1" applyBorder="1" applyAlignment="1">
      <alignment horizontal="left" vertical="center"/>
    </xf>
    <xf numFmtId="0" fontId="7" fillId="0" borderId="45" xfId="0" applyFont="1" applyBorder="1" applyAlignment="1">
      <alignment horizontal="left" vertical="center"/>
    </xf>
    <xf numFmtId="0" fontId="2" fillId="3" borderId="0" xfId="0" applyFont="1" applyFill="1" applyAlignment="1">
      <alignment vertical="center"/>
    </xf>
    <xf numFmtId="2" fontId="2" fillId="3" borderId="27" xfId="0" applyNumberFormat="1" applyFont="1" applyFill="1" applyBorder="1" applyAlignment="1">
      <alignment horizontal="center" vertical="center" wrapText="1"/>
    </xf>
    <xf numFmtId="164" fontId="2" fillId="0" borderId="46" xfId="0" applyNumberFormat="1" applyFont="1" applyBorder="1" applyAlignment="1">
      <alignment horizontal="right" vertical="center"/>
    </xf>
    <xf numFmtId="164" fontId="12" fillId="3" borderId="26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164" fontId="2" fillId="3" borderId="26" xfId="0" applyNumberFormat="1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2" fillId="3" borderId="26" xfId="3" applyFont="1" applyFill="1" applyBorder="1" applyAlignment="1">
      <alignment vertical="center" wrapText="1"/>
    </xf>
    <xf numFmtId="0" fontId="3" fillId="0" borderId="26" xfId="3" applyFont="1" applyBorder="1" applyAlignment="1">
      <alignment horizontal="left" vertical="center" wrapText="1"/>
    </xf>
    <xf numFmtId="0" fontId="3" fillId="0" borderId="26" xfId="3" applyFont="1" applyBorder="1" applyAlignment="1">
      <alignment horizontal="left" vertical="center" wrapText="1" indent="1"/>
    </xf>
    <xf numFmtId="0" fontId="3" fillId="0" borderId="26" xfId="0" applyFont="1" applyBorder="1" applyAlignment="1">
      <alignment horizontal="left" vertical="center" wrapText="1" indent="1"/>
    </xf>
    <xf numFmtId="0" fontId="11" fillId="0" borderId="26" xfId="0" applyFont="1" applyBorder="1" applyAlignment="1">
      <alignment horizontal="left" vertical="center" wrapText="1" indent="1"/>
    </xf>
    <xf numFmtId="0" fontId="3" fillId="0" borderId="30" xfId="0" applyFont="1" applyBorder="1" applyAlignment="1">
      <alignment horizontal="left" vertical="center" indent="1"/>
    </xf>
    <xf numFmtId="0" fontId="3" fillId="0" borderId="26" xfId="3" applyFont="1" applyBorder="1" applyAlignment="1">
      <alignment horizontal="left" vertical="center" wrapText="1" indent="2"/>
    </xf>
    <xf numFmtId="0" fontId="3" fillId="0" borderId="28" xfId="0" applyFont="1" applyBorder="1" applyAlignment="1">
      <alignment horizontal="center" vertical="center"/>
    </xf>
    <xf numFmtId="0" fontId="13" fillId="0" borderId="0" xfId="0" applyFont="1" applyAlignment="1">
      <alignment horizontal="right"/>
    </xf>
    <xf numFmtId="0" fontId="13" fillId="0" borderId="0" xfId="0" applyFont="1" applyAlignment="1">
      <alignment horizontal="center"/>
    </xf>
    <xf numFmtId="0" fontId="3" fillId="0" borderId="0" xfId="0" applyFont="1" applyAlignment="1">
      <alignment horizontal="right" vertical="center"/>
    </xf>
    <xf numFmtId="0" fontId="2" fillId="0" borderId="42" xfId="0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/>
    </xf>
    <xf numFmtId="15" fontId="2" fillId="0" borderId="4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 indent="1"/>
    </xf>
    <xf numFmtId="0" fontId="3" fillId="0" borderId="10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/>
    </xf>
    <xf numFmtId="0" fontId="9" fillId="0" borderId="39" xfId="0" applyFont="1" applyBorder="1" applyAlignment="1">
      <alignment horizontal="center"/>
    </xf>
    <xf numFmtId="0" fontId="9" fillId="0" borderId="37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7" fillId="0" borderId="51" xfId="0" applyFont="1" applyBorder="1" applyAlignment="1">
      <alignment horizontal="left" vertical="center"/>
    </xf>
    <xf numFmtId="0" fontId="7" fillId="0" borderId="52" xfId="0" applyFont="1" applyBorder="1" applyAlignment="1">
      <alignment horizontal="left" vertical="center"/>
    </xf>
    <xf numFmtId="4" fontId="8" fillId="0" borderId="7" xfId="0" applyNumberFormat="1" applyFont="1" applyBorder="1" applyAlignment="1">
      <alignment horizontal="left" vertical="center" wrapText="1"/>
    </xf>
    <xf numFmtId="4" fontId="8" fillId="0" borderId="8" xfId="0" applyNumberFormat="1" applyFont="1" applyBorder="1" applyAlignment="1">
      <alignment horizontal="left" vertical="center" wrapText="1"/>
    </xf>
    <xf numFmtId="4" fontId="8" fillId="0" borderId="9" xfId="0" applyNumberFormat="1" applyFont="1" applyBorder="1" applyAlignment="1">
      <alignment horizontal="left" vertical="center" wrapText="1"/>
    </xf>
    <xf numFmtId="0" fontId="8" fillId="0" borderId="49" xfId="0" applyFont="1" applyBorder="1" applyAlignment="1">
      <alignment horizontal="left" vertical="center"/>
    </xf>
    <xf numFmtId="0" fontId="8" fillId="0" borderId="50" xfId="0" applyFont="1" applyBorder="1" applyAlignment="1">
      <alignment horizontal="left" vertical="center"/>
    </xf>
    <xf numFmtId="0" fontId="7" fillId="0" borderId="47" xfId="0" applyFont="1" applyBorder="1" applyAlignment="1">
      <alignment horizontal="left" vertical="center"/>
    </xf>
    <xf numFmtId="0" fontId="7" fillId="0" borderId="48" xfId="0" applyFont="1" applyBorder="1" applyAlignment="1">
      <alignment horizontal="left" vertical="center"/>
    </xf>
    <xf numFmtId="16" fontId="2" fillId="0" borderId="1" xfId="0" applyNumberFormat="1" applyFont="1" applyBorder="1" applyAlignment="1">
      <alignment horizontal="center" vertical="center"/>
    </xf>
    <xf numFmtId="16" fontId="2" fillId="0" borderId="3" xfId="0" applyNumberFormat="1" applyFont="1" applyBorder="1" applyAlignment="1">
      <alignment horizontal="center" vertical="center"/>
    </xf>
    <xf numFmtId="16" fontId="2" fillId="0" borderId="7" xfId="0" applyNumberFormat="1" applyFont="1" applyBorder="1" applyAlignment="1">
      <alignment horizontal="center" vertical="center"/>
    </xf>
    <xf numFmtId="16" fontId="2" fillId="0" borderId="8" xfId="0" applyNumberFormat="1" applyFont="1" applyBorder="1" applyAlignment="1">
      <alignment horizontal="center" vertical="center"/>
    </xf>
    <xf numFmtId="16" fontId="2" fillId="0" borderId="2" xfId="0" applyNumberFormat="1" applyFont="1" applyBorder="1" applyAlignment="1">
      <alignment horizontal="center" vertical="center"/>
    </xf>
    <xf numFmtId="16" fontId="2" fillId="0" borderId="4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15" fontId="3" fillId="0" borderId="0" xfId="0" applyNumberFormat="1" applyFont="1" applyAlignment="1">
      <alignment horizontal="left"/>
    </xf>
    <xf numFmtId="164" fontId="3" fillId="0" borderId="0" xfId="0" applyNumberFormat="1" applyFont="1" applyAlignment="1">
      <alignment horizontal="right" indent="1"/>
    </xf>
    <xf numFmtId="0" fontId="14" fillId="0" borderId="0" xfId="0" applyFont="1" applyAlignment="1">
      <alignment horizontal="right"/>
    </xf>
    <xf numFmtId="0" fontId="3" fillId="0" borderId="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4" fontId="2" fillId="3" borderId="43" xfId="0" applyNumberFormat="1" applyFont="1" applyFill="1" applyBorder="1" applyAlignment="1">
      <alignment horizontal="center" vertical="center"/>
    </xf>
    <xf numFmtId="44" fontId="2" fillId="3" borderId="26" xfId="0" applyNumberFormat="1" applyFont="1" applyFill="1" applyBorder="1" applyAlignment="1">
      <alignment horizontal="center" vertical="center"/>
    </xf>
    <xf numFmtId="44" fontId="2" fillId="3" borderId="27" xfId="0" applyNumberFormat="1" applyFont="1" applyFill="1" applyBorder="1" applyAlignment="1">
      <alignment horizontal="right" vertical="center"/>
    </xf>
    <xf numFmtId="44" fontId="2" fillId="3" borderId="43" xfId="0" applyNumberFormat="1" applyFont="1" applyFill="1" applyBorder="1" applyAlignment="1">
      <alignment horizontal="right" vertical="center"/>
    </xf>
    <xf numFmtId="44" fontId="3" fillId="0" borderId="27" xfId="0" applyNumberFormat="1" applyFont="1" applyBorder="1" applyAlignment="1">
      <alignment horizontal="center" vertical="center"/>
    </xf>
    <xf numFmtId="44" fontId="3" fillId="0" borderId="25" xfId="0" applyNumberFormat="1" applyFont="1" applyBorder="1" applyAlignment="1">
      <alignment horizontal="center" vertical="center"/>
    </xf>
    <xf numFmtId="44" fontId="3" fillId="0" borderId="26" xfId="0" applyNumberFormat="1" applyFont="1" applyBorder="1" applyAlignment="1">
      <alignment horizontal="center" vertical="center"/>
    </xf>
    <xf numFmtId="44" fontId="3" fillId="0" borderId="43" xfId="0" applyNumberFormat="1" applyFont="1" applyBorder="1" applyAlignment="1">
      <alignment horizontal="right" vertical="center"/>
    </xf>
    <xf numFmtId="44" fontId="3" fillId="0" borderId="25" xfId="0" applyNumberFormat="1" applyFont="1" applyBorder="1" applyAlignment="1">
      <alignment horizontal="right" vertical="center"/>
    </xf>
    <xf numFmtId="44" fontId="3" fillId="0" borderId="27" xfId="0" applyNumberFormat="1" applyFont="1" applyBorder="1" applyAlignment="1">
      <alignment horizontal="right" vertical="center"/>
    </xf>
    <xf numFmtId="44" fontId="3" fillId="0" borderId="25" xfId="0" applyNumberFormat="1" applyFont="1" applyFill="1" applyBorder="1" applyAlignment="1">
      <alignment horizontal="right" vertical="center"/>
    </xf>
    <xf numFmtId="44" fontId="3" fillId="0" borderId="27" xfId="0" applyNumberFormat="1" applyFont="1" applyBorder="1" applyAlignment="1">
      <alignment horizontal="center" vertical="center" wrapText="1"/>
    </xf>
    <xf numFmtId="44" fontId="2" fillId="3" borderId="27" xfId="0" applyNumberFormat="1" applyFont="1" applyFill="1" applyBorder="1" applyAlignment="1">
      <alignment horizontal="center" vertical="center"/>
    </xf>
    <xf numFmtId="44" fontId="3" fillId="0" borderId="28" xfId="0" applyNumberFormat="1" applyFont="1" applyBorder="1" applyAlignment="1">
      <alignment horizontal="center" vertical="center"/>
    </xf>
    <xf numFmtId="44" fontId="3" fillId="0" borderId="29" xfId="0" applyNumberFormat="1" applyFont="1" applyBorder="1" applyAlignment="1">
      <alignment horizontal="center" vertical="center"/>
    </xf>
    <xf numFmtId="44" fontId="3" fillId="0" borderId="30" xfId="0" applyNumberFormat="1" applyFont="1" applyBorder="1" applyAlignment="1">
      <alignment horizontal="center" vertical="center"/>
    </xf>
    <xf numFmtId="44" fontId="3" fillId="0" borderId="28" xfId="0" applyNumberFormat="1" applyFont="1" applyBorder="1" applyAlignment="1">
      <alignment horizontal="right" vertical="center"/>
    </xf>
    <xf numFmtId="44" fontId="3" fillId="0" borderId="29" xfId="0" applyNumberFormat="1" applyFont="1" applyBorder="1" applyAlignment="1">
      <alignment horizontal="right" vertical="center"/>
    </xf>
    <xf numFmtId="44" fontId="2" fillId="0" borderId="17" xfId="0" applyNumberFormat="1" applyFont="1" applyBorder="1" applyAlignment="1">
      <alignment horizontal="center" vertical="center"/>
    </xf>
    <xf numFmtId="44" fontId="2" fillId="0" borderId="16" xfId="0" applyNumberFormat="1" applyFont="1" applyBorder="1" applyAlignment="1">
      <alignment horizontal="center" vertical="center"/>
    </xf>
    <xf numFmtId="44" fontId="7" fillId="0" borderId="31" xfId="0" applyNumberFormat="1" applyFont="1" applyBorder="1" applyAlignment="1">
      <alignment horizontal="right" vertical="center"/>
    </xf>
    <xf numFmtId="44" fontId="7" fillId="0" borderId="41" xfId="0" applyNumberFormat="1" applyFont="1" applyBorder="1" applyAlignment="1">
      <alignment horizontal="right" vertical="center"/>
    </xf>
    <xf numFmtId="44" fontId="2" fillId="0" borderId="19" xfId="0" applyNumberFormat="1" applyFont="1" applyBorder="1" applyAlignment="1">
      <alignment horizontal="center" vertical="center"/>
    </xf>
    <xf numFmtId="44" fontId="2" fillId="0" borderId="21" xfId="0" applyNumberFormat="1" applyFont="1" applyBorder="1" applyAlignment="1">
      <alignment horizontal="center" vertical="center"/>
    </xf>
    <xf numFmtId="44" fontId="7" fillId="0" borderId="32" xfId="0" applyNumberFormat="1" applyFont="1" applyBorder="1" applyAlignment="1">
      <alignment horizontal="right" vertical="center"/>
    </xf>
    <xf numFmtId="44" fontId="7" fillId="0" borderId="20" xfId="0" applyNumberFormat="1" applyFont="1" applyBorder="1" applyAlignment="1">
      <alignment horizontal="right" vertical="center"/>
    </xf>
    <xf numFmtId="44" fontId="2" fillId="0" borderId="20" xfId="0" applyNumberFormat="1" applyFont="1" applyBorder="1" applyAlignment="1">
      <alignment horizontal="center" vertical="center"/>
    </xf>
    <xf numFmtId="44" fontId="3" fillId="0" borderId="33" xfId="0" applyNumberFormat="1" applyFont="1" applyBorder="1" applyAlignment="1">
      <alignment horizontal="center" vertical="center"/>
    </xf>
    <xf numFmtId="44" fontId="3" fillId="0" borderId="34" xfId="0" applyNumberFormat="1" applyFont="1" applyBorder="1" applyAlignment="1">
      <alignment horizontal="center" vertical="center"/>
    </xf>
    <xf numFmtId="44" fontId="3" fillId="0" borderId="35" xfId="0" applyNumberFormat="1" applyFont="1" applyBorder="1" applyAlignment="1">
      <alignment horizontal="center" vertical="center"/>
    </xf>
    <xf numFmtId="44" fontId="8" fillId="0" borderId="36" xfId="0" applyNumberFormat="1" applyFont="1" applyBorder="1" applyAlignment="1">
      <alignment horizontal="right" vertical="center"/>
    </xf>
    <xf numFmtId="44" fontId="8" fillId="0" borderId="34" xfId="0" applyNumberFormat="1" applyFont="1" applyBorder="1" applyAlignment="1">
      <alignment horizontal="right" vertical="center"/>
    </xf>
    <xf numFmtId="44" fontId="3" fillId="0" borderId="22" xfId="0" applyNumberFormat="1" applyFont="1" applyBorder="1" applyAlignment="1">
      <alignment horizontal="center" vertical="center"/>
    </xf>
    <xf numFmtId="44" fontId="3" fillId="0" borderId="24" xfId="0" applyNumberFormat="1" applyFont="1" applyBorder="1" applyAlignment="1">
      <alignment horizontal="center" vertical="center"/>
    </xf>
    <xf numFmtId="44" fontId="3" fillId="0" borderId="23" xfId="0" applyNumberFormat="1" applyFont="1" applyBorder="1" applyAlignment="1">
      <alignment horizontal="center" vertical="center"/>
    </xf>
    <xf numFmtId="44" fontId="12" fillId="0" borderId="32" xfId="0" applyNumberFormat="1" applyFont="1" applyBorder="1" applyAlignment="1">
      <alignment horizontal="right" vertical="center"/>
    </xf>
    <xf numFmtId="44" fontId="12" fillId="0" borderId="20" xfId="0" applyNumberFormat="1" applyFont="1" applyBorder="1" applyAlignment="1">
      <alignment horizontal="right" vertical="center"/>
    </xf>
  </cellXfs>
  <cellStyles count="4">
    <cellStyle name="Currency" xfId="1" builtinId="4"/>
    <cellStyle name="Normal" xfId="0" builtinId="0"/>
    <cellStyle name="Normal 2" xfId="2" xr:uid="{00000000-0005-0000-0000-000002000000}"/>
    <cellStyle name="Normal 3" xfId="3" xr:uid="{00000000-0005-0000-0000-000003000000}"/>
  </cellStyles>
  <dxfs count="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6762499219571609E-2"/>
          <c:y val="9.5079710006261461E-2"/>
          <c:w val="0.91566430470519267"/>
          <c:h val="0.65957583854687263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Ref>
              <c:f>Final!$H$96:$AC$96</c:f>
              <c:numCache>
                <c:formatCode>_("£"* #,##0.00_);_("£"* \(#,##0.00\);_("£"* "-"??_);_(@_)</c:formatCode>
                <c:ptCount val="22"/>
                <c:pt idx="0">
                  <c:v>147662.00863636361</c:v>
                </c:pt>
                <c:pt idx="1">
                  <c:v>456930.01727272727</c:v>
                </c:pt>
                <c:pt idx="2">
                  <c:v>710180.02590909088</c:v>
                </c:pt>
                <c:pt idx="3">
                  <c:v>879346.03454545443</c:v>
                </c:pt>
                <c:pt idx="4">
                  <c:v>1075986.7098484847</c:v>
                </c:pt>
                <c:pt idx="5">
                  <c:v>1391179.5518181818</c:v>
                </c:pt>
                <c:pt idx="6">
                  <c:v>1706372.3937878786</c:v>
                </c:pt>
                <c:pt idx="7">
                  <c:v>1978738.5690909089</c:v>
                </c:pt>
                <c:pt idx="8">
                  <c:v>2277463.3843939393</c:v>
                </c:pt>
                <c:pt idx="9">
                  <c:v>2589367.5196969695</c:v>
                </c:pt>
                <c:pt idx="10">
                  <c:v>2872133.6949999998</c:v>
                </c:pt>
                <c:pt idx="11">
                  <c:v>3215670.1536363633</c:v>
                </c:pt>
                <c:pt idx="12">
                  <c:v>3702881.4622727269</c:v>
                </c:pt>
                <c:pt idx="13">
                  <c:v>4496689.306623376</c:v>
                </c:pt>
                <c:pt idx="14">
                  <c:v>5983895.4699740252</c:v>
                </c:pt>
                <c:pt idx="15">
                  <c:v>8175972.0273246747</c:v>
                </c:pt>
                <c:pt idx="16">
                  <c:v>9908771.4368181806</c:v>
                </c:pt>
                <c:pt idx="17">
                  <c:v>10509283.642954545</c:v>
                </c:pt>
                <c:pt idx="18">
                  <c:v>10993176.176590908</c:v>
                </c:pt>
                <c:pt idx="19">
                  <c:v>11382099.530727271</c:v>
                </c:pt>
                <c:pt idx="20">
                  <c:v>11526178.611363634</c:v>
                </c:pt>
                <c:pt idx="21">
                  <c:v>11677440.619999997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72D-41AC-9A85-656AC74E11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3324032"/>
        <c:axId val="161774912"/>
      </c:lineChart>
      <c:catAx>
        <c:axId val="6333240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 sz="1000"/>
                  <a:t>Interim</a:t>
                </a:r>
                <a:r>
                  <a:rPr lang="en-GB" sz="1000" baseline="0"/>
                  <a:t> Application Number</a:t>
                </a:r>
              </a:p>
            </c:rich>
          </c:tx>
          <c:layout>
            <c:manualLayout>
              <c:xMode val="edge"/>
              <c:yMode val="edge"/>
              <c:x val="0.46998943729359216"/>
              <c:y val="0.853054002431595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noFill/>
          <a:ln w="3175">
            <a:solidFill>
              <a:srgbClr val="000000"/>
            </a:solidFill>
            <a:prstDash val="solid"/>
          </a:ln>
          <a:effectLst/>
        </c:spPr>
        <c:txPr>
          <a:bodyPr rot="0" vert="horz" anchor="ctr" anchorCtr="0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1774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177491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 sz="1000"/>
                  <a:t>Value</a:t>
                </a:r>
              </a:p>
            </c:rich>
          </c:tx>
          <c:layout>
            <c:manualLayout>
              <c:xMode val="edge"/>
              <c:yMode val="edge"/>
              <c:x val="2.8883795917436724E-2"/>
              <c:y val="0.32506542926985788"/>
            </c:manualLayout>
          </c:layout>
          <c:overlay val="0"/>
          <c:spPr>
            <a:noFill/>
            <a:ln w="25400">
              <a:noFill/>
            </a:ln>
            <a:effectLst/>
          </c:spPr>
        </c:title>
        <c:numFmt formatCode="_(&quot;£&quot;* #,##0.00_);_(&quot;£&quot;* \(#,##0.00\);_(&quot;£&quot;* &quot;-&quot;??_);_(@_)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333240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/>
  </c:spPr>
  <c:txPr>
    <a:bodyPr/>
    <a:lstStyle/>
    <a:p>
      <a:pPr>
        <a:defRPr sz="4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22" r="0.75000000000000022" t="1" header="0.5" footer="0.5"/>
    <c:pageSetup paperSize="9" orientation="landscape" horizontalDpi="1200" verticalDpi="12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457200</xdr:colOff>
      <xdr:row>96</xdr:row>
      <xdr:rowOff>140969</xdr:rowOff>
    </xdr:from>
    <xdr:to>
      <xdr:col>29</xdr:col>
      <xdr:colOff>238125</xdr:colOff>
      <xdr:row>108</xdr:row>
      <xdr:rowOff>142874</xdr:rowOff>
    </xdr:to>
    <xdr:graphicFrame macro="">
      <xdr:nvGraphicFramePr>
        <xdr:cNvPr id="2" name="Chart 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E110"/>
  <sheetViews>
    <sheetView showZeros="0" tabSelected="1" view="pageBreakPreview" topLeftCell="B1" zoomScaleSheetLayoutView="100" workbookViewId="0">
      <pane xSplit="6" ySplit="14" topLeftCell="H15" activePane="bottomRight" state="frozen"/>
      <selection activeCell="B1" sqref="B1"/>
      <selection pane="topRight" activeCell="H1" sqref="H1"/>
      <selection pane="bottomLeft" activeCell="B15" sqref="B15"/>
      <selection pane="bottomRight" activeCell="M28" sqref="M28"/>
    </sheetView>
  </sheetViews>
  <sheetFormatPr defaultColWidth="9.33203125" defaultRowHeight="11.25" outlineLevelRow="1" outlineLevelCol="1" x14ac:dyDescent="0.2"/>
  <cols>
    <col min="1" max="1" width="9.33203125" style="2"/>
    <col min="2" max="2" width="2.33203125" style="2" customWidth="1"/>
    <col min="3" max="3" width="10.83203125" style="1" customWidth="1"/>
    <col min="4" max="4" width="30.83203125" style="2" customWidth="1"/>
    <col min="5" max="6" width="16.5" style="7" customWidth="1"/>
    <col min="7" max="7" width="16.5" style="6" customWidth="1"/>
    <col min="8" max="8" width="15.83203125" style="6" customWidth="1" outlineLevel="1"/>
    <col min="9" max="29" width="15.83203125" style="7" customWidth="1" outlineLevel="1"/>
    <col min="30" max="30" width="25.83203125" style="7" customWidth="1"/>
    <col min="31" max="31" width="2.1640625" style="7" customWidth="1"/>
    <col min="32" max="16384" width="9.33203125" style="2"/>
  </cols>
  <sheetData>
    <row r="2" spans="2:31" ht="4.1500000000000004" customHeight="1" x14ac:dyDescent="0.2"/>
    <row r="3" spans="2:31" ht="33.75" x14ac:dyDescent="0.5">
      <c r="C3" s="94" t="s">
        <v>38</v>
      </c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6"/>
      <c r="AE3" s="83"/>
    </row>
    <row r="4" spans="2:31" ht="3" customHeight="1" x14ac:dyDescent="0.5">
      <c r="C4" s="84"/>
      <c r="D4" s="84"/>
      <c r="E4" s="120"/>
      <c r="F4" s="120"/>
      <c r="G4" s="120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</row>
    <row r="5" spans="2:31" ht="20.25" x14ac:dyDescent="0.3">
      <c r="C5" s="97" t="s">
        <v>8</v>
      </c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9"/>
      <c r="AE5" s="54"/>
    </row>
    <row r="6" spans="2:31" ht="2.4500000000000002" customHeight="1" x14ac:dyDescent="0.2"/>
    <row r="7" spans="2:31" s="23" customFormat="1" x14ac:dyDescent="0.2">
      <c r="C7" s="21" t="s">
        <v>1</v>
      </c>
      <c r="D7" s="22" t="s">
        <v>41</v>
      </c>
      <c r="F7" s="22"/>
      <c r="G7" s="22"/>
      <c r="H7" s="22"/>
      <c r="I7" s="24"/>
      <c r="J7" s="24"/>
      <c r="K7" s="85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119" t="s">
        <v>3</v>
      </c>
      <c r="AC7" s="118" t="s">
        <v>50</v>
      </c>
      <c r="AD7" s="118"/>
      <c r="AE7" s="28"/>
    </row>
    <row r="8" spans="2:31" s="23" customFormat="1" x14ac:dyDescent="0.2">
      <c r="C8" s="21" t="s">
        <v>2</v>
      </c>
      <c r="D8" s="22" t="s">
        <v>42</v>
      </c>
      <c r="F8" s="22"/>
      <c r="G8" s="22"/>
      <c r="H8" s="22"/>
      <c r="I8" s="22"/>
      <c r="J8" s="22"/>
      <c r="K8" s="85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119" t="s">
        <v>5</v>
      </c>
      <c r="AC8" s="117" t="s">
        <v>51</v>
      </c>
      <c r="AD8" s="117"/>
      <c r="AE8" s="25"/>
    </row>
    <row r="9" spans="2:31" s="23" customFormat="1" x14ac:dyDescent="0.2">
      <c r="D9" s="26"/>
      <c r="F9" s="26"/>
      <c r="G9" s="26"/>
      <c r="H9" s="26"/>
      <c r="I9" s="26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119" t="s">
        <v>9</v>
      </c>
      <c r="AC9" s="117" t="s">
        <v>52</v>
      </c>
      <c r="AD9" s="117"/>
      <c r="AE9" s="55"/>
    </row>
    <row r="10" spans="2:31" s="48" customFormat="1" x14ac:dyDescent="0.2">
      <c r="D10" s="49"/>
      <c r="F10" s="49"/>
      <c r="G10" s="49"/>
      <c r="H10" s="49"/>
      <c r="I10" s="49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50"/>
      <c r="AE10" s="56"/>
    </row>
    <row r="11" spans="2:31" s="23" customFormat="1" ht="3" customHeight="1" thickBot="1" x14ac:dyDescent="0.25">
      <c r="C11" s="24"/>
      <c r="D11" s="22"/>
      <c r="E11" s="27"/>
      <c r="F11" s="27"/>
      <c r="G11" s="28"/>
      <c r="H11" s="28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29"/>
      <c r="AE11" s="27"/>
    </row>
    <row r="12" spans="2:31" s="30" customFormat="1" x14ac:dyDescent="0.2">
      <c r="C12" s="111" t="s">
        <v>10</v>
      </c>
      <c r="D12" s="113" t="s">
        <v>13</v>
      </c>
      <c r="E12" s="111" t="s">
        <v>6</v>
      </c>
      <c r="F12" s="115" t="s">
        <v>4</v>
      </c>
      <c r="G12" s="113" t="s">
        <v>0</v>
      </c>
      <c r="H12" s="86">
        <v>1</v>
      </c>
      <c r="I12" s="87">
        <f>H12+1</f>
        <v>2</v>
      </c>
      <c r="J12" s="87">
        <f t="shared" ref="J12:AB12" si="0">I12+1</f>
        <v>3</v>
      </c>
      <c r="K12" s="87">
        <f t="shared" si="0"/>
        <v>4</v>
      </c>
      <c r="L12" s="87">
        <f t="shared" si="0"/>
        <v>5</v>
      </c>
      <c r="M12" s="87">
        <f t="shared" si="0"/>
        <v>6</v>
      </c>
      <c r="N12" s="87">
        <f t="shared" si="0"/>
        <v>7</v>
      </c>
      <c r="O12" s="87">
        <f t="shared" si="0"/>
        <v>8</v>
      </c>
      <c r="P12" s="87">
        <f t="shared" si="0"/>
        <v>9</v>
      </c>
      <c r="Q12" s="87">
        <f t="shared" si="0"/>
        <v>10</v>
      </c>
      <c r="R12" s="87">
        <f t="shared" si="0"/>
        <v>11</v>
      </c>
      <c r="S12" s="87">
        <f t="shared" si="0"/>
        <v>12</v>
      </c>
      <c r="T12" s="87">
        <f t="shared" si="0"/>
        <v>13</v>
      </c>
      <c r="U12" s="87">
        <f t="shared" si="0"/>
        <v>14</v>
      </c>
      <c r="V12" s="87">
        <f t="shared" si="0"/>
        <v>15</v>
      </c>
      <c r="W12" s="87">
        <f t="shared" si="0"/>
        <v>16</v>
      </c>
      <c r="X12" s="87">
        <f t="shared" si="0"/>
        <v>17</v>
      </c>
      <c r="Y12" s="87">
        <f t="shared" si="0"/>
        <v>18</v>
      </c>
      <c r="Z12" s="87">
        <f t="shared" si="0"/>
        <v>19</v>
      </c>
      <c r="AA12" s="87">
        <f t="shared" si="0"/>
        <v>20</v>
      </c>
      <c r="AB12" s="87">
        <f t="shared" si="0"/>
        <v>21</v>
      </c>
      <c r="AC12" s="87">
        <f>AB12+1</f>
        <v>22</v>
      </c>
      <c r="AD12" s="100" t="s">
        <v>12</v>
      </c>
      <c r="AE12" s="57"/>
    </row>
    <row r="13" spans="2:31" s="31" customFormat="1" x14ac:dyDescent="0.2">
      <c r="C13" s="112"/>
      <c r="D13" s="114"/>
      <c r="E13" s="112"/>
      <c r="F13" s="116"/>
      <c r="G13" s="114"/>
      <c r="H13" s="88">
        <v>45379</v>
      </c>
      <c r="I13" s="88">
        <f>H13+28</f>
        <v>45407</v>
      </c>
      <c r="J13" s="88">
        <f t="shared" ref="J13:AB13" si="1">I13+28</f>
        <v>45435</v>
      </c>
      <c r="K13" s="88">
        <f t="shared" si="1"/>
        <v>45463</v>
      </c>
      <c r="L13" s="88">
        <f t="shared" si="1"/>
        <v>45491</v>
      </c>
      <c r="M13" s="88">
        <f t="shared" si="1"/>
        <v>45519</v>
      </c>
      <c r="N13" s="88">
        <f t="shared" si="1"/>
        <v>45547</v>
      </c>
      <c r="O13" s="88">
        <f t="shared" si="1"/>
        <v>45575</v>
      </c>
      <c r="P13" s="88">
        <f t="shared" si="1"/>
        <v>45603</v>
      </c>
      <c r="Q13" s="88">
        <f t="shared" si="1"/>
        <v>45631</v>
      </c>
      <c r="R13" s="88">
        <f t="shared" si="1"/>
        <v>45659</v>
      </c>
      <c r="S13" s="88">
        <f t="shared" si="1"/>
        <v>45687</v>
      </c>
      <c r="T13" s="88">
        <f t="shared" si="1"/>
        <v>45715</v>
      </c>
      <c r="U13" s="88">
        <f t="shared" si="1"/>
        <v>45743</v>
      </c>
      <c r="V13" s="88">
        <f t="shared" si="1"/>
        <v>45771</v>
      </c>
      <c r="W13" s="88">
        <f t="shared" si="1"/>
        <v>45799</v>
      </c>
      <c r="X13" s="88">
        <f t="shared" si="1"/>
        <v>45827</v>
      </c>
      <c r="Y13" s="88">
        <f t="shared" si="1"/>
        <v>45855</v>
      </c>
      <c r="Z13" s="88">
        <f t="shared" si="1"/>
        <v>45883</v>
      </c>
      <c r="AA13" s="88">
        <f t="shared" si="1"/>
        <v>45911</v>
      </c>
      <c r="AB13" s="88">
        <f t="shared" si="1"/>
        <v>45939</v>
      </c>
      <c r="AC13" s="88">
        <f>AB13+28</f>
        <v>45967</v>
      </c>
      <c r="AD13" s="101"/>
      <c r="AE13" s="58"/>
    </row>
    <row r="14" spans="2:31" s="34" customFormat="1" ht="3" customHeight="1" thickBot="1" x14ac:dyDescent="0.25">
      <c r="C14" s="32"/>
      <c r="D14" s="33"/>
      <c r="E14" s="121"/>
      <c r="F14" s="122"/>
      <c r="G14" s="123"/>
      <c r="H14" s="89"/>
      <c r="I14" s="90"/>
      <c r="J14" s="90"/>
      <c r="K14" s="90"/>
      <c r="L14" s="90"/>
      <c r="M14" s="90"/>
      <c r="N14" s="90"/>
      <c r="O14" s="90"/>
      <c r="P14" s="90"/>
      <c r="Q14" s="90"/>
      <c r="R14" s="90"/>
      <c r="S14" s="90"/>
      <c r="T14" s="90"/>
      <c r="U14" s="90"/>
      <c r="V14" s="90"/>
      <c r="W14" s="90"/>
      <c r="X14" s="90"/>
      <c r="Y14" s="90"/>
      <c r="Z14" s="90"/>
      <c r="AA14" s="90"/>
      <c r="AB14" s="90"/>
      <c r="AC14" s="90"/>
      <c r="AD14" s="101"/>
      <c r="AE14" s="59"/>
    </row>
    <row r="15" spans="2:31" s="23" customFormat="1" x14ac:dyDescent="0.2">
      <c r="C15" s="74"/>
      <c r="D15" s="35"/>
      <c r="E15" s="156"/>
      <c r="F15" s="157"/>
      <c r="G15" s="158"/>
      <c r="H15" s="156"/>
      <c r="I15" s="157"/>
      <c r="J15" s="157"/>
      <c r="K15" s="157"/>
      <c r="L15" s="157"/>
      <c r="M15" s="157"/>
      <c r="N15" s="157"/>
      <c r="O15" s="157"/>
      <c r="P15" s="157"/>
      <c r="Q15" s="157"/>
      <c r="R15" s="157"/>
      <c r="S15" s="157"/>
      <c r="T15" s="157"/>
      <c r="U15" s="157"/>
      <c r="V15" s="157"/>
      <c r="W15" s="157"/>
      <c r="X15" s="157"/>
      <c r="Y15" s="157"/>
      <c r="Z15" s="157"/>
      <c r="AA15" s="157"/>
      <c r="AB15" s="157"/>
      <c r="AC15" s="157"/>
      <c r="AD15" s="36"/>
      <c r="AE15" s="60"/>
    </row>
    <row r="16" spans="2:31" s="68" customFormat="1" outlineLevel="1" x14ac:dyDescent="0.2">
      <c r="B16" s="22"/>
      <c r="C16" s="69">
        <v>1</v>
      </c>
      <c r="D16" s="47" t="s">
        <v>23</v>
      </c>
      <c r="E16" s="124"/>
      <c r="F16" s="124">
        <f>SUM(F17:F19)</f>
        <v>0</v>
      </c>
      <c r="G16" s="125">
        <f>SUM(G17:G19)</f>
        <v>0</v>
      </c>
      <c r="H16" s="126">
        <f t="shared" ref="H16:AC16" si="2">SUM(H19:H19)</f>
        <v>0</v>
      </c>
      <c r="I16" s="127">
        <f t="shared" si="2"/>
        <v>0</v>
      </c>
      <c r="J16" s="127">
        <f t="shared" si="2"/>
        <v>0</v>
      </c>
      <c r="K16" s="127">
        <f t="shared" si="2"/>
        <v>0</v>
      </c>
      <c r="L16" s="127">
        <f t="shared" si="2"/>
        <v>0</v>
      </c>
      <c r="M16" s="127">
        <f t="shared" si="2"/>
        <v>0</v>
      </c>
      <c r="N16" s="127">
        <f t="shared" si="2"/>
        <v>0</v>
      </c>
      <c r="O16" s="127">
        <f t="shared" si="2"/>
        <v>0</v>
      </c>
      <c r="P16" s="127">
        <f t="shared" si="2"/>
        <v>0</v>
      </c>
      <c r="Q16" s="127">
        <f t="shared" si="2"/>
        <v>0</v>
      </c>
      <c r="R16" s="127">
        <f t="shared" si="2"/>
        <v>0</v>
      </c>
      <c r="S16" s="127">
        <f t="shared" si="2"/>
        <v>0</v>
      </c>
      <c r="T16" s="127">
        <f t="shared" si="2"/>
        <v>0</v>
      </c>
      <c r="U16" s="127">
        <f t="shared" si="2"/>
        <v>0</v>
      </c>
      <c r="V16" s="127">
        <f t="shared" si="2"/>
        <v>0</v>
      </c>
      <c r="W16" s="127">
        <f t="shared" si="2"/>
        <v>0</v>
      </c>
      <c r="X16" s="127">
        <f t="shared" si="2"/>
        <v>0</v>
      </c>
      <c r="Y16" s="127">
        <f t="shared" ref="Y16:AB16" si="3">SUM(Y19:Y19)</f>
        <v>0</v>
      </c>
      <c r="Z16" s="127">
        <f t="shared" si="3"/>
        <v>0</v>
      </c>
      <c r="AA16" s="127">
        <f t="shared" si="3"/>
        <v>0</v>
      </c>
      <c r="AB16" s="127">
        <f t="shared" si="3"/>
        <v>0</v>
      </c>
      <c r="AC16" s="127">
        <f t="shared" si="2"/>
        <v>0</v>
      </c>
      <c r="AD16" s="71"/>
      <c r="AE16" s="70"/>
    </row>
    <row r="17" spans="2:31" s="23" customFormat="1" outlineLevel="1" x14ac:dyDescent="0.2">
      <c r="C17" s="42"/>
      <c r="D17" s="77"/>
      <c r="E17" s="128"/>
      <c r="F17" s="129"/>
      <c r="G17" s="130">
        <f t="shared" ref="G17" si="4">F17+E17</f>
        <v>0</v>
      </c>
      <c r="H17" s="131"/>
      <c r="I17" s="132"/>
      <c r="J17" s="132"/>
      <c r="K17" s="132"/>
      <c r="L17" s="132"/>
      <c r="M17" s="132"/>
      <c r="N17" s="132"/>
      <c r="O17" s="132"/>
      <c r="P17" s="132"/>
      <c r="Q17" s="132"/>
      <c r="R17" s="132"/>
      <c r="S17" s="132"/>
      <c r="T17" s="132"/>
      <c r="U17" s="132"/>
      <c r="V17" s="132"/>
      <c r="W17" s="132"/>
      <c r="X17" s="132"/>
      <c r="Y17" s="132"/>
      <c r="Z17" s="132"/>
      <c r="AA17" s="132"/>
      <c r="AB17" s="132"/>
      <c r="AC17" s="132"/>
      <c r="AD17" s="37"/>
      <c r="AE17" s="27"/>
    </row>
    <row r="18" spans="2:31" s="23" customFormat="1" outlineLevel="1" x14ac:dyDescent="0.2">
      <c r="C18" s="42">
        <v>1.01</v>
      </c>
      <c r="D18" s="77" t="s">
        <v>49</v>
      </c>
      <c r="E18" s="128">
        <v>0</v>
      </c>
      <c r="F18" s="129"/>
      <c r="G18" s="130">
        <f>F18+E18</f>
        <v>0</v>
      </c>
      <c r="H18" s="131"/>
      <c r="I18" s="132"/>
      <c r="J18" s="132"/>
      <c r="K18" s="132"/>
      <c r="L18" s="132"/>
      <c r="M18" s="132"/>
      <c r="N18" s="132"/>
      <c r="O18" s="132"/>
      <c r="P18" s="132"/>
      <c r="Q18" s="132"/>
      <c r="R18" s="132"/>
      <c r="S18" s="132"/>
      <c r="T18" s="132"/>
      <c r="U18" s="132"/>
      <c r="V18" s="132"/>
      <c r="W18" s="132"/>
      <c r="X18" s="132"/>
      <c r="Y18" s="132"/>
      <c r="Z18" s="132"/>
      <c r="AA18" s="132"/>
      <c r="AB18" s="132"/>
      <c r="AC18" s="132"/>
      <c r="AD18" s="37"/>
      <c r="AE18" s="27"/>
    </row>
    <row r="19" spans="2:31" s="23" customFormat="1" outlineLevel="1" x14ac:dyDescent="0.2">
      <c r="C19" s="42"/>
      <c r="D19" s="78"/>
      <c r="E19" s="128"/>
      <c r="F19" s="129"/>
      <c r="G19" s="130">
        <f>F19+E19</f>
        <v>0</v>
      </c>
      <c r="H19" s="133"/>
      <c r="I19" s="132"/>
      <c r="J19" s="132"/>
      <c r="K19" s="132"/>
      <c r="L19" s="132"/>
      <c r="M19" s="132"/>
      <c r="N19" s="132"/>
      <c r="O19" s="132"/>
      <c r="P19" s="132"/>
      <c r="Q19" s="132"/>
      <c r="R19" s="132"/>
      <c r="S19" s="132"/>
      <c r="T19" s="132"/>
      <c r="U19" s="132"/>
      <c r="V19" s="132"/>
      <c r="W19" s="132"/>
      <c r="X19" s="132"/>
      <c r="Y19" s="132"/>
      <c r="Z19" s="132"/>
      <c r="AA19" s="132"/>
      <c r="AB19" s="132"/>
      <c r="AC19" s="132"/>
      <c r="AD19" s="38"/>
      <c r="AE19" s="60"/>
    </row>
    <row r="20" spans="2:31" s="72" customFormat="1" outlineLevel="1" x14ac:dyDescent="0.2">
      <c r="B20" s="22"/>
      <c r="C20" s="69">
        <v>2</v>
      </c>
      <c r="D20" s="75" t="s">
        <v>14</v>
      </c>
      <c r="E20" s="124">
        <f>SUM(E21:E35)</f>
        <v>2221000</v>
      </c>
      <c r="F20" s="124">
        <f t="shared" ref="F20" si="5">SUM(F21:F23)</f>
        <v>0</v>
      </c>
      <c r="G20" s="125">
        <f>SUM(G21:G35)</f>
        <v>2221000</v>
      </c>
      <c r="H20" s="126">
        <f>SUM(H21:H35)</f>
        <v>104954.54545454544</v>
      </c>
      <c r="I20" s="127">
        <f>SUM(I21:I35)</f>
        <v>95554.545454545441</v>
      </c>
      <c r="J20" s="127">
        <f>SUM(J21:J35)</f>
        <v>90554.545454545441</v>
      </c>
      <c r="K20" s="127">
        <f t="shared" ref="K20:U20" si="6">SUM(K21:K35)</f>
        <v>90554.545454545441</v>
      </c>
      <c r="L20" s="127">
        <f t="shared" si="6"/>
        <v>93154.545454545441</v>
      </c>
      <c r="M20" s="127">
        <f t="shared" si="6"/>
        <v>90554.545454545441</v>
      </c>
      <c r="N20" s="127">
        <f t="shared" si="6"/>
        <v>90554.545454545441</v>
      </c>
      <c r="O20" s="127">
        <f t="shared" si="6"/>
        <v>90554.545454545441</v>
      </c>
      <c r="P20" s="127">
        <f t="shared" si="6"/>
        <v>90554.545454545441</v>
      </c>
      <c r="Q20" s="127">
        <f t="shared" si="6"/>
        <v>90554.545454545441</v>
      </c>
      <c r="R20" s="127">
        <f t="shared" si="6"/>
        <v>100954.54545454544</v>
      </c>
      <c r="S20" s="127">
        <f t="shared" si="6"/>
        <v>97054.545454545441</v>
      </c>
      <c r="T20" s="127">
        <f t="shared" si="6"/>
        <v>125654.54545454546</v>
      </c>
      <c r="U20" s="127">
        <f t="shared" si="6"/>
        <v>125654.54545454546</v>
      </c>
      <c r="V20" s="127">
        <f>SUM(V21:V35)</f>
        <v>125654.54545454546</v>
      </c>
      <c r="W20" s="127">
        <f>SUM(W21:W35)</f>
        <v>125654.54545454546</v>
      </c>
      <c r="X20" s="127">
        <f>SUM(X21:X35)</f>
        <v>109654.54545454546</v>
      </c>
      <c r="Y20" s="127">
        <f>SUM(Y21:Y35)</f>
        <v>93654.545454545441</v>
      </c>
      <c r="Z20" s="127">
        <f>SUM(Z21:Z35)</f>
        <v>93654.545454545441</v>
      </c>
      <c r="AA20" s="127">
        <f>SUM(AA21:AA35)</f>
        <v>93654.545454545441</v>
      </c>
      <c r="AB20" s="127">
        <f>SUM(AB21:AB35)</f>
        <v>93654.545454545441</v>
      </c>
      <c r="AC20" s="127">
        <f>SUM(AC21:AC35)</f>
        <v>108554.54545454544</v>
      </c>
      <c r="AD20" s="73"/>
      <c r="AE20" s="70"/>
    </row>
    <row r="21" spans="2:31" s="23" customFormat="1" outlineLevel="1" x14ac:dyDescent="0.2">
      <c r="C21" s="42"/>
      <c r="D21" s="77"/>
      <c r="E21" s="128"/>
      <c r="F21" s="129"/>
      <c r="G21" s="130">
        <f t="shared" ref="G21" si="7">F21+E21</f>
        <v>0</v>
      </c>
      <c r="H21" s="131"/>
      <c r="I21" s="132"/>
      <c r="J21" s="132"/>
      <c r="K21" s="132"/>
      <c r="L21" s="132"/>
      <c r="M21" s="132"/>
      <c r="N21" s="132"/>
      <c r="O21" s="132"/>
      <c r="P21" s="132"/>
      <c r="Q21" s="132"/>
      <c r="R21" s="132"/>
      <c r="S21" s="132"/>
      <c r="T21" s="132"/>
      <c r="U21" s="132"/>
      <c r="V21" s="132"/>
      <c r="W21" s="132"/>
      <c r="X21" s="132"/>
      <c r="Y21" s="132"/>
      <c r="Z21" s="132"/>
      <c r="AA21" s="132"/>
      <c r="AB21" s="132"/>
      <c r="AC21" s="132"/>
      <c r="AD21" s="37"/>
      <c r="AE21" s="27"/>
    </row>
    <row r="22" spans="2:31" s="23" customFormat="1" outlineLevel="1" x14ac:dyDescent="0.2">
      <c r="C22" s="42">
        <v>2.0099999999999998</v>
      </c>
      <c r="D22" s="77" t="s">
        <v>60</v>
      </c>
      <c r="E22" s="128">
        <f>SUM(17000)</f>
        <v>17000</v>
      </c>
      <c r="F22" s="129"/>
      <c r="G22" s="130">
        <f t="shared" ref="G22:G23" si="8">F22+E22</f>
        <v>17000</v>
      </c>
      <c r="H22" s="131"/>
      <c r="I22" s="132"/>
      <c r="J22" s="132"/>
      <c r="K22" s="132"/>
      <c r="L22" s="132"/>
      <c r="M22" s="132"/>
      <c r="N22" s="132"/>
      <c r="O22" s="132"/>
      <c r="P22" s="132"/>
      <c r="Q22" s="132"/>
      <c r="R22" s="132"/>
      <c r="S22" s="132">
        <f>($G22/5)*1</f>
        <v>3400</v>
      </c>
      <c r="T22" s="132"/>
      <c r="U22" s="132"/>
      <c r="V22" s="132"/>
      <c r="W22" s="132"/>
      <c r="X22" s="132"/>
      <c r="Y22" s="132"/>
      <c r="Z22" s="132"/>
      <c r="AA22" s="132"/>
      <c r="AB22" s="132"/>
      <c r="AC22" s="132">
        <f>($G22/5)*4</f>
        <v>13600</v>
      </c>
      <c r="AD22" s="37"/>
      <c r="AE22" s="27"/>
    </row>
    <row r="23" spans="2:31" s="23" customFormat="1" outlineLevel="1" x14ac:dyDescent="0.2">
      <c r="C23" s="42">
        <v>2.02</v>
      </c>
      <c r="D23" s="77" t="s">
        <v>61</v>
      </c>
      <c r="E23" s="128">
        <f>SUM(490000)</f>
        <v>490000</v>
      </c>
      <c r="F23" s="129"/>
      <c r="G23" s="130">
        <f t="shared" si="8"/>
        <v>490000</v>
      </c>
      <c r="H23" s="131">
        <f>($G23/22)*1</f>
        <v>22272.727272727272</v>
      </c>
      <c r="I23" s="132">
        <f>($G23/22)*1</f>
        <v>22272.727272727272</v>
      </c>
      <c r="J23" s="132">
        <f t="shared" ref="J23:AC23" si="9">($G23/22)*1</f>
        <v>22272.727272727272</v>
      </c>
      <c r="K23" s="132">
        <f t="shared" si="9"/>
        <v>22272.727272727272</v>
      </c>
      <c r="L23" s="132">
        <f t="shared" si="9"/>
        <v>22272.727272727272</v>
      </c>
      <c r="M23" s="132">
        <f t="shared" si="9"/>
        <v>22272.727272727272</v>
      </c>
      <c r="N23" s="132">
        <f t="shared" si="9"/>
        <v>22272.727272727272</v>
      </c>
      <c r="O23" s="132">
        <f t="shared" si="9"/>
        <v>22272.727272727272</v>
      </c>
      <c r="P23" s="132">
        <f t="shared" si="9"/>
        <v>22272.727272727272</v>
      </c>
      <c r="Q23" s="132">
        <f t="shared" si="9"/>
        <v>22272.727272727272</v>
      </c>
      <c r="R23" s="132">
        <f t="shared" si="9"/>
        <v>22272.727272727272</v>
      </c>
      <c r="S23" s="132">
        <f t="shared" si="9"/>
        <v>22272.727272727272</v>
      </c>
      <c r="T23" s="132">
        <f t="shared" si="9"/>
        <v>22272.727272727272</v>
      </c>
      <c r="U23" s="132">
        <f t="shared" si="9"/>
        <v>22272.727272727272</v>
      </c>
      <c r="V23" s="132">
        <f t="shared" si="9"/>
        <v>22272.727272727272</v>
      </c>
      <c r="W23" s="132">
        <f t="shared" si="9"/>
        <v>22272.727272727272</v>
      </c>
      <c r="X23" s="132">
        <f t="shared" si="9"/>
        <v>22272.727272727272</v>
      </c>
      <c r="Y23" s="132">
        <f t="shared" si="9"/>
        <v>22272.727272727272</v>
      </c>
      <c r="Z23" s="132">
        <f t="shared" si="9"/>
        <v>22272.727272727272</v>
      </c>
      <c r="AA23" s="132">
        <f t="shared" si="9"/>
        <v>22272.727272727272</v>
      </c>
      <c r="AB23" s="132">
        <f t="shared" si="9"/>
        <v>22272.727272727272</v>
      </c>
      <c r="AC23" s="132">
        <f t="shared" si="9"/>
        <v>22272.727272727272</v>
      </c>
      <c r="AD23" s="37"/>
      <c r="AE23" s="27"/>
    </row>
    <row r="24" spans="2:31" s="23" customFormat="1" outlineLevel="1" x14ac:dyDescent="0.2">
      <c r="C24" s="42">
        <v>2.0299999999999998</v>
      </c>
      <c r="D24" s="79" t="s">
        <v>72</v>
      </c>
      <c r="E24" s="128">
        <f>SUM(33000)</f>
        <v>33000</v>
      </c>
      <c r="F24" s="129"/>
      <c r="G24" s="130">
        <f t="shared" ref="G24:G34" si="10">F24+E24</f>
        <v>33000</v>
      </c>
      <c r="H24" s="133">
        <f>($G24/30)*5</f>
        <v>5500</v>
      </c>
      <c r="I24" s="132">
        <f>($G24/30)*1</f>
        <v>1100</v>
      </c>
      <c r="J24" s="132">
        <f t="shared" ref="J24:AB24" si="11">($G24/30)*1</f>
        <v>1100</v>
      </c>
      <c r="K24" s="132">
        <f t="shared" si="11"/>
        <v>1100</v>
      </c>
      <c r="L24" s="132">
        <f t="shared" si="11"/>
        <v>1100</v>
      </c>
      <c r="M24" s="132">
        <f t="shared" si="11"/>
        <v>1100</v>
      </c>
      <c r="N24" s="132">
        <f t="shared" si="11"/>
        <v>1100</v>
      </c>
      <c r="O24" s="132">
        <f t="shared" si="11"/>
        <v>1100</v>
      </c>
      <c r="P24" s="132">
        <f t="shared" si="11"/>
        <v>1100</v>
      </c>
      <c r="Q24" s="132">
        <f t="shared" si="11"/>
        <v>1100</v>
      </c>
      <c r="R24" s="132">
        <f t="shared" si="11"/>
        <v>1100</v>
      </c>
      <c r="S24" s="132">
        <f t="shared" si="11"/>
        <v>1100</v>
      </c>
      <c r="T24" s="132">
        <f t="shared" si="11"/>
        <v>1100</v>
      </c>
      <c r="U24" s="132">
        <f t="shared" si="11"/>
        <v>1100</v>
      </c>
      <c r="V24" s="132">
        <f t="shared" si="11"/>
        <v>1100</v>
      </c>
      <c r="W24" s="132">
        <f t="shared" si="11"/>
        <v>1100</v>
      </c>
      <c r="X24" s="132">
        <f t="shared" si="11"/>
        <v>1100</v>
      </c>
      <c r="Y24" s="132">
        <f t="shared" si="11"/>
        <v>1100</v>
      </c>
      <c r="Z24" s="132">
        <f t="shared" si="11"/>
        <v>1100</v>
      </c>
      <c r="AA24" s="132">
        <f t="shared" si="11"/>
        <v>1100</v>
      </c>
      <c r="AB24" s="132">
        <f t="shared" si="11"/>
        <v>1100</v>
      </c>
      <c r="AC24" s="132">
        <f>($G24/30)*5</f>
        <v>5500</v>
      </c>
      <c r="AD24" s="37"/>
      <c r="AE24" s="60"/>
    </row>
    <row r="25" spans="2:31" s="68" customFormat="1" outlineLevel="1" x14ac:dyDescent="0.2">
      <c r="B25" s="22"/>
      <c r="C25" s="42">
        <v>2.04</v>
      </c>
      <c r="D25" s="79" t="s">
        <v>62</v>
      </c>
      <c r="E25" s="128">
        <f>SUM(123000)</f>
        <v>123000</v>
      </c>
      <c r="F25" s="129"/>
      <c r="G25" s="130">
        <f t="shared" si="10"/>
        <v>123000</v>
      </c>
      <c r="H25" s="133">
        <f>($G25/22)*1</f>
        <v>5590.909090909091</v>
      </c>
      <c r="I25" s="132">
        <f>($G25/22)*1</f>
        <v>5590.909090909091</v>
      </c>
      <c r="J25" s="132">
        <f t="shared" ref="J25:AC26" si="12">($G25/22)*1</f>
        <v>5590.909090909091</v>
      </c>
      <c r="K25" s="132">
        <f t="shared" si="12"/>
        <v>5590.909090909091</v>
      </c>
      <c r="L25" s="132">
        <f t="shared" si="12"/>
        <v>5590.909090909091</v>
      </c>
      <c r="M25" s="132">
        <f t="shared" si="12"/>
        <v>5590.909090909091</v>
      </c>
      <c r="N25" s="132">
        <f t="shared" si="12"/>
        <v>5590.909090909091</v>
      </c>
      <c r="O25" s="132">
        <f t="shared" si="12"/>
        <v>5590.909090909091</v>
      </c>
      <c r="P25" s="132">
        <f t="shared" si="12"/>
        <v>5590.909090909091</v>
      </c>
      <c r="Q25" s="132">
        <f t="shared" si="12"/>
        <v>5590.909090909091</v>
      </c>
      <c r="R25" s="132">
        <f t="shared" si="12"/>
        <v>5590.909090909091</v>
      </c>
      <c r="S25" s="132">
        <f t="shared" si="12"/>
        <v>5590.909090909091</v>
      </c>
      <c r="T25" s="132">
        <f t="shared" si="12"/>
        <v>5590.909090909091</v>
      </c>
      <c r="U25" s="132">
        <f t="shared" si="12"/>
        <v>5590.909090909091</v>
      </c>
      <c r="V25" s="132">
        <f t="shared" si="12"/>
        <v>5590.909090909091</v>
      </c>
      <c r="W25" s="132">
        <f t="shared" si="12"/>
        <v>5590.909090909091</v>
      </c>
      <c r="X25" s="132">
        <f t="shared" si="12"/>
        <v>5590.909090909091</v>
      </c>
      <c r="Y25" s="132">
        <f t="shared" si="12"/>
        <v>5590.909090909091</v>
      </c>
      <c r="Z25" s="132">
        <f t="shared" si="12"/>
        <v>5590.909090909091</v>
      </c>
      <c r="AA25" s="132">
        <f t="shared" si="12"/>
        <v>5590.909090909091</v>
      </c>
      <c r="AB25" s="132">
        <f t="shared" si="12"/>
        <v>5590.909090909091</v>
      </c>
      <c r="AC25" s="132">
        <f t="shared" si="12"/>
        <v>5590.909090909091</v>
      </c>
      <c r="AD25" s="37"/>
      <c r="AE25" s="70"/>
    </row>
    <row r="26" spans="2:31" s="23" customFormat="1" outlineLevel="1" x14ac:dyDescent="0.2">
      <c r="C26" s="42">
        <v>2.0499999999999998</v>
      </c>
      <c r="D26" s="79" t="s">
        <v>63</v>
      </c>
      <c r="E26" s="128">
        <f>SUM(82000,9000,9000)</f>
        <v>100000</v>
      </c>
      <c r="F26" s="129"/>
      <c r="G26" s="130">
        <f t="shared" si="10"/>
        <v>100000</v>
      </c>
      <c r="H26" s="133">
        <f>($G26/22)*1</f>
        <v>4545.454545454545</v>
      </c>
      <c r="I26" s="132">
        <f>($G26/22)*1</f>
        <v>4545.454545454545</v>
      </c>
      <c r="J26" s="132">
        <f t="shared" si="12"/>
        <v>4545.454545454545</v>
      </c>
      <c r="K26" s="132">
        <f t="shared" si="12"/>
        <v>4545.454545454545</v>
      </c>
      <c r="L26" s="132">
        <f t="shared" si="12"/>
        <v>4545.454545454545</v>
      </c>
      <c r="M26" s="132">
        <f t="shared" si="12"/>
        <v>4545.454545454545</v>
      </c>
      <c r="N26" s="132">
        <f t="shared" si="12"/>
        <v>4545.454545454545</v>
      </c>
      <c r="O26" s="132">
        <f t="shared" si="12"/>
        <v>4545.454545454545</v>
      </c>
      <c r="P26" s="132">
        <f t="shared" si="12"/>
        <v>4545.454545454545</v>
      </c>
      <c r="Q26" s="132">
        <f t="shared" si="12"/>
        <v>4545.454545454545</v>
      </c>
      <c r="R26" s="132">
        <f t="shared" si="12"/>
        <v>4545.454545454545</v>
      </c>
      <c r="S26" s="132">
        <f t="shared" si="12"/>
        <v>4545.454545454545</v>
      </c>
      <c r="T26" s="132">
        <f t="shared" si="12"/>
        <v>4545.454545454545</v>
      </c>
      <c r="U26" s="132">
        <f t="shared" si="12"/>
        <v>4545.454545454545</v>
      </c>
      <c r="V26" s="132">
        <f t="shared" si="12"/>
        <v>4545.454545454545</v>
      </c>
      <c r="W26" s="132">
        <f t="shared" si="12"/>
        <v>4545.454545454545</v>
      </c>
      <c r="X26" s="132">
        <f t="shared" si="12"/>
        <v>4545.454545454545</v>
      </c>
      <c r="Y26" s="132">
        <f t="shared" si="12"/>
        <v>4545.454545454545</v>
      </c>
      <c r="Z26" s="132">
        <f t="shared" si="12"/>
        <v>4545.454545454545</v>
      </c>
      <c r="AA26" s="132">
        <f t="shared" si="12"/>
        <v>4545.454545454545</v>
      </c>
      <c r="AB26" s="132">
        <f t="shared" si="12"/>
        <v>4545.454545454545</v>
      </c>
      <c r="AC26" s="132">
        <f t="shared" si="12"/>
        <v>4545.454545454545</v>
      </c>
      <c r="AD26" s="37"/>
      <c r="AE26" s="27"/>
    </row>
    <row r="27" spans="2:31" s="23" customFormat="1" outlineLevel="1" x14ac:dyDescent="0.2">
      <c r="C27" s="42">
        <v>2.06</v>
      </c>
      <c r="D27" s="79" t="s">
        <v>64</v>
      </c>
      <c r="E27" s="128">
        <f>SUM(9000,15000)</f>
        <v>24000</v>
      </c>
      <c r="F27" s="129"/>
      <c r="G27" s="130">
        <f t="shared" si="10"/>
        <v>24000</v>
      </c>
      <c r="H27" s="133">
        <f>($G27/22)*1</f>
        <v>1090.909090909091</v>
      </c>
      <c r="I27" s="132">
        <f>($G27/22)*1</f>
        <v>1090.909090909091</v>
      </c>
      <c r="J27" s="132">
        <f t="shared" ref="J27:AC27" si="13">($G27/22)*1</f>
        <v>1090.909090909091</v>
      </c>
      <c r="K27" s="132">
        <f t="shared" si="13"/>
        <v>1090.909090909091</v>
      </c>
      <c r="L27" s="132">
        <f t="shared" si="13"/>
        <v>1090.909090909091</v>
      </c>
      <c r="M27" s="132">
        <f t="shared" si="13"/>
        <v>1090.909090909091</v>
      </c>
      <c r="N27" s="132">
        <f t="shared" si="13"/>
        <v>1090.909090909091</v>
      </c>
      <c r="O27" s="132">
        <f t="shared" si="13"/>
        <v>1090.909090909091</v>
      </c>
      <c r="P27" s="132">
        <f t="shared" si="13"/>
        <v>1090.909090909091</v>
      </c>
      <c r="Q27" s="132">
        <f t="shared" si="13"/>
        <v>1090.909090909091</v>
      </c>
      <c r="R27" s="132">
        <f t="shared" si="13"/>
        <v>1090.909090909091</v>
      </c>
      <c r="S27" s="132">
        <f t="shared" si="13"/>
        <v>1090.909090909091</v>
      </c>
      <c r="T27" s="132">
        <f t="shared" si="13"/>
        <v>1090.909090909091</v>
      </c>
      <c r="U27" s="132">
        <f t="shared" si="13"/>
        <v>1090.909090909091</v>
      </c>
      <c r="V27" s="132">
        <f t="shared" si="13"/>
        <v>1090.909090909091</v>
      </c>
      <c r="W27" s="132">
        <f t="shared" si="13"/>
        <v>1090.909090909091</v>
      </c>
      <c r="X27" s="132">
        <f t="shared" si="13"/>
        <v>1090.909090909091</v>
      </c>
      <c r="Y27" s="132">
        <f t="shared" si="13"/>
        <v>1090.909090909091</v>
      </c>
      <c r="Z27" s="132">
        <f t="shared" si="13"/>
        <v>1090.909090909091</v>
      </c>
      <c r="AA27" s="132">
        <f t="shared" si="13"/>
        <v>1090.909090909091</v>
      </c>
      <c r="AB27" s="132">
        <f t="shared" si="13"/>
        <v>1090.909090909091</v>
      </c>
      <c r="AC27" s="132">
        <f t="shared" si="13"/>
        <v>1090.909090909091</v>
      </c>
      <c r="AD27" s="37"/>
      <c r="AE27" s="27"/>
    </row>
    <row r="28" spans="2:31" s="23" customFormat="1" ht="22.5" outlineLevel="1" x14ac:dyDescent="0.2">
      <c r="C28" s="42">
        <v>2.0699999999999998</v>
      </c>
      <c r="D28" s="79" t="s">
        <v>65</v>
      </c>
      <c r="E28" s="128">
        <f>SUM(17000)</f>
        <v>17000</v>
      </c>
      <c r="F28" s="129"/>
      <c r="G28" s="130">
        <f t="shared" si="10"/>
        <v>17000</v>
      </c>
      <c r="H28" s="133">
        <f>($G28/22)*1</f>
        <v>772.72727272727275</v>
      </c>
      <c r="I28" s="132">
        <f>($G28/22)*1</f>
        <v>772.72727272727275</v>
      </c>
      <c r="J28" s="132">
        <f t="shared" ref="J28:AC30" si="14">($G28/22)*1</f>
        <v>772.72727272727275</v>
      </c>
      <c r="K28" s="132">
        <f t="shared" si="14"/>
        <v>772.72727272727275</v>
      </c>
      <c r="L28" s="132">
        <f t="shared" si="14"/>
        <v>772.72727272727275</v>
      </c>
      <c r="M28" s="132">
        <f t="shared" si="14"/>
        <v>772.72727272727275</v>
      </c>
      <c r="N28" s="132">
        <f t="shared" si="14"/>
        <v>772.72727272727275</v>
      </c>
      <c r="O28" s="132">
        <f t="shared" si="14"/>
        <v>772.72727272727275</v>
      </c>
      <c r="P28" s="132">
        <f t="shared" si="14"/>
        <v>772.72727272727275</v>
      </c>
      <c r="Q28" s="132">
        <f t="shared" si="14"/>
        <v>772.72727272727275</v>
      </c>
      <c r="R28" s="132">
        <f t="shared" si="14"/>
        <v>772.72727272727275</v>
      </c>
      <c r="S28" s="132">
        <f t="shared" si="14"/>
        <v>772.72727272727275</v>
      </c>
      <c r="T28" s="132">
        <f t="shared" si="14"/>
        <v>772.72727272727275</v>
      </c>
      <c r="U28" s="132">
        <f t="shared" si="14"/>
        <v>772.72727272727275</v>
      </c>
      <c r="V28" s="132">
        <f t="shared" si="14"/>
        <v>772.72727272727275</v>
      </c>
      <c r="W28" s="132">
        <f t="shared" si="14"/>
        <v>772.72727272727275</v>
      </c>
      <c r="X28" s="132">
        <f t="shared" si="14"/>
        <v>772.72727272727275</v>
      </c>
      <c r="Y28" s="132">
        <f t="shared" si="14"/>
        <v>772.72727272727275</v>
      </c>
      <c r="Z28" s="132">
        <f t="shared" si="14"/>
        <v>772.72727272727275</v>
      </c>
      <c r="AA28" s="132">
        <f t="shared" si="14"/>
        <v>772.72727272727275</v>
      </c>
      <c r="AB28" s="132">
        <f t="shared" si="14"/>
        <v>772.72727272727275</v>
      </c>
      <c r="AC28" s="132">
        <f t="shared" si="14"/>
        <v>772.72727272727275</v>
      </c>
      <c r="AD28" s="37"/>
      <c r="AE28" s="60"/>
    </row>
    <row r="29" spans="2:31" s="72" customFormat="1" outlineLevel="1" x14ac:dyDescent="0.2">
      <c r="B29" s="22"/>
      <c r="C29" s="42">
        <v>2.08</v>
      </c>
      <c r="D29" s="79" t="s">
        <v>66</v>
      </c>
      <c r="E29" s="128">
        <f>SUM(9000,1000)</f>
        <v>10000</v>
      </c>
      <c r="F29" s="129"/>
      <c r="G29" s="130">
        <f t="shared" si="10"/>
        <v>10000</v>
      </c>
      <c r="H29" s="133"/>
      <c r="I29" s="132"/>
      <c r="J29" s="132"/>
      <c r="K29" s="132"/>
      <c r="L29" s="132"/>
      <c r="M29" s="132"/>
      <c r="N29" s="132"/>
      <c r="O29" s="132"/>
      <c r="P29" s="132"/>
      <c r="Q29" s="132"/>
      <c r="R29" s="132"/>
      <c r="S29" s="132">
        <f>($G29/10)*1</f>
        <v>1000</v>
      </c>
      <c r="T29" s="132">
        <f t="shared" ref="T29:AB29" si="15">($G29/10)*1</f>
        <v>1000</v>
      </c>
      <c r="U29" s="132">
        <f t="shared" si="15"/>
        <v>1000</v>
      </c>
      <c r="V29" s="132">
        <f t="shared" si="15"/>
        <v>1000</v>
      </c>
      <c r="W29" s="132">
        <f t="shared" si="15"/>
        <v>1000</v>
      </c>
      <c r="X29" s="132">
        <f t="shared" si="15"/>
        <v>1000</v>
      </c>
      <c r="Y29" s="132">
        <f t="shared" si="15"/>
        <v>1000</v>
      </c>
      <c r="Z29" s="132">
        <f t="shared" si="15"/>
        <v>1000</v>
      </c>
      <c r="AA29" s="132">
        <f t="shared" si="15"/>
        <v>1000</v>
      </c>
      <c r="AB29" s="132">
        <f t="shared" si="15"/>
        <v>1000</v>
      </c>
      <c r="AC29" s="132"/>
      <c r="AD29" s="37"/>
      <c r="AE29" s="70"/>
    </row>
    <row r="30" spans="2:31" s="23" customFormat="1" outlineLevel="1" x14ac:dyDescent="0.2">
      <c r="C30" s="42">
        <v>2.09</v>
      </c>
      <c r="D30" s="79" t="s">
        <v>67</v>
      </c>
      <c r="E30" s="128">
        <f>SUM(164000,17000,204000)</f>
        <v>385000</v>
      </c>
      <c r="F30" s="129"/>
      <c r="G30" s="130">
        <f t="shared" si="10"/>
        <v>385000</v>
      </c>
      <c r="H30" s="133">
        <f>($G30/22)*1</f>
        <v>17500</v>
      </c>
      <c r="I30" s="132">
        <f>($G30/22)*1</f>
        <v>17500</v>
      </c>
      <c r="J30" s="132">
        <f t="shared" si="14"/>
        <v>17500</v>
      </c>
      <c r="K30" s="132">
        <f t="shared" si="14"/>
        <v>17500</v>
      </c>
      <c r="L30" s="132">
        <f t="shared" si="14"/>
        <v>17500</v>
      </c>
      <c r="M30" s="132">
        <f t="shared" si="14"/>
        <v>17500</v>
      </c>
      <c r="N30" s="132">
        <f t="shared" si="14"/>
        <v>17500</v>
      </c>
      <c r="O30" s="132">
        <f t="shared" si="14"/>
        <v>17500</v>
      </c>
      <c r="P30" s="132">
        <f t="shared" si="14"/>
        <v>17500</v>
      </c>
      <c r="Q30" s="132">
        <f t="shared" si="14"/>
        <v>17500</v>
      </c>
      <c r="R30" s="132">
        <f t="shared" si="14"/>
        <v>17500</v>
      </c>
      <c r="S30" s="132">
        <f t="shared" si="14"/>
        <v>17500</v>
      </c>
      <c r="T30" s="132">
        <f t="shared" si="14"/>
        <v>17500</v>
      </c>
      <c r="U30" s="132">
        <f t="shared" si="14"/>
        <v>17500</v>
      </c>
      <c r="V30" s="132">
        <f t="shared" si="14"/>
        <v>17500</v>
      </c>
      <c r="W30" s="132">
        <f t="shared" si="14"/>
        <v>17500</v>
      </c>
      <c r="X30" s="132">
        <f t="shared" si="14"/>
        <v>17500</v>
      </c>
      <c r="Y30" s="132">
        <f t="shared" si="14"/>
        <v>17500</v>
      </c>
      <c r="Z30" s="132">
        <f t="shared" si="14"/>
        <v>17500</v>
      </c>
      <c r="AA30" s="132">
        <f t="shared" si="14"/>
        <v>17500</v>
      </c>
      <c r="AB30" s="132">
        <f t="shared" si="14"/>
        <v>17500</v>
      </c>
      <c r="AC30" s="132">
        <f t="shared" si="14"/>
        <v>17500</v>
      </c>
      <c r="AD30" s="37"/>
      <c r="AE30" s="27"/>
    </row>
    <row r="31" spans="2:31" s="23" customFormat="1" outlineLevel="1" x14ac:dyDescent="0.2">
      <c r="C31" s="42">
        <v>2.1</v>
      </c>
      <c r="D31" s="79" t="s">
        <v>68</v>
      </c>
      <c r="E31" s="128">
        <f>SUM(10000,62000,82000,13000)</f>
        <v>167000</v>
      </c>
      <c r="F31" s="129"/>
      <c r="G31" s="130">
        <f t="shared" si="10"/>
        <v>167000</v>
      </c>
      <c r="H31" s="133">
        <f>((10000)*1)+(((13000)/22)*1)</f>
        <v>10590.90909090909</v>
      </c>
      <c r="I31" s="132">
        <f>((13000)/22)*1</f>
        <v>590.90909090909088</v>
      </c>
      <c r="J31" s="132">
        <f t="shared" ref="J31:S31" si="16">((13000)/22)*1</f>
        <v>590.90909090909088</v>
      </c>
      <c r="K31" s="132">
        <f t="shared" si="16"/>
        <v>590.90909090909088</v>
      </c>
      <c r="L31" s="132">
        <f t="shared" si="16"/>
        <v>590.90909090909088</v>
      </c>
      <c r="M31" s="132">
        <f t="shared" si="16"/>
        <v>590.90909090909088</v>
      </c>
      <c r="N31" s="132">
        <f t="shared" si="16"/>
        <v>590.90909090909088</v>
      </c>
      <c r="O31" s="132">
        <f t="shared" si="16"/>
        <v>590.90909090909088</v>
      </c>
      <c r="P31" s="132">
        <f t="shared" si="16"/>
        <v>590.90909090909088</v>
      </c>
      <c r="Q31" s="132">
        <f t="shared" si="16"/>
        <v>590.90909090909088</v>
      </c>
      <c r="R31" s="132">
        <f t="shared" si="16"/>
        <v>590.90909090909088</v>
      </c>
      <c r="S31" s="132">
        <f t="shared" si="16"/>
        <v>590.90909090909088</v>
      </c>
      <c r="T31" s="134">
        <f>(SUM(62000,82000)/9)*2+(((13000)/22)*1)</f>
        <v>32590.909090909092</v>
      </c>
      <c r="U31" s="134">
        <f>(SUM(62000,82000)/9)*2+(((13000)/22)*1)</f>
        <v>32590.909090909092</v>
      </c>
      <c r="V31" s="134">
        <f>(SUM(62000,82000)/9)*2+(((13000)/22)*1)</f>
        <v>32590.909090909092</v>
      </c>
      <c r="W31" s="134">
        <f>(SUM(62000,82000)/9)*2+(((13000)/22)*1)</f>
        <v>32590.909090909092</v>
      </c>
      <c r="X31" s="134">
        <f>(SUM(62000,82000)/9)*1+(((13000)/22)*1)</f>
        <v>16590.909090909092</v>
      </c>
      <c r="Y31" s="132">
        <f t="shared" ref="Y31:AC31" si="17">((13000)/22)*1</f>
        <v>590.90909090909088</v>
      </c>
      <c r="Z31" s="132">
        <f t="shared" si="17"/>
        <v>590.90909090909088</v>
      </c>
      <c r="AA31" s="132">
        <f t="shared" si="17"/>
        <v>590.90909090909088</v>
      </c>
      <c r="AB31" s="132">
        <f t="shared" si="17"/>
        <v>590.90909090909088</v>
      </c>
      <c r="AC31" s="132">
        <f t="shared" si="17"/>
        <v>590.90909090909088</v>
      </c>
      <c r="AD31" s="37"/>
      <c r="AE31" s="27"/>
    </row>
    <row r="32" spans="2:31" s="72" customFormat="1" outlineLevel="1" x14ac:dyDescent="0.2">
      <c r="B32" s="22"/>
      <c r="C32" s="42">
        <v>2.11</v>
      </c>
      <c r="D32" s="79" t="s">
        <v>69</v>
      </c>
      <c r="E32" s="128">
        <f>SUM(5000,21000)</f>
        <v>26000</v>
      </c>
      <c r="F32" s="129"/>
      <c r="G32" s="130">
        <f t="shared" si="10"/>
        <v>26000</v>
      </c>
      <c r="H32" s="133"/>
      <c r="I32" s="132">
        <f>(5000)*1</f>
        <v>5000</v>
      </c>
      <c r="J32" s="132"/>
      <c r="K32" s="132"/>
      <c r="L32" s="132"/>
      <c r="M32" s="132"/>
      <c r="N32" s="132"/>
      <c r="O32" s="132"/>
      <c r="P32" s="132"/>
      <c r="Q32" s="132"/>
      <c r="R32" s="132"/>
      <c r="S32" s="132">
        <f t="shared" ref="S32:AA32" si="18">(21000/10)*1</f>
        <v>2100</v>
      </c>
      <c r="T32" s="132">
        <f t="shared" si="18"/>
        <v>2100</v>
      </c>
      <c r="U32" s="132">
        <f t="shared" si="18"/>
        <v>2100</v>
      </c>
      <c r="V32" s="132">
        <f t="shared" si="18"/>
        <v>2100</v>
      </c>
      <c r="W32" s="132">
        <f t="shared" si="18"/>
        <v>2100</v>
      </c>
      <c r="X32" s="132">
        <f t="shared" si="18"/>
        <v>2100</v>
      </c>
      <c r="Y32" s="132">
        <f t="shared" si="18"/>
        <v>2100</v>
      </c>
      <c r="Z32" s="132">
        <f t="shared" si="18"/>
        <v>2100</v>
      </c>
      <c r="AA32" s="132">
        <f t="shared" si="18"/>
        <v>2100</v>
      </c>
      <c r="AB32" s="132">
        <f>(21000/10)*1</f>
        <v>2100</v>
      </c>
      <c r="AC32" s="132"/>
      <c r="AD32" s="37"/>
      <c r="AE32" s="70"/>
    </row>
    <row r="33" spans="2:31" s="23" customFormat="1" ht="22.5" outlineLevel="1" x14ac:dyDescent="0.2">
      <c r="C33" s="42">
        <v>2.12</v>
      </c>
      <c r="D33" s="79" t="s">
        <v>70</v>
      </c>
      <c r="E33" s="128">
        <f>SUM(13000)</f>
        <v>13000</v>
      </c>
      <c r="F33" s="129"/>
      <c r="G33" s="130">
        <f t="shared" si="10"/>
        <v>13000</v>
      </c>
      <c r="H33" s="133"/>
      <c r="I33" s="132"/>
      <c r="J33" s="132"/>
      <c r="K33" s="132"/>
      <c r="L33" s="132">
        <f>($G33/5)*1</f>
        <v>2600</v>
      </c>
      <c r="M33" s="132"/>
      <c r="N33" s="132"/>
      <c r="O33" s="132"/>
      <c r="P33" s="132"/>
      <c r="Q33" s="132"/>
      <c r="R33" s="132">
        <f>($G33/5)*4</f>
        <v>10400</v>
      </c>
      <c r="S33" s="132"/>
      <c r="T33" s="132"/>
      <c r="U33" s="132"/>
      <c r="V33" s="132"/>
      <c r="W33" s="132"/>
      <c r="X33" s="132"/>
      <c r="Y33" s="132"/>
      <c r="Z33" s="132"/>
      <c r="AA33" s="132"/>
      <c r="AB33" s="132"/>
      <c r="AC33" s="132"/>
      <c r="AD33" s="37"/>
      <c r="AE33" s="27"/>
    </row>
    <row r="34" spans="2:31" s="23" customFormat="1" outlineLevel="1" x14ac:dyDescent="0.2">
      <c r="C34" s="42">
        <v>2.13</v>
      </c>
      <c r="D34" s="79" t="s">
        <v>71</v>
      </c>
      <c r="E34" s="128">
        <f>SUM(816000)</f>
        <v>816000</v>
      </c>
      <c r="F34" s="129"/>
      <c r="G34" s="130">
        <f t="shared" si="10"/>
        <v>816000</v>
      </c>
      <c r="H34" s="133">
        <f>($G34/22)*1</f>
        <v>37090.909090909088</v>
      </c>
      <c r="I34" s="132">
        <f>($G34/22)*1</f>
        <v>37090.909090909088</v>
      </c>
      <c r="J34" s="132">
        <f t="shared" ref="J34:AC34" si="19">($G34/22)*1</f>
        <v>37090.909090909088</v>
      </c>
      <c r="K34" s="132">
        <f t="shared" si="19"/>
        <v>37090.909090909088</v>
      </c>
      <c r="L34" s="132">
        <f t="shared" si="19"/>
        <v>37090.909090909088</v>
      </c>
      <c r="M34" s="132">
        <f t="shared" si="19"/>
        <v>37090.909090909088</v>
      </c>
      <c r="N34" s="132">
        <f t="shared" si="19"/>
        <v>37090.909090909088</v>
      </c>
      <c r="O34" s="132">
        <f t="shared" si="19"/>
        <v>37090.909090909088</v>
      </c>
      <c r="P34" s="132">
        <f t="shared" si="19"/>
        <v>37090.909090909088</v>
      </c>
      <c r="Q34" s="132">
        <f t="shared" si="19"/>
        <v>37090.909090909088</v>
      </c>
      <c r="R34" s="132">
        <f t="shared" si="19"/>
        <v>37090.909090909088</v>
      </c>
      <c r="S34" s="132">
        <f t="shared" si="19"/>
        <v>37090.909090909088</v>
      </c>
      <c r="T34" s="132">
        <f t="shared" si="19"/>
        <v>37090.909090909088</v>
      </c>
      <c r="U34" s="132">
        <f t="shared" si="19"/>
        <v>37090.909090909088</v>
      </c>
      <c r="V34" s="132">
        <f t="shared" si="19"/>
        <v>37090.909090909088</v>
      </c>
      <c r="W34" s="132">
        <f t="shared" si="19"/>
        <v>37090.909090909088</v>
      </c>
      <c r="X34" s="132">
        <f t="shared" si="19"/>
        <v>37090.909090909088</v>
      </c>
      <c r="Y34" s="132">
        <f t="shared" si="19"/>
        <v>37090.909090909088</v>
      </c>
      <c r="Z34" s="132">
        <f t="shared" si="19"/>
        <v>37090.909090909088</v>
      </c>
      <c r="AA34" s="132">
        <f t="shared" si="19"/>
        <v>37090.909090909088</v>
      </c>
      <c r="AB34" s="132">
        <f t="shared" si="19"/>
        <v>37090.909090909088</v>
      </c>
      <c r="AC34" s="132">
        <f t="shared" si="19"/>
        <v>37090.909090909088</v>
      </c>
      <c r="AD34" s="37"/>
      <c r="AE34" s="27"/>
    </row>
    <row r="35" spans="2:31" s="23" customFormat="1" outlineLevel="1" x14ac:dyDescent="0.2">
      <c r="C35" s="42"/>
      <c r="D35" s="79"/>
      <c r="E35" s="128"/>
      <c r="F35" s="129"/>
      <c r="G35" s="130">
        <f t="shared" ref="G35" si="20">F35+E35</f>
        <v>0</v>
      </c>
      <c r="H35" s="133"/>
      <c r="I35" s="132"/>
      <c r="J35" s="132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132"/>
      <c r="AC35" s="132"/>
      <c r="AD35" s="37"/>
      <c r="AE35" s="60"/>
    </row>
    <row r="36" spans="2:31" s="68" customFormat="1" outlineLevel="1" x14ac:dyDescent="0.2">
      <c r="B36" s="22"/>
      <c r="C36" s="69">
        <v>3</v>
      </c>
      <c r="D36" s="47" t="s">
        <v>17</v>
      </c>
      <c r="E36" s="124">
        <f>SUM(E37:E39)</f>
        <v>407548.9</v>
      </c>
      <c r="F36" s="124">
        <f t="shared" ref="F36:AC36" si="21">SUM(F37:F39)</f>
        <v>0</v>
      </c>
      <c r="G36" s="125">
        <f t="shared" si="21"/>
        <v>407548.9</v>
      </c>
      <c r="H36" s="126">
        <f t="shared" si="21"/>
        <v>0</v>
      </c>
      <c r="I36" s="127">
        <f t="shared" si="21"/>
        <v>0</v>
      </c>
      <c r="J36" s="127">
        <f t="shared" si="21"/>
        <v>0</v>
      </c>
      <c r="K36" s="127">
        <f t="shared" si="21"/>
        <v>0</v>
      </c>
      <c r="L36" s="127">
        <f t="shared" si="21"/>
        <v>0</v>
      </c>
      <c r="M36" s="127">
        <f t="shared" si="21"/>
        <v>0</v>
      </c>
      <c r="N36" s="127">
        <f t="shared" si="21"/>
        <v>0</v>
      </c>
      <c r="O36" s="127">
        <f t="shared" si="21"/>
        <v>0</v>
      </c>
      <c r="P36" s="127">
        <f t="shared" si="21"/>
        <v>0</v>
      </c>
      <c r="Q36" s="127">
        <f t="shared" si="21"/>
        <v>0</v>
      </c>
      <c r="R36" s="127">
        <f t="shared" si="21"/>
        <v>0</v>
      </c>
      <c r="S36" s="127">
        <f t="shared" ref="S36" si="22">SUM(S37:S39)</f>
        <v>203774.45</v>
      </c>
      <c r="T36" s="127">
        <f t="shared" ref="T36" si="23">SUM(T37:T39)</f>
        <v>203774.45</v>
      </c>
      <c r="U36" s="127">
        <f t="shared" ref="U36" si="24">SUM(U37:U39)</f>
        <v>0</v>
      </c>
      <c r="V36" s="127">
        <f t="shared" ref="V36" si="25">SUM(V37:V39)</f>
        <v>0</v>
      </c>
      <c r="W36" s="127">
        <f t="shared" ref="W36" si="26">SUM(W37:W39)</f>
        <v>0</v>
      </c>
      <c r="X36" s="127">
        <f t="shared" ref="X36" si="27">SUM(X37:X39)</f>
        <v>0</v>
      </c>
      <c r="Y36" s="127">
        <f t="shared" ref="Y36" si="28">SUM(Y37:Y39)</f>
        <v>0</v>
      </c>
      <c r="Z36" s="127">
        <f t="shared" ref="Z36" si="29">SUM(Z37:Z39)</f>
        <v>0</v>
      </c>
      <c r="AA36" s="127">
        <f t="shared" ref="AA36" si="30">SUM(AA37:AA39)</f>
        <v>0</v>
      </c>
      <c r="AB36" s="127">
        <f t="shared" ref="AB36" si="31">SUM(AB37:AB39)</f>
        <v>0</v>
      </c>
      <c r="AC36" s="127">
        <f t="shared" si="21"/>
        <v>0</v>
      </c>
      <c r="AD36" s="71"/>
      <c r="AE36" s="70"/>
    </row>
    <row r="37" spans="2:31" s="23" customFormat="1" outlineLevel="1" x14ac:dyDescent="0.2">
      <c r="C37" s="42"/>
      <c r="D37" s="77"/>
      <c r="E37" s="128"/>
      <c r="F37" s="129"/>
      <c r="G37" s="130">
        <f t="shared" ref="G37:G38" si="32">F37+E37</f>
        <v>0</v>
      </c>
      <c r="H37" s="131"/>
      <c r="I37" s="132"/>
      <c r="J37" s="132"/>
      <c r="K37" s="132"/>
      <c r="L37" s="132"/>
      <c r="M37" s="132"/>
      <c r="N37" s="132"/>
      <c r="O37" s="132"/>
      <c r="P37" s="132"/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132"/>
      <c r="AC37" s="132"/>
      <c r="AD37" s="37"/>
      <c r="AE37" s="27"/>
    </row>
    <row r="38" spans="2:31" s="23" customFormat="1" outlineLevel="1" x14ac:dyDescent="0.2">
      <c r="C38" s="42">
        <v>3.01</v>
      </c>
      <c r="D38" s="77" t="s">
        <v>24</v>
      </c>
      <c r="E38" s="128">
        <f>SUM(33000,7161,26400,158400,10890,2600.4,48840,9460,71610,39187.5)</f>
        <v>407548.9</v>
      </c>
      <c r="F38" s="129"/>
      <c r="G38" s="130">
        <f t="shared" si="32"/>
        <v>407548.9</v>
      </c>
      <c r="H38" s="131"/>
      <c r="I38" s="132"/>
      <c r="J38" s="132"/>
      <c r="K38" s="132"/>
      <c r="L38" s="132"/>
      <c r="M38" s="132"/>
      <c r="N38" s="132"/>
      <c r="O38" s="132"/>
      <c r="P38" s="132"/>
      <c r="Q38" s="132"/>
      <c r="R38" s="132"/>
      <c r="S38" s="134">
        <f>($G38/2)*1</f>
        <v>203774.45</v>
      </c>
      <c r="T38" s="134">
        <f>($G38/2)*1</f>
        <v>203774.45</v>
      </c>
      <c r="U38" s="132"/>
      <c r="V38" s="132"/>
      <c r="W38" s="132"/>
      <c r="X38" s="132"/>
      <c r="Y38" s="132"/>
      <c r="Z38" s="132"/>
      <c r="AA38" s="132"/>
      <c r="AB38" s="132"/>
      <c r="AC38" s="132"/>
      <c r="AD38" s="37"/>
      <c r="AE38" s="27"/>
    </row>
    <row r="39" spans="2:31" s="23" customFormat="1" outlineLevel="1" x14ac:dyDescent="0.2">
      <c r="C39" s="42"/>
      <c r="D39" s="78"/>
      <c r="E39" s="128"/>
      <c r="F39" s="129"/>
      <c r="G39" s="130">
        <f t="shared" ref="G39" si="33">F39+E39</f>
        <v>0</v>
      </c>
      <c r="H39" s="133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2"/>
      <c r="T39" s="132"/>
      <c r="U39" s="132"/>
      <c r="V39" s="132"/>
      <c r="W39" s="132"/>
      <c r="X39" s="132"/>
      <c r="Y39" s="132"/>
      <c r="Z39" s="132"/>
      <c r="AA39" s="132"/>
      <c r="AB39" s="132"/>
      <c r="AC39" s="132"/>
      <c r="AD39" s="38"/>
      <c r="AE39" s="60"/>
    </row>
    <row r="40" spans="2:31" s="68" customFormat="1" outlineLevel="1" x14ac:dyDescent="0.2">
      <c r="B40" s="22"/>
      <c r="C40" s="69">
        <v>3</v>
      </c>
      <c r="D40" s="47" t="s">
        <v>18</v>
      </c>
      <c r="E40" s="124">
        <f>SUM(E41:E50)</f>
        <v>3813509.9</v>
      </c>
      <c r="F40" s="124">
        <f t="shared" ref="F40:AD40" si="34">SUM(F41:F50)</f>
        <v>0</v>
      </c>
      <c r="G40" s="125">
        <f t="shared" si="34"/>
        <v>3813509.9</v>
      </c>
      <c r="H40" s="126">
        <f t="shared" si="34"/>
        <v>0</v>
      </c>
      <c r="I40" s="127">
        <f t="shared" si="34"/>
        <v>0</v>
      </c>
      <c r="J40" s="127">
        <f t="shared" si="34"/>
        <v>0</v>
      </c>
      <c r="K40" s="127">
        <f t="shared" si="34"/>
        <v>0</v>
      </c>
      <c r="L40" s="127">
        <f t="shared" si="34"/>
        <v>0</v>
      </c>
      <c r="M40" s="127">
        <f t="shared" si="34"/>
        <v>0</v>
      </c>
      <c r="N40" s="127">
        <f t="shared" si="34"/>
        <v>0</v>
      </c>
      <c r="O40" s="127">
        <f t="shared" si="34"/>
        <v>0</v>
      </c>
      <c r="P40" s="127">
        <f t="shared" si="34"/>
        <v>0</v>
      </c>
      <c r="Q40" s="127">
        <f t="shared" si="34"/>
        <v>0</v>
      </c>
      <c r="R40" s="127">
        <f t="shared" si="34"/>
        <v>0</v>
      </c>
      <c r="S40" s="127">
        <f t="shared" ref="S40" si="35">SUM(S41:S50)</f>
        <v>0</v>
      </c>
      <c r="T40" s="127">
        <f t="shared" ref="T40" si="36">SUM(T41:T50)</f>
        <v>115074.85</v>
      </c>
      <c r="U40" s="127">
        <f t="shared" ref="U40" si="37">SUM(U41:U50)</f>
        <v>625445.83571428573</v>
      </c>
      <c r="V40" s="127">
        <f t="shared" ref="V40" si="38">SUM(V41:V50)</f>
        <v>897934.31571428571</v>
      </c>
      <c r="W40" s="127">
        <f t="shared" ref="W40" si="39">SUM(W41:W50)</f>
        <v>1330416.9157142858</v>
      </c>
      <c r="X40" s="127">
        <f t="shared" ref="X40" si="40">SUM(X41:X50)</f>
        <v>800831.5828571429</v>
      </c>
      <c r="Y40" s="127">
        <f t="shared" ref="Y40" si="41">SUM(Y41:Y50)</f>
        <v>43806.400000000001</v>
      </c>
      <c r="Z40" s="127">
        <f t="shared" ref="Z40" si="42">SUM(Z41:Z50)</f>
        <v>0</v>
      </c>
      <c r="AA40" s="127">
        <f t="shared" ref="AA40" si="43">SUM(AA41:AA50)</f>
        <v>0</v>
      </c>
      <c r="AB40" s="127">
        <f t="shared" ref="AB40" si="44">SUM(AB41:AB50)</f>
        <v>0</v>
      </c>
      <c r="AC40" s="127">
        <f t="shared" si="34"/>
        <v>0</v>
      </c>
      <c r="AD40" s="61">
        <f t="shared" si="34"/>
        <v>0</v>
      </c>
      <c r="AE40" s="70"/>
    </row>
    <row r="41" spans="2:31" s="23" customFormat="1" outlineLevel="1" x14ac:dyDescent="0.2">
      <c r="C41" s="42"/>
      <c r="D41" s="76"/>
      <c r="E41" s="135"/>
      <c r="F41" s="129"/>
      <c r="G41" s="130">
        <f t="shared" ref="G41:G47" si="45">F41+E41</f>
        <v>0</v>
      </c>
      <c r="H41" s="131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37"/>
      <c r="AE41" s="27"/>
    </row>
    <row r="42" spans="2:31" s="23" customFormat="1" outlineLevel="1" x14ac:dyDescent="0.2">
      <c r="C42" s="42">
        <v>3.02</v>
      </c>
      <c r="D42" s="77" t="s">
        <v>25</v>
      </c>
      <c r="E42" s="135">
        <f>SUM(515900,176000,100600.5,145000)</f>
        <v>937500.5</v>
      </c>
      <c r="F42" s="129"/>
      <c r="G42" s="130">
        <f t="shared" si="45"/>
        <v>937500.5</v>
      </c>
      <c r="H42" s="131"/>
      <c r="I42" s="132"/>
      <c r="J42" s="132"/>
      <c r="K42" s="132"/>
      <c r="L42" s="132"/>
      <c r="M42" s="132"/>
      <c r="N42" s="132"/>
      <c r="O42" s="132"/>
      <c r="P42" s="132"/>
      <c r="Q42" s="132"/>
      <c r="R42" s="132"/>
      <c r="S42" s="132"/>
      <c r="T42" s="134"/>
      <c r="U42" s="134">
        <f>($G42/7)*2</f>
        <v>267857.28571428574</v>
      </c>
      <c r="V42" s="134">
        <f>($G42/7)*2</f>
        <v>267857.28571428574</v>
      </c>
      <c r="W42" s="134">
        <f>($G42/7)*2</f>
        <v>267857.28571428574</v>
      </c>
      <c r="X42" s="134">
        <f>($G42/7)*1</f>
        <v>133928.64285714287</v>
      </c>
      <c r="Y42" s="134"/>
      <c r="Z42" s="132"/>
      <c r="AA42" s="132"/>
      <c r="AB42" s="132"/>
      <c r="AC42" s="132"/>
      <c r="AD42" s="37"/>
      <c r="AE42" s="27"/>
    </row>
    <row r="43" spans="2:31" s="23" customFormat="1" outlineLevel="1" x14ac:dyDescent="0.2">
      <c r="C43" s="42">
        <v>3.03</v>
      </c>
      <c r="D43" s="77" t="s">
        <v>26</v>
      </c>
      <c r="E43" s="135">
        <f>SUM(246840)</f>
        <v>246840</v>
      </c>
      <c r="F43" s="129"/>
      <c r="G43" s="130">
        <f>F43+E43</f>
        <v>246840</v>
      </c>
      <c r="H43" s="131"/>
      <c r="I43" s="132"/>
      <c r="J43" s="132"/>
      <c r="K43" s="132"/>
      <c r="L43" s="132"/>
      <c r="M43" s="132"/>
      <c r="N43" s="132"/>
      <c r="O43" s="132"/>
      <c r="P43" s="132"/>
      <c r="Q43" s="132"/>
      <c r="R43" s="132"/>
      <c r="S43" s="132"/>
      <c r="T43" s="134">
        <f>($G43/10)*1</f>
        <v>24684</v>
      </c>
      <c r="U43" s="134">
        <f>($G43/10)*2</f>
        <v>49368</v>
      </c>
      <c r="V43" s="134">
        <f>($G43/10)*3</f>
        <v>74052</v>
      </c>
      <c r="W43" s="134">
        <f>($G43/10)*3</f>
        <v>74052</v>
      </c>
      <c r="X43" s="134">
        <f>($G43/10)*1</f>
        <v>24684</v>
      </c>
      <c r="Y43" s="134"/>
      <c r="Z43" s="132"/>
      <c r="AA43" s="132"/>
      <c r="AB43" s="132"/>
      <c r="AC43" s="132"/>
      <c r="AD43" s="37"/>
      <c r="AE43" s="27"/>
    </row>
    <row r="44" spans="2:31" s="23" customFormat="1" outlineLevel="1" x14ac:dyDescent="0.2">
      <c r="C44" s="42">
        <v>3.04</v>
      </c>
      <c r="D44" s="77" t="s">
        <v>27</v>
      </c>
      <c r="E44" s="135">
        <f>SUM(48433,156354,12650,311850,13358.4)</f>
        <v>542645.4</v>
      </c>
      <c r="F44" s="129"/>
      <c r="G44" s="130">
        <f t="shared" si="45"/>
        <v>542645.4</v>
      </c>
      <c r="H44" s="131"/>
      <c r="I44" s="132"/>
      <c r="J44" s="132"/>
      <c r="K44" s="132"/>
      <c r="L44" s="132"/>
      <c r="M44" s="132"/>
      <c r="N44" s="132"/>
      <c r="O44" s="132"/>
      <c r="P44" s="132"/>
      <c r="Q44" s="132"/>
      <c r="R44" s="132"/>
      <c r="S44" s="132"/>
      <c r="T44" s="134"/>
      <c r="U44" s="134"/>
      <c r="V44" s="134">
        <f>($G44/10)*2</f>
        <v>108529.08</v>
      </c>
      <c r="W44" s="134">
        <f>($G44/10)*7</f>
        <v>379851.78</v>
      </c>
      <c r="X44" s="134">
        <f>($G44/10)*1</f>
        <v>54264.54</v>
      </c>
      <c r="Y44" s="134"/>
      <c r="Z44" s="132"/>
      <c r="AA44" s="132"/>
      <c r="AB44" s="132"/>
      <c r="AC44" s="132"/>
      <c r="AD44" s="37"/>
      <c r="AE44" s="27"/>
    </row>
    <row r="45" spans="2:31" s="23" customFormat="1" outlineLevel="1" x14ac:dyDescent="0.2">
      <c r="C45" s="42">
        <v>3.05</v>
      </c>
      <c r="D45" s="77" t="s">
        <v>28</v>
      </c>
      <c r="E45" s="135">
        <f>SUM(43560,71500,18150,48070,189200)</f>
        <v>370480</v>
      </c>
      <c r="F45" s="129"/>
      <c r="G45" s="130">
        <f t="shared" si="45"/>
        <v>370480</v>
      </c>
      <c r="H45" s="131"/>
      <c r="I45" s="132"/>
      <c r="J45" s="132"/>
      <c r="K45" s="132"/>
      <c r="L45" s="132"/>
      <c r="M45" s="132"/>
      <c r="N45" s="132"/>
      <c r="O45" s="132"/>
      <c r="P45" s="132"/>
      <c r="Q45" s="132"/>
      <c r="R45" s="132"/>
      <c r="S45" s="132"/>
      <c r="T45" s="134">
        <f>($G45/10)*1</f>
        <v>37048</v>
      </c>
      <c r="U45" s="134">
        <f>($G45/10)*4</f>
        <v>148192</v>
      </c>
      <c r="V45" s="134">
        <f>($G45/10)*2</f>
        <v>74096</v>
      </c>
      <c r="W45" s="134">
        <f>($G45/10)*2</f>
        <v>74096</v>
      </c>
      <c r="X45" s="134">
        <f>($G45/10)*1</f>
        <v>37048</v>
      </c>
      <c r="Y45" s="134"/>
      <c r="Z45" s="132"/>
      <c r="AA45" s="132"/>
      <c r="AB45" s="132"/>
      <c r="AC45" s="132"/>
      <c r="AD45" s="37"/>
      <c r="AE45" s="27"/>
    </row>
    <row r="46" spans="2:31" s="23" customFormat="1" outlineLevel="1" x14ac:dyDescent="0.2">
      <c r="C46" s="42">
        <v>3.06</v>
      </c>
      <c r="D46" s="77" t="s">
        <v>29</v>
      </c>
      <c r="E46" s="135">
        <f>SUM(190575,61710,327571.2,69696,145054.8,272250)</f>
        <v>1066857</v>
      </c>
      <c r="F46" s="129"/>
      <c r="G46" s="130">
        <f t="shared" si="45"/>
        <v>1066857</v>
      </c>
      <c r="H46" s="131"/>
      <c r="I46" s="132"/>
      <c r="J46" s="132"/>
      <c r="K46" s="132"/>
      <c r="L46" s="132"/>
      <c r="M46" s="132"/>
      <c r="N46" s="132"/>
      <c r="O46" s="132"/>
      <c r="P46" s="132"/>
      <c r="Q46" s="132"/>
      <c r="R46" s="132"/>
      <c r="S46" s="132"/>
      <c r="T46" s="134">
        <f>($G46/20)*1</f>
        <v>53342.85</v>
      </c>
      <c r="U46" s="134">
        <f>($G46/20)*3</f>
        <v>160028.54999999999</v>
      </c>
      <c r="V46" s="134">
        <f>($G46/20)*7</f>
        <v>373399.95</v>
      </c>
      <c r="W46" s="134">
        <f>($G46/20)*5</f>
        <v>266714.25</v>
      </c>
      <c r="X46" s="134">
        <f>($G46/20)*4</f>
        <v>213371.4</v>
      </c>
      <c r="Y46" s="134"/>
      <c r="Z46" s="132"/>
      <c r="AA46" s="132"/>
      <c r="AB46" s="132"/>
      <c r="AC46" s="132"/>
      <c r="AD46" s="37"/>
      <c r="AE46" s="27"/>
    </row>
    <row r="47" spans="2:31" s="23" customFormat="1" outlineLevel="1" x14ac:dyDescent="0.2">
      <c r="C47" s="42">
        <v>3.07</v>
      </c>
      <c r="D47" s="77" t="s">
        <v>30</v>
      </c>
      <c r="E47" s="135">
        <f>SUM(59400,93500,14025,4180,26400)</f>
        <v>197505</v>
      </c>
      <c r="F47" s="129"/>
      <c r="G47" s="130">
        <f t="shared" si="45"/>
        <v>197505</v>
      </c>
      <c r="H47" s="131"/>
      <c r="I47" s="132"/>
      <c r="J47" s="132"/>
      <c r="K47" s="132"/>
      <c r="L47" s="132"/>
      <c r="M47" s="132"/>
      <c r="N47" s="132"/>
      <c r="O47" s="132"/>
      <c r="P47" s="132"/>
      <c r="Q47" s="132"/>
      <c r="R47" s="132"/>
      <c r="S47" s="132"/>
      <c r="T47" s="134"/>
      <c r="U47" s="134"/>
      <c r="V47" s="134"/>
      <c r="W47" s="134">
        <f>($G47/5)*2</f>
        <v>79002</v>
      </c>
      <c r="X47" s="134">
        <f>($G47/5)*3</f>
        <v>118503</v>
      </c>
      <c r="Y47" s="134"/>
      <c r="Z47" s="132"/>
      <c r="AA47" s="132"/>
      <c r="AB47" s="132"/>
      <c r="AC47" s="132"/>
      <c r="AD47" s="37"/>
      <c r="AE47" s="27"/>
    </row>
    <row r="48" spans="2:31" s="23" customFormat="1" outlineLevel="1" x14ac:dyDescent="0.2">
      <c r="C48" s="42">
        <v>3.08</v>
      </c>
      <c r="D48" s="77" t="s">
        <v>31</v>
      </c>
      <c r="E48" s="135">
        <f>SUM(61776,120879,5104,1980,248325)</f>
        <v>438064</v>
      </c>
      <c r="F48" s="129"/>
      <c r="G48" s="130">
        <f t="shared" ref="G48:G49" si="46">F48+E48</f>
        <v>438064</v>
      </c>
      <c r="H48" s="131"/>
      <c r="I48" s="132"/>
      <c r="J48" s="132"/>
      <c r="K48" s="132"/>
      <c r="L48" s="132"/>
      <c r="M48" s="132"/>
      <c r="N48" s="132"/>
      <c r="O48" s="132"/>
      <c r="P48" s="132"/>
      <c r="Q48" s="132"/>
      <c r="R48" s="132"/>
      <c r="S48" s="132"/>
      <c r="T48" s="134"/>
      <c r="U48" s="134"/>
      <c r="V48" s="134"/>
      <c r="W48" s="134">
        <f>($G48/10)*4</f>
        <v>175225.60000000001</v>
      </c>
      <c r="X48" s="134">
        <f>($G48/10)*5</f>
        <v>219032</v>
      </c>
      <c r="Y48" s="134">
        <f>($G48/10)*1</f>
        <v>43806.400000000001</v>
      </c>
      <c r="Z48" s="132"/>
      <c r="AA48" s="132"/>
      <c r="AB48" s="132"/>
      <c r="AC48" s="132"/>
      <c r="AD48" s="37"/>
      <c r="AE48" s="27"/>
    </row>
    <row r="49" spans="2:31" s="23" customFormat="1" outlineLevel="1" x14ac:dyDescent="0.2">
      <c r="C49" s="42">
        <v>3.09</v>
      </c>
      <c r="D49" s="77" t="s">
        <v>32</v>
      </c>
      <c r="E49" s="135">
        <f>SUM(9086,1265,3267)</f>
        <v>13618</v>
      </c>
      <c r="F49" s="129"/>
      <c r="G49" s="130">
        <f t="shared" si="46"/>
        <v>13618</v>
      </c>
      <c r="H49" s="131"/>
      <c r="I49" s="132"/>
      <c r="J49" s="132"/>
      <c r="K49" s="132"/>
      <c r="L49" s="132"/>
      <c r="M49" s="132"/>
      <c r="N49" s="132"/>
      <c r="O49" s="132"/>
      <c r="P49" s="132"/>
      <c r="Q49" s="132"/>
      <c r="R49" s="132"/>
      <c r="S49" s="132"/>
      <c r="T49" s="134"/>
      <c r="U49" s="134"/>
      <c r="V49" s="134"/>
      <c r="W49" s="134">
        <f>(G49)*1</f>
        <v>13618</v>
      </c>
      <c r="X49" s="134"/>
      <c r="Y49" s="134"/>
      <c r="Z49" s="132"/>
      <c r="AA49" s="132"/>
      <c r="AB49" s="132"/>
      <c r="AC49" s="132"/>
      <c r="AD49" s="37"/>
      <c r="AE49" s="27"/>
    </row>
    <row r="50" spans="2:31" s="23" customFormat="1" outlineLevel="1" x14ac:dyDescent="0.2">
      <c r="C50" s="42"/>
      <c r="D50" s="43"/>
      <c r="E50" s="128"/>
      <c r="F50" s="129"/>
      <c r="G50" s="130">
        <f t="shared" ref="G50:G90" si="47">F50+E50</f>
        <v>0</v>
      </c>
      <c r="H50" s="133"/>
      <c r="I50" s="132"/>
      <c r="J50" s="132"/>
      <c r="K50" s="132"/>
      <c r="L50" s="132"/>
      <c r="M50" s="132"/>
      <c r="N50" s="132"/>
      <c r="O50" s="132"/>
      <c r="P50" s="132"/>
      <c r="Q50" s="132"/>
      <c r="R50" s="132"/>
      <c r="S50" s="132"/>
      <c r="T50" s="132"/>
      <c r="U50" s="132"/>
      <c r="V50" s="132"/>
      <c r="W50" s="132"/>
      <c r="X50" s="132"/>
      <c r="Y50" s="132"/>
      <c r="Z50" s="132"/>
      <c r="AA50" s="132"/>
      <c r="AB50" s="132"/>
      <c r="AC50" s="132"/>
      <c r="AD50" s="38"/>
      <c r="AE50" s="60"/>
    </row>
    <row r="51" spans="2:31" s="68" customFormat="1" outlineLevel="1" x14ac:dyDescent="0.2">
      <c r="B51" s="22"/>
      <c r="C51" s="69">
        <v>4</v>
      </c>
      <c r="D51" s="47" t="s">
        <v>19</v>
      </c>
      <c r="E51" s="124">
        <f>SUM(E52:E56)</f>
        <v>426782.35000000003</v>
      </c>
      <c r="F51" s="124">
        <f>SUM(F52:F56)</f>
        <v>0</v>
      </c>
      <c r="G51" s="125">
        <f>SUM(G52:G56)</f>
        <v>426782.35000000003</v>
      </c>
      <c r="H51" s="126">
        <f>SUM(H52:H56)</f>
        <v>0</v>
      </c>
      <c r="I51" s="127">
        <f>SUM(I52:I56)</f>
        <v>0</v>
      </c>
      <c r="J51" s="127">
        <f>SUM(J52:J56)</f>
        <v>0</v>
      </c>
      <c r="K51" s="127">
        <f>SUM(K52:K56)</f>
        <v>0</v>
      </c>
      <c r="L51" s="127">
        <f>SUM(L52:L56)</f>
        <v>0</v>
      </c>
      <c r="M51" s="127">
        <f>SUM(M52:M56)</f>
        <v>0</v>
      </c>
      <c r="N51" s="127">
        <f>SUM(N52:N56)</f>
        <v>0</v>
      </c>
      <c r="O51" s="127">
        <f>SUM(O52:O56)</f>
        <v>0</v>
      </c>
      <c r="P51" s="127">
        <f>SUM(P52:P56)</f>
        <v>0</v>
      </c>
      <c r="Q51" s="127">
        <f>SUM(Q52:Q56)</f>
        <v>0</v>
      </c>
      <c r="R51" s="127">
        <f>SUM(R52:R56)</f>
        <v>0</v>
      </c>
      <c r="S51" s="127">
        <f>SUM(S52:S56)</f>
        <v>0</v>
      </c>
      <c r="T51" s="127">
        <f>SUM(T52:T56)</f>
        <v>0</v>
      </c>
      <c r="U51" s="127">
        <f>SUM(U52:U56)</f>
        <v>0</v>
      </c>
      <c r="V51" s="127">
        <f>SUM(V52:V56)</f>
        <v>1168.4639999999999</v>
      </c>
      <c r="W51" s="127">
        <f>SUM(W52:W56)</f>
        <v>113880.533</v>
      </c>
      <c r="X51" s="127">
        <f>SUM(X52:X56)</f>
        <v>212806.94299999997</v>
      </c>
      <c r="Y51" s="127">
        <f>SUM(Y52:Y56)</f>
        <v>98926.41</v>
      </c>
      <c r="Z51" s="127">
        <f>SUM(Z52:Z56)</f>
        <v>0</v>
      </c>
      <c r="AA51" s="127">
        <f>SUM(AA52:AA56)</f>
        <v>0</v>
      </c>
      <c r="AB51" s="127">
        <f>SUM(AB52:AB56)</f>
        <v>0</v>
      </c>
      <c r="AC51" s="127">
        <f>SUM(AC52:AC56)</f>
        <v>0</v>
      </c>
      <c r="AD51" s="61">
        <f>SUM(AD52:AD56)</f>
        <v>0</v>
      </c>
      <c r="AE51" s="62"/>
    </row>
    <row r="52" spans="2:31" s="23" customFormat="1" outlineLevel="1" x14ac:dyDescent="0.2">
      <c r="C52" s="42"/>
      <c r="D52" s="77"/>
      <c r="E52" s="135"/>
      <c r="F52" s="129"/>
      <c r="G52" s="130">
        <f t="shared" ref="G52:G54" si="48">F52+E52</f>
        <v>0</v>
      </c>
      <c r="H52" s="131"/>
      <c r="I52" s="132"/>
      <c r="J52" s="132"/>
      <c r="K52" s="132"/>
      <c r="L52" s="132"/>
      <c r="M52" s="132"/>
      <c r="N52" s="132"/>
      <c r="O52" s="132"/>
      <c r="P52" s="132"/>
      <c r="Q52" s="132"/>
      <c r="R52" s="132"/>
      <c r="S52" s="132"/>
      <c r="T52" s="132"/>
      <c r="U52" s="132"/>
      <c r="V52" s="132"/>
      <c r="W52" s="132"/>
      <c r="X52" s="132"/>
      <c r="Y52" s="132"/>
      <c r="Z52" s="132"/>
      <c r="AA52" s="132"/>
      <c r="AB52" s="132"/>
      <c r="AC52" s="132"/>
      <c r="AD52" s="37"/>
      <c r="AE52" s="27"/>
    </row>
    <row r="53" spans="2:31" s="23" customFormat="1" outlineLevel="1" x14ac:dyDescent="0.2">
      <c r="C53" s="42">
        <v>4.01</v>
      </c>
      <c r="D53" s="77" t="s">
        <v>33</v>
      </c>
      <c r="E53" s="135">
        <f>SUM(2762.32,3080)</f>
        <v>5842.32</v>
      </c>
      <c r="F53" s="129"/>
      <c r="G53" s="130">
        <f t="shared" si="48"/>
        <v>5842.32</v>
      </c>
      <c r="H53" s="131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4">
        <f>($G53/5)*1</f>
        <v>1168.4639999999999</v>
      </c>
      <c r="W53" s="134">
        <f>($G53/5)*2</f>
        <v>2336.9279999999999</v>
      </c>
      <c r="X53" s="134">
        <f>($G53/5)*2</f>
        <v>2336.9279999999999</v>
      </c>
      <c r="Y53" s="134"/>
      <c r="Z53" s="132"/>
      <c r="AA53" s="132"/>
      <c r="AB53" s="132"/>
      <c r="AC53" s="132"/>
      <c r="AD53" s="37"/>
      <c r="AE53" s="27"/>
    </row>
    <row r="54" spans="2:31" s="23" customFormat="1" outlineLevel="1" x14ac:dyDescent="0.2">
      <c r="C54" s="42">
        <v>4.0199999999999996</v>
      </c>
      <c r="D54" s="77" t="s">
        <v>34</v>
      </c>
      <c r="E54" s="135">
        <f>SUM(14322,7058.7,288904,9900,9570)</f>
        <v>329754.7</v>
      </c>
      <c r="F54" s="129"/>
      <c r="G54" s="130">
        <f t="shared" si="48"/>
        <v>329754.7</v>
      </c>
      <c r="H54" s="131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4"/>
      <c r="W54" s="134">
        <f>($G54/10)*2</f>
        <v>65950.94</v>
      </c>
      <c r="X54" s="134">
        <f>($G54/10)*5</f>
        <v>164877.35</v>
      </c>
      <c r="Y54" s="134">
        <f>($G54/10)*3</f>
        <v>98926.41</v>
      </c>
      <c r="Z54" s="132"/>
      <c r="AA54" s="132"/>
      <c r="AB54" s="132"/>
      <c r="AC54" s="132"/>
      <c r="AD54" s="37"/>
      <c r="AE54" s="27"/>
    </row>
    <row r="55" spans="2:31" s="23" customFormat="1" outlineLevel="1" x14ac:dyDescent="0.2">
      <c r="C55" s="42">
        <v>4.03</v>
      </c>
      <c r="D55" s="77" t="s">
        <v>35</v>
      </c>
      <c r="E55" s="135">
        <f>SUM(77385,13800.33)</f>
        <v>91185.33</v>
      </c>
      <c r="F55" s="129"/>
      <c r="G55" s="130">
        <f t="shared" ref="G55" si="49">F55+E55</f>
        <v>91185.33</v>
      </c>
      <c r="H55" s="131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4"/>
      <c r="W55" s="134">
        <f>($G55/10)*5</f>
        <v>45592.664999999994</v>
      </c>
      <c r="X55" s="134">
        <f>($G55/10)*5</f>
        <v>45592.664999999994</v>
      </c>
      <c r="Y55" s="134"/>
      <c r="Z55" s="132"/>
      <c r="AA55" s="132"/>
      <c r="AB55" s="132"/>
      <c r="AC55" s="132"/>
      <c r="AD55" s="37"/>
      <c r="AE55" s="27"/>
    </row>
    <row r="56" spans="2:31" s="23" customFormat="1" outlineLevel="1" x14ac:dyDescent="0.2">
      <c r="C56" s="42"/>
      <c r="D56" s="78"/>
      <c r="E56" s="128"/>
      <c r="F56" s="129"/>
      <c r="G56" s="130">
        <f t="shared" si="47"/>
        <v>0</v>
      </c>
      <c r="H56" s="133"/>
      <c r="I56" s="132"/>
      <c r="J56" s="132"/>
      <c r="K56" s="132"/>
      <c r="L56" s="132"/>
      <c r="M56" s="132"/>
      <c r="N56" s="132"/>
      <c r="O56" s="132"/>
      <c r="P56" s="132"/>
      <c r="Q56" s="132"/>
      <c r="R56" s="132"/>
      <c r="S56" s="132"/>
      <c r="T56" s="132"/>
      <c r="U56" s="132"/>
      <c r="V56" s="132"/>
      <c r="W56" s="132"/>
      <c r="X56" s="132"/>
      <c r="Y56" s="132"/>
      <c r="Z56" s="132"/>
      <c r="AA56" s="132"/>
      <c r="AB56" s="132"/>
      <c r="AC56" s="132"/>
      <c r="AD56" s="38"/>
      <c r="AE56" s="60"/>
    </row>
    <row r="57" spans="2:31" s="68" customFormat="1" outlineLevel="1" x14ac:dyDescent="0.2">
      <c r="B57" s="22"/>
      <c r="C57" s="69">
        <v>5</v>
      </c>
      <c r="D57" s="47" t="s">
        <v>20</v>
      </c>
      <c r="E57" s="124">
        <f>SUM(E58:E63)</f>
        <v>77002.75</v>
      </c>
      <c r="F57" s="124">
        <f>SUM(F58:F63)</f>
        <v>357000</v>
      </c>
      <c r="G57" s="125">
        <f>SUM(G58:G63)</f>
        <v>434002.75</v>
      </c>
      <c r="H57" s="126">
        <f>SUM(H58:H63)</f>
        <v>0</v>
      </c>
      <c r="I57" s="127">
        <f>SUM(I58:I63)</f>
        <v>0</v>
      </c>
      <c r="J57" s="127">
        <f>SUM(J58:J63)</f>
        <v>0</v>
      </c>
      <c r="K57" s="127">
        <f>SUM(K58:K63)</f>
        <v>0</v>
      </c>
      <c r="L57" s="127">
        <f>SUM(L58:L63)</f>
        <v>0</v>
      </c>
      <c r="M57" s="127">
        <f>SUM(M58:M63)</f>
        <v>0</v>
      </c>
      <c r="N57" s="127">
        <f>SUM(N58:N63)</f>
        <v>0</v>
      </c>
      <c r="O57" s="127">
        <f>SUM(O58:O63)</f>
        <v>0</v>
      </c>
      <c r="P57" s="127">
        <f>SUM(P58:P63)</f>
        <v>0</v>
      </c>
      <c r="Q57" s="127">
        <f>SUM(Q58:Q63)</f>
        <v>0</v>
      </c>
      <c r="R57" s="127">
        <f>SUM(R58:R63)</f>
        <v>0</v>
      </c>
      <c r="S57" s="127">
        <f>SUM(S58:S63)</f>
        <v>0</v>
      </c>
      <c r="T57" s="127">
        <f>SUM(T58:T63)</f>
        <v>0</v>
      </c>
      <c r="U57" s="127">
        <f>SUM(U58:U63)</f>
        <v>0</v>
      </c>
      <c r="V57" s="127">
        <f>SUM(V58:V63)</f>
        <v>0</v>
      </c>
      <c r="W57" s="127">
        <f>SUM(W58:W63)</f>
        <v>0</v>
      </c>
      <c r="X57" s="127">
        <f>SUM(X58:X63)</f>
        <v>74500</v>
      </c>
      <c r="Y57" s="127">
        <f>SUM(Y58:Y63)</f>
        <v>0</v>
      </c>
      <c r="Z57" s="127">
        <f>SUM(Z58:Z63)</f>
        <v>233102.75</v>
      </c>
      <c r="AA57" s="127">
        <f>SUM(AA58:AA63)</f>
        <v>126400</v>
      </c>
      <c r="AB57" s="127">
        <f>SUM(AB58:AB63)</f>
        <v>0</v>
      </c>
      <c r="AC57" s="127">
        <f>SUM(AC58:AC63)</f>
        <v>0</v>
      </c>
      <c r="AD57" s="61">
        <f>SUM(AD58:AD63)</f>
        <v>0</v>
      </c>
      <c r="AE57" s="62"/>
    </row>
    <row r="58" spans="2:31" s="23" customFormat="1" outlineLevel="1" x14ac:dyDescent="0.2">
      <c r="C58" s="42"/>
      <c r="D58" s="77"/>
      <c r="E58" s="135"/>
      <c r="F58" s="129"/>
      <c r="G58" s="130">
        <f t="shared" ref="G58:G60" si="50">F58+E58</f>
        <v>0</v>
      </c>
      <c r="H58" s="131"/>
      <c r="I58" s="132"/>
      <c r="J58" s="132"/>
      <c r="K58" s="132"/>
      <c r="L58" s="132"/>
      <c r="M58" s="132"/>
      <c r="N58" s="132"/>
      <c r="O58" s="132"/>
      <c r="P58" s="132"/>
      <c r="Q58" s="132"/>
      <c r="R58" s="132"/>
      <c r="S58" s="132"/>
      <c r="T58" s="132"/>
      <c r="U58" s="132"/>
      <c r="V58" s="132"/>
      <c r="W58" s="132"/>
      <c r="X58" s="132"/>
      <c r="Y58" s="132"/>
      <c r="Z58" s="132"/>
      <c r="AA58" s="132"/>
      <c r="AB58" s="132"/>
      <c r="AC58" s="132"/>
      <c r="AD58" s="37"/>
      <c r="AE58" s="27"/>
    </row>
    <row r="59" spans="2:31" s="23" customFormat="1" outlineLevel="1" x14ac:dyDescent="0.2">
      <c r="C59" s="42">
        <v>5.01</v>
      </c>
      <c r="D59" s="77" t="s">
        <v>46</v>
      </c>
      <c r="E59" s="135">
        <f>SUM(74500)</f>
        <v>74500</v>
      </c>
      <c r="F59" s="129"/>
      <c r="G59" s="130">
        <f t="shared" si="50"/>
        <v>74500</v>
      </c>
      <c r="H59" s="131"/>
      <c r="I59" s="132"/>
      <c r="J59" s="132"/>
      <c r="K59" s="132"/>
      <c r="L59" s="132"/>
      <c r="M59" s="132"/>
      <c r="N59" s="132"/>
      <c r="O59" s="132"/>
      <c r="P59" s="132"/>
      <c r="Q59" s="132"/>
      <c r="R59" s="132"/>
      <c r="S59" s="132"/>
      <c r="T59" s="132"/>
      <c r="U59" s="132"/>
      <c r="V59" s="132"/>
      <c r="W59" s="132"/>
      <c r="X59" s="134">
        <f>($G59)</f>
        <v>74500</v>
      </c>
      <c r="Y59" s="134"/>
      <c r="Z59" s="134"/>
      <c r="AA59" s="134"/>
      <c r="AB59" s="132"/>
      <c r="AC59" s="132"/>
      <c r="AD59" s="37"/>
      <c r="AE59" s="27"/>
    </row>
    <row r="60" spans="2:31" s="23" customFormat="1" outlineLevel="1" x14ac:dyDescent="0.2">
      <c r="C60" s="42">
        <v>5.0199999999999996</v>
      </c>
      <c r="D60" s="77" t="s">
        <v>47</v>
      </c>
      <c r="E60" s="135"/>
      <c r="F60" s="129">
        <f>SUM(275000)</f>
        <v>275000</v>
      </c>
      <c r="G60" s="130">
        <f t="shared" si="50"/>
        <v>275000</v>
      </c>
      <c r="H60" s="131"/>
      <c r="I60" s="132"/>
      <c r="J60" s="132"/>
      <c r="K60" s="132"/>
      <c r="L60" s="132"/>
      <c r="M60" s="132"/>
      <c r="N60" s="132"/>
      <c r="O60" s="132"/>
      <c r="P60" s="132"/>
      <c r="Q60" s="132"/>
      <c r="R60" s="132"/>
      <c r="S60" s="132"/>
      <c r="T60" s="132"/>
      <c r="U60" s="132"/>
      <c r="V60" s="132"/>
      <c r="W60" s="132"/>
      <c r="X60" s="134"/>
      <c r="Y60" s="134"/>
      <c r="Z60" s="134">
        <f>($G60/5)*3</f>
        <v>165000</v>
      </c>
      <c r="AA60" s="134">
        <f>($G60/5)*2</f>
        <v>110000</v>
      </c>
      <c r="AB60" s="132"/>
      <c r="AC60" s="132"/>
      <c r="AD60" s="37"/>
      <c r="AE60" s="27"/>
    </row>
    <row r="61" spans="2:31" s="23" customFormat="1" outlineLevel="1" x14ac:dyDescent="0.2">
      <c r="C61" s="42">
        <v>5.03</v>
      </c>
      <c r="D61" s="77" t="s">
        <v>48</v>
      </c>
      <c r="E61" s="135"/>
      <c r="F61" s="129">
        <f>SUM(82000)</f>
        <v>82000</v>
      </c>
      <c r="G61" s="130">
        <f t="shared" ref="G61:G62" si="51">F61+E61</f>
        <v>82000</v>
      </c>
      <c r="H61" s="131"/>
      <c r="I61" s="132"/>
      <c r="J61" s="132"/>
      <c r="K61" s="132"/>
      <c r="L61" s="132"/>
      <c r="M61" s="132"/>
      <c r="N61" s="132"/>
      <c r="O61" s="132"/>
      <c r="P61" s="132"/>
      <c r="Q61" s="132"/>
      <c r="R61" s="132"/>
      <c r="S61" s="132"/>
      <c r="T61" s="132"/>
      <c r="U61" s="132"/>
      <c r="V61" s="132"/>
      <c r="W61" s="132"/>
      <c r="X61" s="134"/>
      <c r="Y61" s="134"/>
      <c r="Z61" s="134">
        <f>($G61/5)*4</f>
        <v>65600</v>
      </c>
      <c r="AA61" s="134">
        <f>($G61/5)*1</f>
        <v>16400</v>
      </c>
      <c r="AB61" s="132"/>
      <c r="AC61" s="132"/>
      <c r="AD61" s="37"/>
      <c r="AE61" s="27"/>
    </row>
    <row r="62" spans="2:31" s="23" customFormat="1" outlineLevel="1" x14ac:dyDescent="0.2">
      <c r="C62" s="42">
        <v>5.04</v>
      </c>
      <c r="D62" s="77" t="s">
        <v>54</v>
      </c>
      <c r="E62" s="135">
        <f>SUM(2502.75)</f>
        <v>2502.75</v>
      </c>
      <c r="F62" s="129"/>
      <c r="G62" s="130">
        <f t="shared" si="51"/>
        <v>2502.75</v>
      </c>
      <c r="H62" s="131"/>
      <c r="I62" s="132"/>
      <c r="J62" s="132"/>
      <c r="K62" s="132"/>
      <c r="L62" s="132"/>
      <c r="M62" s="132"/>
      <c r="N62" s="132"/>
      <c r="O62" s="132"/>
      <c r="P62" s="132"/>
      <c r="Q62" s="132"/>
      <c r="R62" s="132"/>
      <c r="S62" s="132"/>
      <c r="T62" s="132"/>
      <c r="U62" s="132"/>
      <c r="V62" s="132"/>
      <c r="W62" s="132"/>
      <c r="X62" s="134"/>
      <c r="Y62" s="134"/>
      <c r="Z62" s="134">
        <f>($G62)</f>
        <v>2502.75</v>
      </c>
      <c r="AA62" s="134"/>
      <c r="AB62" s="132"/>
      <c r="AC62" s="132"/>
      <c r="AD62" s="37"/>
      <c r="AE62" s="27"/>
    </row>
    <row r="63" spans="2:31" s="23" customFormat="1" outlineLevel="1" x14ac:dyDescent="0.2">
      <c r="C63" s="42"/>
      <c r="D63" s="78"/>
      <c r="E63" s="128"/>
      <c r="F63" s="129"/>
      <c r="G63" s="130">
        <f t="shared" si="47"/>
        <v>0</v>
      </c>
      <c r="H63" s="133"/>
      <c r="I63" s="132"/>
      <c r="J63" s="132"/>
      <c r="K63" s="132"/>
      <c r="L63" s="132"/>
      <c r="M63" s="132"/>
      <c r="N63" s="132"/>
      <c r="O63" s="132"/>
      <c r="P63" s="132"/>
      <c r="Q63" s="132"/>
      <c r="R63" s="132"/>
      <c r="S63" s="132"/>
      <c r="T63" s="132"/>
      <c r="U63" s="132"/>
      <c r="V63" s="132"/>
      <c r="W63" s="132"/>
      <c r="X63" s="132"/>
      <c r="Y63" s="132"/>
      <c r="Z63" s="132"/>
      <c r="AA63" s="132"/>
      <c r="AB63" s="132"/>
      <c r="AC63" s="132"/>
      <c r="AD63" s="38"/>
      <c r="AE63" s="60"/>
    </row>
    <row r="64" spans="2:31" s="68" customFormat="1" outlineLevel="1" x14ac:dyDescent="0.2">
      <c r="B64" s="22"/>
      <c r="C64" s="69">
        <v>6</v>
      </c>
      <c r="D64" s="47" t="s">
        <v>21</v>
      </c>
      <c r="E64" s="136">
        <f t="shared" ref="E64:AD64" si="52">SUM(E65:E69)</f>
        <v>2030888.25</v>
      </c>
      <c r="F64" s="124">
        <f t="shared" si="52"/>
        <v>0</v>
      </c>
      <c r="G64" s="125">
        <f t="shared" si="52"/>
        <v>2030888.25</v>
      </c>
      <c r="H64" s="126">
        <f t="shared" si="52"/>
        <v>0</v>
      </c>
      <c r="I64" s="127">
        <f t="shared" si="52"/>
        <v>0</v>
      </c>
      <c r="J64" s="127">
        <f t="shared" si="52"/>
        <v>0</v>
      </c>
      <c r="K64" s="127">
        <f t="shared" si="52"/>
        <v>0</v>
      </c>
      <c r="L64" s="127">
        <f t="shared" si="52"/>
        <v>0</v>
      </c>
      <c r="M64" s="127">
        <f t="shared" si="52"/>
        <v>0</v>
      </c>
      <c r="N64" s="127">
        <f t="shared" si="52"/>
        <v>0</v>
      </c>
      <c r="O64" s="127">
        <f t="shared" si="52"/>
        <v>0</v>
      </c>
      <c r="P64" s="127">
        <f t="shared" si="52"/>
        <v>0</v>
      </c>
      <c r="Q64" s="127">
        <f t="shared" si="52"/>
        <v>0</v>
      </c>
      <c r="R64" s="127">
        <f t="shared" si="52"/>
        <v>0</v>
      </c>
      <c r="S64" s="127">
        <f t="shared" ref="S64" si="53">SUM(S65:S69)</f>
        <v>0</v>
      </c>
      <c r="T64" s="127">
        <f t="shared" ref="T64" si="54">SUM(T65:T69)</f>
        <v>0</v>
      </c>
      <c r="U64" s="127">
        <f t="shared" ref="U64" si="55">SUM(U65:U69)</f>
        <v>0</v>
      </c>
      <c r="V64" s="127">
        <f t="shared" ref="V64" si="56">SUM(V65:V69)</f>
        <v>419741.375</v>
      </c>
      <c r="W64" s="127">
        <f t="shared" ref="W64" si="57">SUM(W65:W69)</f>
        <v>579417.09999999986</v>
      </c>
      <c r="X64" s="127">
        <f t="shared" ref="X64" si="58">SUM(X65:X69)</f>
        <v>492298.87499999994</v>
      </c>
      <c r="Y64" s="127">
        <f t="shared" ref="Y64" si="59">SUM(Y65:Y69)</f>
        <v>321417.38750000001</v>
      </c>
      <c r="Z64" s="127">
        <f t="shared" ref="Z64" si="60">SUM(Z65:Z69)</f>
        <v>107827.77499999999</v>
      </c>
      <c r="AA64" s="127">
        <f t="shared" ref="AA64" si="61">SUM(AA65:AA69)</f>
        <v>110185.73749999999</v>
      </c>
      <c r="AB64" s="127">
        <f t="shared" ref="AB64" si="62">SUM(AB65:AB69)</f>
        <v>0</v>
      </c>
      <c r="AC64" s="127">
        <f t="shared" si="52"/>
        <v>0</v>
      </c>
      <c r="AD64" s="61">
        <f t="shared" si="52"/>
        <v>0</v>
      </c>
      <c r="AE64" s="70"/>
    </row>
    <row r="65" spans="2:31" s="23" customFormat="1" outlineLevel="1" x14ac:dyDescent="0.2">
      <c r="C65" s="42"/>
      <c r="D65" s="77"/>
      <c r="E65" s="135"/>
      <c r="F65" s="129"/>
      <c r="G65" s="130">
        <f t="shared" ref="G65:G67" si="63">F65+E65</f>
        <v>0</v>
      </c>
      <c r="H65" s="131"/>
      <c r="I65" s="132"/>
      <c r="J65" s="132"/>
      <c r="K65" s="132"/>
      <c r="L65" s="132"/>
      <c r="M65" s="132"/>
      <c r="N65" s="132"/>
      <c r="O65" s="132"/>
      <c r="P65" s="132"/>
      <c r="Q65" s="132"/>
      <c r="R65" s="132"/>
      <c r="S65" s="132"/>
      <c r="T65" s="132"/>
      <c r="U65" s="132"/>
      <c r="V65" s="132"/>
      <c r="W65" s="132"/>
      <c r="X65" s="132"/>
      <c r="Y65" s="132"/>
      <c r="Z65" s="132"/>
      <c r="AA65" s="132"/>
      <c r="AB65" s="132"/>
      <c r="AC65" s="132"/>
      <c r="AD65" s="37"/>
      <c r="AE65" s="27"/>
    </row>
    <row r="66" spans="2:31" s="23" customFormat="1" ht="22.5" outlineLevel="1" x14ac:dyDescent="0.2">
      <c r="C66" s="42">
        <v>6.01</v>
      </c>
      <c r="D66" s="77" t="s">
        <v>44</v>
      </c>
      <c r="E66" s="135">
        <f>SUM(43851.5,15477,46431,95441.5,41272,59400,41272,113498,30954,198621.5,36113,46431,11021.5,)</f>
        <v>779784</v>
      </c>
      <c r="F66" s="129"/>
      <c r="G66" s="130">
        <f t="shared" si="63"/>
        <v>779784</v>
      </c>
      <c r="H66" s="131"/>
      <c r="I66" s="132"/>
      <c r="J66" s="132"/>
      <c r="K66" s="132"/>
      <c r="L66" s="132"/>
      <c r="M66" s="132"/>
      <c r="N66" s="132"/>
      <c r="O66" s="132"/>
      <c r="P66" s="132"/>
      <c r="Q66" s="132"/>
      <c r="R66" s="132"/>
      <c r="S66" s="132"/>
      <c r="T66" s="132"/>
      <c r="U66" s="132"/>
      <c r="V66" s="134">
        <f>($G66/20)*8</f>
        <v>311913.59999999998</v>
      </c>
      <c r="W66" s="134">
        <f>($G66/20)*8</f>
        <v>311913.59999999998</v>
      </c>
      <c r="X66" s="134">
        <f>($G66/20)*3</f>
        <v>116967.59999999999</v>
      </c>
      <c r="Y66" s="134"/>
      <c r="Z66" s="134"/>
      <c r="AA66" s="134">
        <f>($G66/20)*1</f>
        <v>38989.199999999997</v>
      </c>
      <c r="AB66" s="132"/>
      <c r="AC66" s="132"/>
      <c r="AD66" s="37"/>
      <c r="AE66" s="27"/>
    </row>
    <row r="67" spans="2:31" s="23" customFormat="1" outlineLevel="1" x14ac:dyDescent="0.2">
      <c r="C67" s="42">
        <v>6.02</v>
      </c>
      <c r="D67" s="77" t="s">
        <v>45</v>
      </c>
      <c r="E67" s="135">
        <f>SUM(128975,237314,116077.5,7738.5,154000,12897.5,30954,69646.5,64487.5,14187.25,242000)</f>
        <v>1078277.75</v>
      </c>
      <c r="F67" s="129"/>
      <c r="G67" s="130">
        <f t="shared" si="63"/>
        <v>1078277.75</v>
      </c>
      <c r="H67" s="131"/>
      <c r="I67" s="132"/>
      <c r="J67" s="132"/>
      <c r="K67" s="132"/>
      <c r="L67" s="132"/>
      <c r="M67" s="132"/>
      <c r="N67" s="132"/>
      <c r="O67" s="132"/>
      <c r="P67" s="132"/>
      <c r="Q67" s="132"/>
      <c r="R67" s="132"/>
      <c r="S67" s="132"/>
      <c r="T67" s="132"/>
      <c r="U67" s="132"/>
      <c r="V67" s="134">
        <f>($G67/20)*2</f>
        <v>107827.77499999999</v>
      </c>
      <c r="W67" s="134">
        <f>($G67/20)*4</f>
        <v>215655.55</v>
      </c>
      <c r="X67" s="134">
        <f>($G67/20)*6</f>
        <v>323483.32499999995</v>
      </c>
      <c r="Y67" s="134">
        <f>($G67/20)*5</f>
        <v>269569.4375</v>
      </c>
      <c r="Z67" s="134">
        <f>($G67/20)*2</f>
        <v>107827.77499999999</v>
      </c>
      <c r="AA67" s="134">
        <f>($G67/20)*1</f>
        <v>53913.887499999997</v>
      </c>
      <c r="AB67" s="132"/>
      <c r="AC67" s="132"/>
      <c r="AD67" s="37"/>
      <c r="AE67" s="27"/>
    </row>
    <row r="68" spans="2:31" s="23" customFormat="1" outlineLevel="1" x14ac:dyDescent="0.2">
      <c r="C68" s="42">
        <v>6.03</v>
      </c>
      <c r="D68" s="77" t="s">
        <v>55</v>
      </c>
      <c r="E68" s="135">
        <f>SUM(11349.8,34565.3,39208.4,87703)</f>
        <v>172826.5</v>
      </c>
      <c r="F68" s="129"/>
      <c r="G68" s="130">
        <f t="shared" ref="G68" si="64">F68+E68</f>
        <v>172826.5</v>
      </c>
      <c r="H68" s="131"/>
      <c r="I68" s="132"/>
      <c r="J68" s="132"/>
      <c r="K68" s="132"/>
      <c r="L68" s="132"/>
      <c r="M68" s="132"/>
      <c r="N68" s="132"/>
      <c r="O68" s="132"/>
      <c r="P68" s="132"/>
      <c r="Q68" s="132"/>
      <c r="R68" s="132"/>
      <c r="S68" s="132"/>
      <c r="T68" s="132"/>
      <c r="U68" s="132"/>
      <c r="V68" s="134"/>
      <c r="W68" s="134">
        <f>($G68/10)*3</f>
        <v>51847.950000000004</v>
      </c>
      <c r="X68" s="134">
        <f>($G68/10)*3</f>
        <v>51847.950000000004</v>
      </c>
      <c r="Y68" s="134">
        <f>($G68/10)*3</f>
        <v>51847.950000000004</v>
      </c>
      <c r="Z68" s="134"/>
      <c r="AA68" s="134">
        <f>($G68/10)*1</f>
        <v>17282.650000000001</v>
      </c>
      <c r="AB68" s="132"/>
      <c r="AC68" s="132"/>
      <c r="AD68" s="37"/>
      <c r="AE68" s="27"/>
    </row>
    <row r="69" spans="2:31" s="23" customFormat="1" outlineLevel="1" x14ac:dyDescent="0.2">
      <c r="C69" s="42"/>
      <c r="D69" s="78"/>
      <c r="E69" s="128"/>
      <c r="F69" s="129"/>
      <c r="G69" s="130">
        <f t="shared" si="47"/>
        <v>0</v>
      </c>
      <c r="H69" s="133"/>
      <c r="I69" s="132"/>
      <c r="J69" s="132"/>
      <c r="K69" s="132"/>
      <c r="L69" s="132"/>
      <c r="M69" s="132"/>
      <c r="N69" s="132"/>
      <c r="O69" s="132"/>
      <c r="P69" s="132"/>
      <c r="Q69" s="132"/>
      <c r="R69" s="132"/>
      <c r="S69" s="132"/>
      <c r="T69" s="132"/>
      <c r="U69" s="132"/>
      <c r="V69" s="132"/>
      <c r="W69" s="132"/>
      <c r="X69" s="132"/>
      <c r="Y69" s="132"/>
      <c r="Z69" s="132"/>
      <c r="AA69" s="132"/>
      <c r="AB69" s="132"/>
      <c r="AC69" s="132"/>
      <c r="AD69" s="38"/>
      <c r="AE69" s="60"/>
    </row>
    <row r="70" spans="2:31" s="68" customFormat="1" outlineLevel="1" x14ac:dyDescent="0.2">
      <c r="B70" s="22"/>
      <c r="C70" s="69">
        <v>7</v>
      </c>
      <c r="D70" s="47" t="s">
        <v>36</v>
      </c>
      <c r="E70" s="136">
        <f>SUM(E71:E81)</f>
        <v>1404144.28</v>
      </c>
      <c r="F70" s="124">
        <f>SUM(F71:F81)</f>
        <v>0</v>
      </c>
      <c r="G70" s="125">
        <f>SUM(G71:G81)</f>
        <v>1404144.28</v>
      </c>
      <c r="H70" s="126">
        <f>SUM(H71:H81)</f>
        <v>0</v>
      </c>
      <c r="I70" s="127">
        <f>SUM(I71:I81)</f>
        <v>171006</v>
      </c>
      <c r="J70" s="127">
        <f>SUM(J71:J81)</f>
        <v>119988</v>
      </c>
      <c r="K70" s="127">
        <f>SUM(K71:K81)</f>
        <v>35904</v>
      </c>
      <c r="L70" s="127">
        <f>SUM(L71:L81)</f>
        <v>60778.666666666664</v>
      </c>
      <c r="M70" s="127">
        <f>SUM(M71:M81)</f>
        <v>181930.83333333334</v>
      </c>
      <c r="N70" s="127">
        <f>SUM(N71:N81)</f>
        <v>181930.83333333334</v>
      </c>
      <c r="O70" s="127">
        <f>SUM(O71:O81)</f>
        <v>139104.16666666669</v>
      </c>
      <c r="P70" s="127">
        <f>SUM(P71:P81)</f>
        <v>165462.80666666667</v>
      </c>
      <c r="Q70" s="127">
        <f>SUM(Q71:Q81)</f>
        <v>178642.12666666668</v>
      </c>
      <c r="R70" s="127">
        <f>SUM(R71:R81)</f>
        <v>139104.16666666669</v>
      </c>
      <c r="S70" s="127">
        <f>SUM(S71:S81)</f>
        <v>0</v>
      </c>
      <c r="T70" s="127">
        <f>SUM(T71:T81)</f>
        <v>0</v>
      </c>
      <c r="U70" s="127">
        <f>SUM(U71:U81)</f>
        <v>0</v>
      </c>
      <c r="V70" s="127">
        <f>SUM(V71:V81)</f>
        <v>0</v>
      </c>
      <c r="W70" s="127">
        <f>SUM(W71:W81)</f>
        <v>0</v>
      </c>
      <c r="X70" s="127">
        <f>SUM(X71:X81)</f>
        <v>0</v>
      </c>
      <c r="Y70" s="127">
        <f>SUM(Y71:Y81)</f>
        <v>0</v>
      </c>
      <c r="Z70" s="127">
        <f>SUM(Z71:Z81)</f>
        <v>6600</v>
      </c>
      <c r="AA70" s="127">
        <f>SUM(AA71:AA81)</f>
        <v>15975.608</v>
      </c>
      <c r="AB70" s="127">
        <f>SUM(AB71:AB81)</f>
        <v>7717.0720000000001</v>
      </c>
      <c r="AC70" s="127">
        <f>SUM(AC71:AC81)</f>
        <v>0</v>
      </c>
      <c r="AD70" s="61">
        <f>SUM(AD71:AD81)</f>
        <v>0</v>
      </c>
      <c r="AE70" s="70"/>
    </row>
    <row r="71" spans="2:31" s="23" customFormat="1" outlineLevel="1" x14ac:dyDescent="0.2">
      <c r="C71" s="42"/>
      <c r="D71" s="77"/>
      <c r="E71" s="135"/>
      <c r="F71" s="129"/>
      <c r="G71" s="130">
        <f t="shared" ref="G71:G80" si="65">F71+E71</f>
        <v>0</v>
      </c>
      <c r="H71" s="131"/>
      <c r="I71" s="132"/>
      <c r="J71" s="132"/>
      <c r="K71" s="132"/>
      <c r="L71" s="132"/>
      <c r="M71" s="132"/>
      <c r="N71" s="132"/>
      <c r="O71" s="132"/>
      <c r="P71" s="132"/>
      <c r="Q71" s="132"/>
      <c r="R71" s="132"/>
      <c r="S71" s="132"/>
      <c r="T71" s="132"/>
      <c r="U71" s="132"/>
      <c r="V71" s="132"/>
      <c r="W71" s="132"/>
      <c r="X71" s="132"/>
      <c r="Y71" s="132"/>
      <c r="Z71" s="132"/>
      <c r="AA71" s="132"/>
      <c r="AB71" s="132"/>
      <c r="AC71" s="132"/>
      <c r="AD71" s="37"/>
      <c r="AE71" s="27"/>
    </row>
    <row r="72" spans="2:31" s="23" customFormat="1" ht="33.75" outlineLevel="1" x14ac:dyDescent="0.2">
      <c r="C72" s="42">
        <v>7.01</v>
      </c>
      <c r="D72" s="77" t="s">
        <v>43</v>
      </c>
      <c r="E72" s="135">
        <v>285010</v>
      </c>
      <c r="F72" s="129"/>
      <c r="G72" s="130">
        <f t="shared" si="65"/>
        <v>285010</v>
      </c>
      <c r="H72" s="131"/>
      <c r="I72" s="134">
        <f>($G72/5)*3</f>
        <v>171006</v>
      </c>
      <c r="J72" s="134">
        <f>($G72/5)*2</f>
        <v>114004</v>
      </c>
      <c r="K72" s="132"/>
      <c r="L72" s="132"/>
      <c r="M72" s="132"/>
      <c r="N72" s="132"/>
      <c r="O72" s="132"/>
      <c r="P72" s="132"/>
      <c r="Q72" s="132"/>
      <c r="R72" s="132"/>
      <c r="S72" s="132"/>
      <c r="T72" s="132"/>
      <c r="U72" s="132"/>
      <c r="V72" s="132"/>
      <c r="W72" s="132"/>
      <c r="X72" s="132"/>
      <c r="Y72" s="132"/>
      <c r="Z72" s="132"/>
      <c r="AA72" s="132"/>
      <c r="AB72" s="132"/>
      <c r="AC72" s="132"/>
      <c r="AD72" s="37"/>
      <c r="AE72" s="27"/>
    </row>
    <row r="73" spans="2:31" s="23" customFormat="1" ht="22.5" outlineLevel="1" x14ac:dyDescent="0.2">
      <c r="C73" s="42">
        <v>7.02</v>
      </c>
      <c r="D73" s="77" t="s">
        <v>53</v>
      </c>
      <c r="E73" s="135">
        <v>59840</v>
      </c>
      <c r="F73" s="129"/>
      <c r="G73" s="130">
        <f t="shared" si="65"/>
        <v>59840</v>
      </c>
      <c r="H73" s="131"/>
      <c r="I73" s="132"/>
      <c r="J73" s="134">
        <f>($G73/10)*1</f>
        <v>5984</v>
      </c>
      <c r="K73" s="134">
        <f>($G73/10)*6</f>
        <v>35904</v>
      </c>
      <c r="L73" s="134">
        <f>($G73/10)*3</f>
        <v>17952</v>
      </c>
      <c r="M73" s="132"/>
      <c r="N73" s="132"/>
      <c r="O73" s="132"/>
      <c r="P73" s="132"/>
      <c r="Q73" s="132"/>
      <c r="R73" s="132"/>
      <c r="S73" s="132"/>
      <c r="T73" s="132"/>
      <c r="U73" s="132"/>
      <c r="V73" s="132"/>
      <c r="W73" s="132"/>
      <c r="X73" s="132"/>
      <c r="Y73" s="132"/>
      <c r="Z73" s="132"/>
      <c r="AA73" s="132"/>
      <c r="AB73" s="132"/>
      <c r="AC73" s="132"/>
      <c r="AD73" s="37"/>
      <c r="AE73" s="27"/>
    </row>
    <row r="74" spans="2:31" s="23" customFormat="1" outlineLevel="1" x14ac:dyDescent="0.2">
      <c r="C74" s="42">
        <v>7.03</v>
      </c>
      <c r="D74" s="77" t="s">
        <v>37</v>
      </c>
      <c r="E74" s="135">
        <f>SUM(88275,37180,3025)</f>
        <v>128480</v>
      </c>
      <c r="F74" s="129"/>
      <c r="G74" s="130">
        <f t="shared" si="65"/>
        <v>128480</v>
      </c>
      <c r="H74" s="131"/>
      <c r="I74" s="132"/>
      <c r="J74" s="132"/>
      <c r="K74" s="132"/>
      <c r="L74" s="134">
        <f>($G74/3)*1</f>
        <v>42826.666666666664</v>
      </c>
      <c r="M74" s="134">
        <f t="shared" ref="M74:N74" si="66">($G74/3)*1</f>
        <v>42826.666666666664</v>
      </c>
      <c r="N74" s="134">
        <f t="shared" si="66"/>
        <v>42826.666666666664</v>
      </c>
      <c r="O74" s="132"/>
      <c r="P74" s="132"/>
      <c r="Q74" s="132"/>
      <c r="R74" s="132"/>
      <c r="S74" s="132"/>
      <c r="T74" s="132"/>
      <c r="U74" s="132"/>
      <c r="V74" s="132"/>
      <c r="W74" s="132"/>
      <c r="X74" s="132"/>
      <c r="Y74" s="132"/>
      <c r="Z74" s="132"/>
      <c r="AA74" s="132"/>
      <c r="AB74" s="132"/>
      <c r="AC74" s="132"/>
      <c r="AD74" s="37"/>
      <c r="AE74" s="27"/>
    </row>
    <row r="75" spans="2:31" s="23" customFormat="1" ht="22.5" outlineLevel="1" x14ac:dyDescent="0.2">
      <c r="C75" s="42">
        <v>7.04</v>
      </c>
      <c r="D75" s="77" t="s">
        <v>57</v>
      </c>
      <c r="E75" s="135">
        <f>SUM(2088.68,6204)</f>
        <v>8292.68</v>
      </c>
      <c r="F75" s="129"/>
      <c r="G75" s="130">
        <f>F75+E75</f>
        <v>8292.68</v>
      </c>
      <c r="H75" s="131"/>
      <c r="I75" s="132"/>
      <c r="J75" s="132"/>
      <c r="K75" s="132"/>
      <c r="L75" s="132"/>
      <c r="M75" s="132"/>
      <c r="N75" s="132"/>
      <c r="O75" s="132"/>
      <c r="P75" s="132"/>
      <c r="Q75" s="132"/>
      <c r="R75" s="132"/>
      <c r="S75" s="132"/>
      <c r="T75" s="132"/>
      <c r="U75" s="132"/>
      <c r="V75" s="132"/>
      <c r="W75" s="132"/>
      <c r="X75" s="132"/>
      <c r="Y75" s="132"/>
      <c r="Z75" s="132"/>
      <c r="AA75" s="134">
        <f>($G75/5)*3</f>
        <v>4975.6080000000002</v>
      </c>
      <c r="AB75" s="134">
        <f>($G75/5)*2</f>
        <v>3317.0720000000001</v>
      </c>
      <c r="AC75" s="132"/>
      <c r="AD75" s="37"/>
      <c r="AE75" s="27"/>
    </row>
    <row r="76" spans="2:31" s="23" customFormat="1" outlineLevel="1" x14ac:dyDescent="0.2">
      <c r="C76" s="42">
        <v>7.05</v>
      </c>
      <c r="D76" s="77" t="s">
        <v>56</v>
      </c>
      <c r="E76" s="135">
        <f>SUM(51836.4,14060.2)</f>
        <v>65896.600000000006</v>
      </c>
      <c r="F76" s="129"/>
      <c r="G76" s="130">
        <f>F76+E76</f>
        <v>65896.600000000006</v>
      </c>
      <c r="H76" s="131"/>
      <c r="I76" s="132"/>
      <c r="J76" s="132"/>
      <c r="K76" s="132"/>
      <c r="L76" s="132"/>
      <c r="M76" s="132"/>
      <c r="N76" s="132"/>
      <c r="O76" s="132"/>
      <c r="P76" s="134">
        <f>($G76/5)*2</f>
        <v>26358.640000000003</v>
      </c>
      <c r="Q76" s="134">
        <f>($G76/5)*3</f>
        <v>39537.960000000006</v>
      </c>
      <c r="R76" s="132"/>
      <c r="S76" s="132"/>
      <c r="T76" s="132"/>
      <c r="U76" s="132"/>
      <c r="V76" s="132"/>
      <c r="W76" s="132"/>
      <c r="X76" s="132"/>
      <c r="Y76" s="132"/>
      <c r="Z76" s="132"/>
      <c r="AA76" s="132"/>
      <c r="AB76" s="132"/>
      <c r="AC76" s="132"/>
      <c r="AD76" s="37"/>
      <c r="AE76" s="27"/>
    </row>
    <row r="77" spans="2:31" s="23" customFormat="1" outlineLevel="1" x14ac:dyDescent="0.2">
      <c r="C77" s="42">
        <v>7.06</v>
      </c>
      <c r="D77" s="91" t="s">
        <v>58</v>
      </c>
      <c r="E77" s="135">
        <f>SUM(22000)</f>
        <v>22000</v>
      </c>
      <c r="F77" s="129"/>
      <c r="G77" s="130">
        <f t="shared" ref="G77" si="67">F77+E77</f>
        <v>22000</v>
      </c>
      <c r="H77" s="131"/>
      <c r="I77" s="132"/>
      <c r="J77" s="132"/>
      <c r="K77" s="132"/>
      <c r="L77" s="132"/>
      <c r="M77" s="132"/>
      <c r="N77" s="132"/>
      <c r="O77" s="132"/>
      <c r="P77" s="132"/>
      <c r="Q77" s="132"/>
      <c r="R77" s="132"/>
      <c r="S77" s="132"/>
      <c r="T77" s="132"/>
      <c r="U77" s="132"/>
      <c r="V77" s="132"/>
      <c r="W77" s="132"/>
      <c r="X77" s="132"/>
      <c r="Y77" s="132"/>
      <c r="Z77" s="134">
        <f>($G77/10)*3</f>
        <v>6600</v>
      </c>
      <c r="AA77" s="134">
        <f>($G77/10)*5</f>
        <v>11000</v>
      </c>
      <c r="AB77" s="134">
        <f>($G77/10)*2</f>
        <v>4400</v>
      </c>
      <c r="AC77" s="132"/>
      <c r="AD77" s="37"/>
      <c r="AE77" s="27"/>
    </row>
    <row r="78" spans="2:31" s="23" customFormat="1" outlineLevel="1" x14ac:dyDescent="0.2">
      <c r="C78" s="42">
        <v>7.07</v>
      </c>
      <c r="D78" s="77" t="s">
        <v>39</v>
      </c>
      <c r="E78" s="135">
        <f>SUM(598125,38500)</f>
        <v>636625</v>
      </c>
      <c r="F78" s="129"/>
      <c r="G78" s="130">
        <f t="shared" si="65"/>
        <v>636625</v>
      </c>
      <c r="H78" s="131"/>
      <c r="I78" s="132"/>
      <c r="J78" s="132"/>
      <c r="K78" s="132"/>
      <c r="L78" s="132"/>
      <c r="M78" s="134">
        <f>($G78/6)*1</f>
        <v>106104.16666666667</v>
      </c>
      <c r="N78" s="134">
        <f t="shared" ref="N78:R79" si="68">($G78/6)*1</f>
        <v>106104.16666666667</v>
      </c>
      <c r="O78" s="134">
        <f t="shared" si="68"/>
        <v>106104.16666666667</v>
      </c>
      <c r="P78" s="134">
        <f t="shared" si="68"/>
        <v>106104.16666666667</v>
      </c>
      <c r="Q78" s="134">
        <f t="shared" si="68"/>
        <v>106104.16666666667</v>
      </c>
      <c r="R78" s="134">
        <f t="shared" si="68"/>
        <v>106104.16666666667</v>
      </c>
      <c r="S78" s="132"/>
      <c r="T78" s="132"/>
      <c r="U78" s="132"/>
      <c r="V78" s="132"/>
      <c r="W78" s="132"/>
      <c r="X78" s="132"/>
      <c r="Y78" s="132"/>
      <c r="Z78" s="132"/>
      <c r="AA78" s="132"/>
      <c r="AB78" s="132"/>
      <c r="AC78" s="132"/>
      <c r="AD78" s="37"/>
      <c r="AE78" s="27"/>
    </row>
    <row r="79" spans="2:31" s="23" customFormat="1" outlineLevel="1" x14ac:dyDescent="0.2">
      <c r="C79" s="42">
        <v>7.08</v>
      </c>
      <c r="D79" s="77" t="s">
        <v>40</v>
      </c>
      <c r="E79" s="135">
        <f>SUM(198000)</f>
        <v>198000</v>
      </c>
      <c r="F79" s="129"/>
      <c r="G79" s="130">
        <f t="shared" si="65"/>
        <v>198000</v>
      </c>
      <c r="H79" s="131"/>
      <c r="I79" s="132"/>
      <c r="J79" s="132"/>
      <c r="K79" s="132"/>
      <c r="L79" s="132"/>
      <c r="M79" s="134">
        <f>($G79/6)*1</f>
        <v>33000</v>
      </c>
      <c r="N79" s="134">
        <f t="shared" si="68"/>
        <v>33000</v>
      </c>
      <c r="O79" s="134">
        <f t="shared" si="68"/>
        <v>33000</v>
      </c>
      <c r="P79" s="134">
        <f t="shared" si="68"/>
        <v>33000</v>
      </c>
      <c r="Q79" s="134">
        <f t="shared" si="68"/>
        <v>33000</v>
      </c>
      <c r="R79" s="134">
        <f t="shared" si="68"/>
        <v>33000</v>
      </c>
      <c r="S79" s="132"/>
      <c r="T79" s="132"/>
      <c r="U79" s="132"/>
      <c r="V79" s="132"/>
      <c r="W79" s="132"/>
      <c r="X79" s="132"/>
      <c r="Y79" s="132"/>
      <c r="Z79" s="132"/>
      <c r="AA79" s="132"/>
      <c r="AB79" s="132"/>
      <c r="AC79" s="132"/>
      <c r="AD79" s="37"/>
      <c r="AE79" s="27"/>
    </row>
    <row r="80" spans="2:31" s="23" customFormat="1" outlineLevel="1" x14ac:dyDescent="0.2">
      <c r="C80" s="42"/>
      <c r="D80" s="77"/>
      <c r="E80" s="135"/>
      <c r="F80" s="129"/>
      <c r="G80" s="130">
        <f t="shared" si="65"/>
        <v>0</v>
      </c>
      <c r="H80" s="131"/>
      <c r="I80" s="132"/>
      <c r="J80" s="132"/>
      <c r="K80" s="132"/>
      <c r="L80" s="132"/>
      <c r="M80" s="132"/>
      <c r="N80" s="132"/>
      <c r="O80" s="132"/>
      <c r="P80" s="132"/>
      <c r="Q80" s="132"/>
      <c r="R80" s="132"/>
      <c r="S80" s="132"/>
      <c r="T80" s="132"/>
      <c r="U80" s="132"/>
      <c r="V80" s="132"/>
      <c r="W80" s="132"/>
      <c r="X80" s="132"/>
      <c r="Y80" s="132"/>
      <c r="Z80" s="132"/>
      <c r="AA80" s="132"/>
      <c r="AB80" s="132"/>
      <c r="AC80" s="132"/>
      <c r="AD80" s="37"/>
      <c r="AE80" s="27"/>
    </row>
    <row r="81" spans="1:31" s="23" customFormat="1" outlineLevel="1" x14ac:dyDescent="0.2">
      <c r="C81" s="42"/>
      <c r="D81" s="43"/>
      <c r="E81" s="128"/>
      <c r="F81" s="129"/>
      <c r="G81" s="130">
        <f t="shared" ref="G81" si="69">F81+E81</f>
        <v>0</v>
      </c>
      <c r="H81" s="133"/>
      <c r="I81" s="132"/>
      <c r="J81" s="132"/>
      <c r="K81" s="132"/>
      <c r="L81" s="132"/>
      <c r="M81" s="132"/>
      <c r="N81" s="132"/>
      <c r="O81" s="132"/>
      <c r="P81" s="132"/>
      <c r="Q81" s="132"/>
      <c r="R81" s="132"/>
      <c r="S81" s="132"/>
      <c r="T81" s="132"/>
      <c r="U81" s="132"/>
      <c r="V81" s="132"/>
      <c r="W81" s="132"/>
      <c r="X81" s="132"/>
      <c r="Y81" s="132"/>
      <c r="Z81" s="132"/>
      <c r="AA81" s="132"/>
      <c r="AB81" s="132"/>
      <c r="AC81" s="132"/>
      <c r="AD81" s="38"/>
      <c r="AE81" s="60"/>
    </row>
    <row r="82" spans="1:31" s="68" customFormat="1" outlineLevel="1" x14ac:dyDescent="0.2">
      <c r="B82" s="22"/>
      <c r="C82" s="69">
        <v>8</v>
      </c>
      <c r="D82" s="47" t="s">
        <v>73</v>
      </c>
      <c r="E82" s="136">
        <f>SUM(E83:E88)</f>
        <v>939564.19</v>
      </c>
      <c r="F82" s="124">
        <f>SUM(F83:F88)</f>
        <v>0</v>
      </c>
      <c r="G82" s="125">
        <f>SUM(G83:G88)</f>
        <v>939564.19</v>
      </c>
      <c r="H82" s="126">
        <f>SUM(H83:H88)</f>
        <v>42707.463181818181</v>
      </c>
      <c r="I82" s="127">
        <f>SUM(I83:I88)</f>
        <v>42707.463181818181</v>
      </c>
      <c r="J82" s="127">
        <f>SUM(J83:J88)</f>
        <v>42707.463181818181</v>
      </c>
      <c r="K82" s="127">
        <f>SUM(K83:K88)</f>
        <v>42707.463181818181</v>
      </c>
      <c r="L82" s="127">
        <f>SUM(L83:L88)</f>
        <v>42707.463181818181</v>
      </c>
      <c r="M82" s="127">
        <f>SUM(M83:M88)</f>
        <v>42707.463181818181</v>
      </c>
      <c r="N82" s="127">
        <f>SUM(N83:N88)</f>
        <v>42707.463181818181</v>
      </c>
      <c r="O82" s="127">
        <f>SUM(O83:O88)</f>
        <v>42707.463181818181</v>
      </c>
      <c r="P82" s="127">
        <f>SUM(P83:P88)</f>
        <v>42707.463181818181</v>
      </c>
      <c r="Q82" s="127">
        <f>SUM(Q83:Q88)</f>
        <v>42707.463181818181</v>
      </c>
      <c r="R82" s="127">
        <f>SUM(R83:R88)</f>
        <v>42707.463181818181</v>
      </c>
      <c r="S82" s="127">
        <f t="shared" ref="S82" si="70">SUM(S83:S88)</f>
        <v>42707.463181818181</v>
      </c>
      <c r="T82" s="127">
        <f t="shared" ref="T82" si="71">SUM(T83:T88)</f>
        <v>42707.463181818181</v>
      </c>
      <c r="U82" s="127">
        <f t="shared" ref="U82" si="72">SUM(U83:U88)</f>
        <v>42707.463181818181</v>
      </c>
      <c r="V82" s="127">
        <f t="shared" ref="V82" si="73">SUM(V83:V88)</f>
        <v>42707.463181818181</v>
      </c>
      <c r="W82" s="127">
        <f t="shared" ref="W82" si="74">SUM(W83:W88)</f>
        <v>42707.463181818181</v>
      </c>
      <c r="X82" s="127">
        <f t="shared" ref="X82" si="75">SUM(X83:X88)</f>
        <v>42707.463181818181</v>
      </c>
      <c r="Y82" s="127">
        <f t="shared" ref="Y82" si="76">SUM(Y83:Y88)</f>
        <v>42707.463181818181</v>
      </c>
      <c r="Z82" s="127">
        <f t="shared" ref="Z82" si="77">SUM(Z83:Z88)</f>
        <v>42707.463181818181</v>
      </c>
      <c r="AA82" s="127">
        <f t="shared" ref="AA82" si="78">SUM(AA83:AA88)</f>
        <v>42707.463181818181</v>
      </c>
      <c r="AB82" s="127">
        <f t="shared" ref="AB82" si="79">SUM(AB83:AB88)</f>
        <v>42707.463181818181</v>
      </c>
      <c r="AC82" s="127">
        <f>SUM(AC83:AC88)</f>
        <v>42707.463181818181</v>
      </c>
      <c r="AD82" s="61">
        <f>SUM(AD83:AD88)</f>
        <v>0</v>
      </c>
      <c r="AE82" s="70"/>
    </row>
    <row r="83" spans="1:31" s="23" customFormat="1" outlineLevel="1" x14ac:dyDescent="0.2">
      <c r="A83" s="46"/>
      <c r="C83" s="42"/>
      <c r="D83" s="77"/>
      <c r="E83" s="135"/>
      <c r="F83" s="129"/>
      <c r="G83" s="130">
        <f t="shared" ref="G83:G84" si="80">F83+E83</f>
        <v>0</v>
      </c>
      <c r="H83" s="131"/>
      <c r="I83" s="132"/>
      <c r="J83" s="132"/>
      <c r="K83" s="132"/>
      <c r="L83" s="132"/>
      <c r="M83" s="132"/>
      <c r="N83" s="132"/>
      <c r="O83" s="132"/>
      <c r="P83" s="132"/>
      <c r="Q83" s="132"/>
      <c r="R83" s="132"/>
      <c r="S83" s="132"/>
      <c r="T83" s="132"/>
      <c r="U83" s="132"/>
      <c r="V83" s="132"/>
      <c r="W83" s="132"/>
      <c r="X83" s="132"/>
      <c r="Y83" s="132"/>
      <c r="Z83" s="132"/>
      <c r="AA83" s="132"/>
      <c r="AB83" s="132"/>
      <c r="AC83" s="132"/>
      <c r="AD83" s="37"/>
      <c r="AE83" s="27"/>
    </row>
    <row r="84" spans="1:31" s="23" customFormat="1" outlineLevel="1" x14ac:dyDescent="0.2">
      <c r="A84" s="46"/>
      <c r="C84" s="42">
        <v>8.01</v>
      </c>
      <c r="D84" s="77" t="s">
        <v>75</v>
      </c>
      <c r="E84" s="135">
        <f>(134223.46)</f>
        <v>134223.46</v>
      </c>
      <c r="F84" s="129"/>
      <c r="G84" s="130">
        <f t="shared" si="80"/>
        <v>134223.46</v>
      </c>
      <c r="H84" s="131">
        <f>($G84/22)*1</f>
        <v>6101.0663636363633</v>
      </c>
      <c r="I84" s="132">
        <f>($G84/22)*1</f>
        <v>6101.0663636363633</v>
      </c>
      <c r="J84" s="132">
        <f t="shared" ref="J84:AC87" si="81">($G84/22)*1</f>
        <v>6101.0663636363633</v>
      </c>
      <c r="K84" s="132">
        <f t="shared" si="81"/>
        <v>6101.0663636363633</v>
      </c>
      <c r="L84" s="132">
        <f t="shared" si="81"/>
        <v>6101.0663636363633</v>
      </c>
      <c r="M84" s="132">
        <f t="shared" si="81"/>
        <v>6101.0663636363633</v>
      </c>
      <c r="N84" s="132">
        <f t="shared" si="81"/>
        <v>6101.0663636363633</v>
      </c>
      <c r="O84" s="132">
        <f t="shared" si="81"/>
        <v>6101.0663636363633</v>
      </c>
      <c r="P84" s="132">
        <f t="shared" si="81"/>
        <v>6101.0663636363633</v>
      </c>
      <c r="Q84" s="132">
        <f t="shared" si="81"/>
        <v>6101.0663636363633</v>
      </c>
      <c r="R84" s="132">
        <f t="shared" si="81"/>
        <v>6101.0663636363633</v>
      </c>
      <c r="S84" s="132">
        <f t="shared" si="81"/>
        <v>6101.0663636363633</v>
      </c>
      <c r="T84" s="132">
        <f t="shared" si="81"/>
        <v>6101.0663636363633</v>
      </c>
      <c r="U84" s="132">
        <f t="shared" si="81"/>
        <v>6101.0663636363633</v>
      </c>
      <c r="V84" s="132">
        <f t="shared" si="81"/>
        <v>6101.0663636363633</v>
      </c>
      <c r="W84" s="132">
        <f t="shared" si="81"/>
        <v>6101.0663636363633</v>
      </c>
      <c r="X84" s="132">
        <f t="shared" si="81"/>
        <v>6101.0663636363633</v>
      </c>
      <c r="Y84" s="132">
        <f t="shared" si="81"/>
        <v>6101.0663636363633</v>
      </c>
      <c r="Z84" s="132">
        <f t="shared" si="81"/>
        <v>6101.0663636363633</v>
      </c>
      <c r="AA84" s="132">
        <f t="shared" si="81"/>
        <v>6101.0663636363633</v>
      </c>
      <c r="AB84" s="132">
        <f t="shared" si="81"/>
        <v>6101.0663636363633</v>
      </c>
      <c r="AC84" s="132">
        <f t="shared" si="81"/>
        <v>6101.0663636363633</v>
      </c>
      <c r="AD84" s="37"/>
      <c r="AE84" s="27"/>
    </row>
    <row r="85" spans="1:31" s="23" customFormat="1" outlineLevel="1" x14ac:dyDescent="0.2">
      <c r="A85" s="46"/>
      <c r="C85" s="42">
        <v>8.01</v>
      </c>
      <c r="D85" s="77" t="s">
        <v>76</v>
      </c>
      <c r="E85" s="135">
        <f>(268446.91)</f>
        <v>268446.90999999997</v>
      </c>
      <c r="F85" s="129"/>
      <c r="G85" s="130">
        <f t="shared" ref="G85:G86" si="82">F85+E85</f>
        <v>268446.90999999997</v>
      </c>
      <c r="H85" s="131">
        <f>($G85/22)*1</f>
        <v>12202.132272727271</v>
      </c>
      <c r="I85" s="132">
        <f>($G85/22)*1</f>
        <v>12202.132272727271</v>
      </c>
      <c r="J85" s="132">
        <f t="shared" si="81"/>
        <v>12202.132272727271</v>
      </c>
      <c r="K85" s="132">
        <f t="shared" si="81"/>
        <v>12202.132272727271</v>
      </c>
      <c r="L85" s="132">
        <f t="shared" si="81"/>
        <v>12202.132272727271</v>
      </c>
      <c r="M85" s="132">
        <f t="shared" si="81"/>
        <v>12202.132272727271</v>
      </c>
      <c r="N85" s="132">
        <f t="shared" si="81"/>
        <v>12202.132272727271</v>
      </c>
      <c r="O85" s="132">
        <f t="shared" si="81"/>
        <v>12202.132272727271</v>
      </c>
      <c r="P85" s="132">
        <f t="shared" si="81"/>
        <v>12202.132272727271</v>
      </c>
      <c r="Q85" s="132">
        <f t="shared" si="81"/>
        <v>12202.132272727271</v>
      </c>
      <c r="R85" s="132">
        <f t="shared" si="81"/>
        <v>12202.132272727271</v>
      </c>
      <c r="S85" s="132">
        <f t="shared" si="81"/>
        <v>12202.132272727271</v>
      </c>
      <c r="T85" s="132">
        <f t="shared" si="81"/>
        <v>12202.132272727271</v>
      </c>
      <c r="U85" s="132">
        <f t="shared" si="81"/>
        <v>12202.132272727271</v>
      </c>
      <c r="V85" s="132">
        <f t="shared" si="81"/>
        <v>12202.132272727271</v>
      </c>
      <c r="W85" s="132">
        <f t="shared" si="81"/>
        <v>12202.132272727271</v>
      </c>
      <c r="X85" s="132">
        <f t="shared" si="81"/>
        <v>12202.132272727271</v>
      </c>
      <c r="Y85" s="132">
        <f t="shared" si="81"/>
        <v>12202.132272727271</v>
      </c>
      <c r="Z85" s="132">
        <f t="shared" si="81"/>
        <v>12202.132272727271</v>
      </c>
      <c r="AA85" s="132">
        <f t="shared" si="81"/>
        <v>12202.132272727271</v>
      </c>
      <c r="AB85" s="132">
        <f t="shared" si="81"/>
        <v>12202.132272727271</v>
      </c>
      <c r="AC85" s="132">
        <f t="shared" si="81"/>
        <v>12202.132272727271</v>
      </c>
      <c r="AD85" s="37"/>
      <c r="AE85" s="27"/>
    </row>
    <row r="86" spans="1:31" s="23" customFormat="1" outlineLevel="1" x14ac:dyDescent="0.2">
      <c r="A86" s="46"/>
      <c r="C86" s="42">
        <v>8.01</v>
      </c>
      <c r="D86" s="77" t="s">
        <v>77</v>
      </c>
      <c r="E86" s="135">
        <f>(268446.91)</f>
        <v>268446.90999999997</v>
      </c>
      <c r="F86" s="129"/>
      <c r="G86" s="130">
        <f t="shared" si="82"/>
        <v>268446.90999999997</v>
      </c>
      <c r="H86" s="131">
        <f>($G86/22)*1</f>
        <v>12202.132272727271</v>
      </c>
      <c r="I86" s="132">
        <f t="shared" ref="I84:X87" si="83">($G86/22)*1</f>
        <v>12202.132272727271</v>
      </c>
      <c r="J86" s="132">
        <f t="shared" si="83"/>
        <v>12202.132272727271</v>
      </c>
      <c r="K86" s="132">
        <f t="shared" si="83"/>
        <v>12202.132272727271</v>
      </c>
      <c r="L86" s="132">
        <f t="shared" si="83"/>
        <v>12202.132272727271</v>
      </c>
      <c r="M86" s="132">
        <f t="shared" si="83"/>
        <v>12202.132272727271</v>
      </c>
      <c r="N86" s="132">
        <f t="shared" si="83"/>
        <v>12202.132272727271</v>
      </c>
      <c r="O86" s="132">
        <f t="shared" si="83"/>
        <v>12202.132272727271</v>
      </c>
      <c r="P86" s="132">
        <f t="shared" si="83"/>
        <v>12202.132272727271</v>
      </c>
      <c r="Q86" s="132">
        <f t="shared" si="83"/>
        <v>12202.132272727271</v>
      </c>
      <c r="R86" s="132">
        <f t="shared" si="83"/>
        <v>12202.132272727271</v>
      </c>
      <c r="S86" s="132">
        <f t="shared" si="83"/>
        <v>12202.132272727271</v>
      </c>
      <c r="T86" s="132">
        <f t="shared" si="83"/>
        <v>12202.132272727271</v>
      </c>
      <c r="U86" s="132">
        <f t="shared" si="83"/>
        <v>12202.132272727271</v>
      </c>
      <c r="V86" s="132">
        <f t="shared" si="83"/>
        <v>12202.132272727271</v>
      </c>
      <c r="W86" s="132">
        <f t="shared" si="83"/>
        <v>12202.132272727271</v>
      </c>
      <c r="X86" s="132">
        <f t="shared" si="83"/>
        <v>12202.132272727271</v>
      </c>
      <c r="Y86" s="132">
        <f t="shared" si="81"/>
        <v>12202.132272727271</v>
      </c>
      <c r="Z86" s="132">
        <f t="shared" si="81"/>
        <v>12202.132272727271</v>
      </c>
      <c r="AA86" s="132">
        <f t="shared" si="81"/>
        <v>12202.132272727271</v>
      </c>
      <c r="AB86" s="132">
        <f t="shared" si="81"/>
        <v>12202.132272727271</v>
      </c>
      <c r="AC86" s="132">
        <f t="shared" si="81"/>
        <v>12202.132272727271</v>
      </c>
      <c r="AD86" s="37"/>
      <c r="AE86" s="27"/>
    </row>
    <row r="87" spans="1:31" s="23" customFormat="1" outlineLevel="1" x14ac:dyDescent="0.2">
      <c r="A87" s="46"/>
      <c r="C87" s="42">
        <v>8.01</v>
      </c>
      <c r="D87" s="77" t="s">
        <v>78</v>
      </c>
      <c r="E87" s="135">
        <f>(268446.91)</f>
        <v>268446.90999999997</v>
      </c>
      <c r="F87" s="129"/>
      <c r="G87" s="130">
        <f t="shared" ref="G87" si="84">F87+E87</f>
        <v>268446.90999999997</v>
      </c>
      <c r="H87" s="131">
        <f>($G87/22)*1</f>
        <v>12202.132272727271</v>
      </c>
      <c r="I87" s="132">
        <f t="shared" si="83"/>
        <v>12202.132272727271</v>
      </c>
      <c r="J87" s="132">
        <f t="shared" si="81"/>
        <v>12202.132272727271</v>
      </c>
      <c r="K87" s="132">
        <f t="shared" si="81"/>
        <v>12202.132272727271</v>
      </c>
      <c r="L87" s="132">
        <f t="shared" si="81"/>
        <v>12202.132272727271</v>
      </c>
      <c r="M87" s="132">
        <f t="shared" si="81"/>
        <v>12202.132272727271</v>
      </c>
      <c r="N87" s="132">
        <f t="shared" si="81"/>
        <v>12202.132272727271</v>
      </c>
      <c r="O87" s="132">
        <f t="shared" si="81"/>
        <v>12202.132272727271</v>
      </c>
      <c r="P87" s="132">
        <f t="shared" si="81"/>
        <v>12202.132272727271</v>
      </c>
      <c r="Q87" s="132">
        <f t="shared" si="81"/>
        <v>12202.132272727271</v>
      </c>
      <c r="R87" s="132">
        <f t="shared" si="81"/>
        <v>12202.132272727271</v>
      </c>
      <c r="S87" s="132">
        <f t="shared" si="81"/>
        <v>12202.132272727271</v>
      </c>
      <c r="T87" s="132">
        <f t="shared" si="81"/>
        <v>12202.132272727271</v>
      </c>
      <c r="U87" s="132">
        <f t="shared" si="81"/>
        <v>12202.132272727271</v>
      </c>
      <c r="V87" s="132">
        <f t="shared" si="81"/>
        <v>12202.132272727271</v>
      </c>
      <c r="W87" s="132">
        <f t="shared" si="81"/>
        <v>12202.132272727271</v>
      </c>
      <c r="X87" s="132">
        <f t="shared" si="81"/>
        <v>12202.132272727271</v>
      </c>
      <c r="Y87" s="132">
        <f t="shared" si="81"/>
        <v>12202.132272727271</v>
      </c>
      <c r="Z87" s="132">
        <f t="shared" si="81"/>
        <v>12202.132272727271</v>
      </c>
      <c r="AA87" s="132">
        <f t="shared" si="81"/>
        <v>12202.132272727271</v>
      </c>
      <c r="AB87" s="132">
        <f t="shared" si="81"/>
        <v>12202.132272727271</v>
      </c>
      <c r="AC87" s="132">
        <f t="shared" si="81"/>
        <v>12202.132272727271</v>
      </c>
      <c r="AD87" s="37"/>
      <c r="AE87" s="27"/>
    </row>
    <row r="88" spans="1:31" s="23" customFormat="1" outlineLevel="1" x14ac:dyDescent="0.2">
      <c r="C88" s="42"/>
      <c r="D88" s="78"/>
      <c r="E88" s="128"/>
      <c r="F88" s="129"/>
      <c r="G88" s="130"/>
      <c r="H88" s="133"/>
      <c r="I88" s="131"/>
      <c r="J88" s="131"/>
      <c r="K88" s="131"/>
      <c r="L88" s="131"/>
      <c r="M88" s="131"/>
      <c r="N88" s="131"/>
      <c r="O88" s="131"/>
      <c r="P88" s="131"/>
      <c r="Q88" s="131"/>
      <c r="R88" s="131"/>
      <c r="S88" s="131"/>
      <c r="T88" s="131"/>
      <c r="U88" s="131"/>
      <c r="V88" s="131"/>
      <c r="W88" s="131"/>
      <c r="X88" s="131"/>
      <c r="Y88" s="131"/>
      <c r="Z88" s="131"/>
      <c r="AA88" s="131"/>
      <c r="AB88" s="131"/>
      <c r="AC88" s="131"/>
      <c r="AD88" s="38"/>
      <c r="AE88" s="60"/>
    </row>
    <row r="89" spans="1:31" s="68" customFormat="1" outlineLevel="1" x14ac:dyDescent="0.2">
      <c r="B89" s="22"/>
      <c r="C89" s="69">
        <v>9</v>
      </c>
      <c r="D89" s="47" t="s">
        <v>74</v>
      </c>
      <c r="E89" s="136">
        <f>SUM(E90:E92)</f>
        <v>0</v>
      </c>
      <c r="F89" s="124">
        <f t="shared" ref="F89:G89" si="85">SUM(F90:F92)</f>
        <v>0</v>
      </c>
      <c r="G89" s="125">
        <f t="shared" si="85"/>
        <v>0</v>
      </c>
      <c r="H89" s="126">
        <f>SUM(H90)</f>
        <v>0</v>
      </c>
      <c r="I89" s="127">
        <f t="shared" ref="I89:AD89" si="86">SUM(I90)</f>
        <v>0</v>
      </c>
      <c r="J89" s="127">
        <f t="shared" si="86"/>
        <v>0</v>
      </c>
      <c r="K89" s="127">
        <f t="shared" si="86"/>
        <v>0</v>
      </c>
      <c r="L89" s="127">
        <f t="shared" si="86"/>
        <v>0</v>
      </c>
      <c r="M89" s="127">
        <f t="shared" si="86"/>
        <v>0</v>
      </c>
      <c r="N89" s="127">
        <f t="shared" si="86"/>
        <v>0</v>
      </c>
      <c r="O89" s="127">
        <f t="shared" si="86"/>
        <v>0</v>
      </c>
      <c r="P89" s="127">
        <f t="shared" si="86"/>
        <v>0</v>
      </c>
      <c r="Q89" s="127">
        <f t="shared" si="86"/>
        <v>0</v>
      </c>
      <c r="R89" s="127">
        <f t="shared" si="86"/>
        <v>0</v>
      </c>
      <c r="S89" s="127">
        <f t="shared" si="86"/>
        <v>0</v>
      </c>
      <c r="T89" s="127">
        <f t="shared" si="86"/>
        <v>0</v>
      </c>
      <c r="U89" s="127">
        <f t="shared" si="86"/>
        <v>0</v>
      </c>
      <c r="V89" s="127">
        <f t="shared" si="86"/>
        <v>0</v>
      </c>
      <c r="W89" s="127">
        <f t="shared" si="86"/>
        <v>0</v>
      </c>
      <c r="X89" s="127">
        <f t="shared" si="86"/>
        <v>0</v>
      </c>
      <c r="Y89" s="127">
        <f t="shared" si="86"/>
        <v>0</v>
      </c>
      <c r="Z89" s="127">
        <f t="shared" si="86"/>
        <v>0</v>
      </c>
      <c r="AA89" s="127">
        <f t="shared" si="86"/>
        <v>0</v>
      </c>
      <c r="AB89" s="127">
        <f t="shared" si="86"/>
        <v>0</v>
      </c>
      <c r="AC89" s="127">
        <f t="shared" si="86"/>
        <v>0</v>
      </c>
      <c r="AD89" s="61">
        <f t="shared" si="86"/>
        <v>0</v>
      </c>
      <c r="AE89" s="70"/>
    </row>
    <row r="90" spans="1:31" s="23" customFormat="1" outlineLevel="1" x14ac:dyDescent="0.2">
      <c r="C90" s="42"/>
      <c r="D90" s="81"/>
      <c r="E90" s="135"/>
      <c r="F90" s="129"/>
      <c r="G90" s="130">
        <f t="shared" si="47"/>
        <v>0</v>
      </c>
      <c r="H90" s="131"/>
      <c r="I90" s="132"/>
      <c r="J90" s="132"/>
      <c r="K90" s="132"/>
      <c r="L90" s="132"/>
      <c r="M90" s="132"/>
      <c r="N90" s="132"/>
      <c r="O90" s="132"/>
      <c r="P90" s="132"/>
      <c r="Q90" s="132"/>
      <c r="R90" s="132"/>
      <c r="S90" s="132"/>
      <c r="T90" s="132"/>
      <c r="U90" s="132"/>
      <c r="V90" s="132"/>
      <c r="W90" s="132"/>
      <c r="X90" s="132"/>
      <c r="Y90" s="132"/>
      <c r="Z90" s="132"/>
      <c r="AA90" s="132"/>
      <c r="AB90" s="132"/>
      <c r="AC90" s="132"/>
      <c r="AD90" s="37"/>
      <c r="AE90" s="27"/>
    </row>
    <row r="91" spans="1:31" s="23" customFormat="1" outlineLevel="1" x14ac:dyDescent="0.2">
      <c r="C91" s="42"/>
      <c r="D91" s="81"/>
      <c r="E91" s="135"/>
      <c r="F91" s="129"/>
      <c r="G91" s="130">
        <f t="shared" ref="G91" si="87">F91+E91</f>
        <v>0</v>
      </c>
      <c r="H91" s="131"/>
      <c r="I91" s="132"/>
      <c r="J91" s="132"/>
      <c r="K91" s="132"/>
      <c r="L91" s="132"/>
      <c r="M91" s="132"/>
      <c r="N91" s="132"/>
      <c r="O91" s="132"/>
      <c r="P91" s="132"/>
      <c r="Q91" s="132"/>
      <c r="R91" s="132"/>
      <c r="S91" s="132"/>
      <c r="T91" s="132"/>
      <c r="U91" s="132"/>
      <c r="V91" s="132"/>
      <c r="W91" s="132"/>
      <c r="X91" s="132"/>
      <c r="Y91" s="132"/>
      <c r="Z91" s="132"/>
      <c r="AA91" s="132"/>
      <c r="AB91" s="132"/>
      <c r="AC91" s="132"/>
      <c r="AD91" s="37"/>
      <c r="AE91" s="27"/>
    </row>
    <row r="92" spans="1:31" s="23" customFormat="1" ht="12" thickBot="1" x14ac:dyDescent="0.25">
      <c r="C92" s="82"/>
      <c r="D92" s="80"/>
      <c r="E92" s="137"/>
      <c r="F92" s="138"/>
      <c r="G92" s="139"/>
      <c r="H92" s="140"/>
      <c r="I92" s="141"/>
      <c r="J92" s="141"/>
      <c r="K92" s="141"/>
      <c r="L92" s="141"/>
      <c r="M92" s="141"/>
      <c r="N92" s="141"/>
      <c r="O92" s="141"/>
      <c r="P92" s="141"/>
      <c r="Q92" s="141"/>
      <c r="R92" s="141"/>
      <c r="S92" s="141"/>
      <c r="T92" s="141"/>
      <c r="U92" s="141"/>
      <c r="V92" s="141"/>
      <c r="W92" s="141"/>
      <c r="X92" s="141"/>
      <c r="Y92" s="141"/>
      <c r="Z92" s="141"/>
      <c r="AA92" s="141"/>
      <c r="AB92" s="141"/>
      <c r="AC92" s="141"/>
      <c r="AD92" s="39"/>
      <c r="AE92" s="63"/>
    </row>
    <row r="93" spans="1:31" s="40" customFormat="1" x14ac:dyDescent="0.2">
      <c r="A93" s="23"/>
      <c r="C93" s="102" t="s">
        <v>11</v>
      </c>
      <c r="D93" s="103"/>
      <c r="E93" s="142">
        <f>E89+E82+E70+E64+E57+E51+E40+E36+E16+E20</f>
        <v>11320440.619999999</v>
      </c>
      <c r="F93" s="142">
        <f>F89+F82+F70+F64+F57+F51+F40+F36+F32+F16+F25+F20</f>
        <v>357000</v>
      </c>
      <c r="G93" s="143">
        <f>G89+G82+G70+G64+G57+G51+G40+G36+G16+G20</f>
        <v>11677440.619999999</v>
      </c>
      <c r="H93" s="144">
        <f>SUM(H89+H82+H70+H64+H57+H51+H40+H36+H16+H20)</f>
        <v>147662.00863636361</v>
      </c>
      <c r="I93" s="145">
        <f>SUM(I89+I82+I70+I64+I57+I51+I40+I36+I16+I20)</f>
        <v>309268.00863636367</v>
      </c>
      <c r="J93" s="145">
        <f t="shared" ref="J93:AC93" si="88">SUM(J89+J82+J70+J64+J57+J51+J40+J36+J16+J20)</f>
        <v>253250.00863636364</v>
      </c>
      <c r="K93" s="145">
        <f t="shared" si="88"/>
        <v>169166.00863636361</v>
      </c>
      <c r="L93" s="145">
        <f t="shared" si="88"/>
        <v>196640.67530303029</v>
      </c>
      <c r="M93" s="145">
        <f t="shared" si="88"/>
        <v>315192.84196969692</v>
      </c>
      <c r="N93" s="145">
        <f t="shared" si="88"/>
        <v>315192.84196969692</v>
      </c>
      <c r="O93" s="145">
        <f t="shared" si="88"/>
        <v>272366.17530303029</v>
      </c>
      <c r="P93" s="145">
        <f t="shared" si="88"/>
        <v>298724.81530303031</v>
      </c>
      <c r="Q93" s="145">
        <f t="shared" si="88"/>
        <v>311904.13530303026</v>
      </c>
      <c r="R93" s="145">
        <f t="shared" si="88"/>
        <v>282766.17530303029</v>
      </c>
      <c r="S93" s="145">
        <f t="shared" si="88"/>
        <v>343536.45863636362</v>
      </c>
      <c r="T93" s="145">
        <f t="shared" si="88"/>
        <v>487211.30863636365</v>
      </c>
      <c r="U93" s="145">
        <f t="shared" si="88"/>
        <v>793807.84435064928</v>
      </c>
      <c r="V93" s="145">
        <f t="shared" si="88"/>
        <v>1487206.1633506492</v>
      </c>
      <c r="W93" s="145">
        <f t="shared" si="88"/>
        <v>2192076.5573506495</v>
      </c>
      <c r="X93" s="145">
        <f t="shared" si="88"/>
        <v>1732799.4094935064</v>
      </c>
      <c r="Y93" s="145">
        <f t="shared" si="88"/>
        <v>600512.20613636367</v>
      </c>
      <c r="Z93" s="145">
        <f t="shared" si="88"/>
        <v>483892.53363636357</v>
      </c>
      <c r="AA93" s="145">
        <f t="shared" si="88"/>
        <v>388923.3541363636</v>
      </c>
      <c r="AB93" s="145">
        <f t="shared" si="88"/>
        <v>144079.08063636362</v>
      </c>
      <c r="AC93" s="145">
        <f t="shared" si="88"/>
        <v>151262.00863636361</v>
      </c>
      <c r="AD93" s="104"/>
      <c r="AE93" s="64"/>
    </row>
    <row r="94" spans="1:31" s="40" customFormat="1" x14ac:dyDescent="0.2">
      <c r="A94" s="23"/>
      <c r="C94" s="109" t="s">
        <v>59</v>
      </c>
      <c r="D94" s="110"/>
      <c r="E94" s="146"/>
      <c r="F94" s="146"/>
      <c r="G94" s="147"/>
      <c r="H94" s="159">
        <f>-H93*0.03</f>
        <v>-4429.8602590909077</v>
      </c>
      <c r="I94" s="160">
        <f>-I93*0.05</f>
        <v>-15463.400431818183</v>
      </c>
      <c r="J94" s="160">
        <f t="shared" ref="J94:AB94" si="89">-J93*0.05</f>
        <v>-12662.500431818182</v>
      </c>
      <c r="K94" s="160">
        <f t="shared" si="89"/>
        <v>-8458.3004318181811</v>
      </c>
      <c r="L94" s="160">
        <f t="shared" si="89"/>
        <v>-9832.0337651515147</v>
      </c>
      <c r="M94" s="160">
        <f t="shared" si="89"/>
        <v>-15759.642098484846</v>
      </c>
      <c r="N94" s="160">
        <f t="shared" si="89"/>
        <v>-15759.642098484846</v>
      </c>
      <c r="O94" s="160">
        <f t="shared" si="89"/>
        <v>-13618.308765151516</v>
      </c>
      <c r="P94" s="160">
        <f t="shared" si="89"/>
        <v>-14936.240765151517</v>
      </c>
      <c r="Q94" s="160">
        <f t="shared" si="89"/>
        <v>-15595.206765151514</v>
      </c>
      <c r="R94" s="160">
        <f t="shared" si="89"/>
        <v>-14138.308765151516</v>
      </c>
      <c r="S94" s="160">
        <f t="shared" si="89"/>
        <v>-17176.82293181818</v>
      </c>
      <c r="T94" s="160">
        <f t="shared" si="89"/>
        <v>-24360.565431818184</v>
      </c>
      <c r="U94" s="160">
        <f t="shared" si="89"/>
        <v>-39690.39221753247</v>
      </c>
      <c r="V94" s="160">
        <f t="shared" si="89"/>
        <v>-74360.308167532465</v>
      </c>
      <c r="W94" s="160">
        <f t="shared" si="89"/>
        <v>-109603.82786753248</v>
      </c>
      <c r="X94" s="160">
        <f t="shared" si="89"/>
        <v>-86639.970474675327</v>
      </c>
      <c r="Y94" s="160">
        <f t="shared" si="89"/>
        <v>-30025.610306818184</v>
      </c>
      <c r="Z94" s="160">
        <f t="shared" si="89"/>
        <v>-24194.626681818179</v>
      </c>
      <c r="AA94" s="160">
        <f t="shared" si="89"/>
        <v>-19446.167706818182</v>
      </c>
      <c r="AB94" s="160">
        <f t="shared" si="89"/>
        <v>-7203.9540318181816</v>
      </c>
      <c r="AC94" s="160">
        <f>-AC93*0.03</f>
        <v>-4537.8602590909077</v>
      </c>
      <c r="AD94" s="105"/>
      <c r="AE94" s="64"/>
    </row>
    <row r="95" spans="1:31" s="40" customFormat="1" x14ac:dyDescent="0.2">
      <c r="A95" s="23"/>
      <c r="C95" s="66" t="s">
        <v>16</v>
      </c>
      <c r="D95" s="67"/>
      <c r="E95" s="146"/>
      <c r="F95" s="150"/>
      <c r="G95" s="147"/>
      <c r="H95" s="148">
        <f>H93+H94</f>
        <v>143232.14837727271</v>
      </c>
      <c r="I95" s="149">
        <f t="shared" ref="I95" si="90">I93+I94</f>
        <v>293804.60820454545</v>
      </c>
      <c r="J95" s="149">
        <f t="shared" ref="J95" si="91">J93+J94</f>
        <v>240587.50820454545</v>
      </c>
      <c r="K95" s="149">
        <f t="shared" ref="K95" si="92">K93+K94</f>
        <v>160707.70820454543</v>
      </c>
      <c r="L95" s="149">
        <f t="shared" ref="L95" si="93">L93+L94</f>
        <v>186808.64153787878</v>
      </c>
      <c r="M95" s="149">
        <f t="shared" ref="M95" si="94">M93+M94</f>
        <v>299433.19987121207</v>
      </c>
      <c r="N95" s="149">
        <f t="shared" ref="N95" si="95">N93+N94</f>
        <v>299433.19987121207</v>
      </c>
      <c r="O95" s="149">
        <f t="shared" ref="O95" si="96">O93+O94</f>
        <v>258747.86653787878</v>
      </c>
      <c r="P95" s="149">
        <f t="shared" ref="P95" si="97">P93+P94</f>
        <v>283788.5745378788</v>
      </c>
      <c r="Q95" s="149">
        <f t="shared" ref="Q95" si="98">Q93+Q94</f>
        <v>296308.92853787873</v>
      </c>
      <c r="R95" s="149">
        <f t="shared" ref="R95" si="99">R93+R94</f>
        <v>268627.86653787876</v>
      </c>
      <c r="S95" s="149">
        <f t="shared" ref="S95:AC95" si="100">S93+S94</f>
        <v>326359.63570454542</v>
      </c>
      <c r="T95" s="149">
        <f t="shared" si="100"/>
        <v>462850.74320454546</v>
      </c>
      <c r="U95" s="149">
        <f t="shared" si="100"/>
        <v>754117.45213311678</v>
      </c>
      <c r="V95" s="149">
        <f t="shared" si="100"/>
        <v>1412845.8551831166</v>
      </c>
      <c r="W95" s="149">
        <f t="shared" si="100"/>
        <v>2082472.7294831171</v>
      </c>
      <c r="X95" s="149">
        <f t="shared" si="100"/>
        <v>1646159.4390188311</v>
      </c>
      <c r="Y95" s="149">
        <f t="shared" si="100"/>
        <v>570486.59582954552</v>
      </c>
      <c r="Z95" s="149">
        <f t="shared" si="100"/>
        <v>459697.90695454541</v>
      </c>
      <c r="AA95" s="149">
        <f t="shared" si="100"/>
        <v>369477.1864295454</v>
      </c>
      <c r="AB95" s="149">
        <f t="shared" si="100"/>
        <v>136875.12660454545</v>
      </c>
      <c r="AC95" s="149">
        <f t="shared" si="100"/>
        <v>146724.14837727271</v>
      </c>
      <c r="AD95" s="105"/>
      <c r="AE95" s="64"/>
    </row>
    <row r="96" spans="1:31" s="41" customFormat="1" ht="12" thickBot="1" x14ac:dyDescent="0.25">
      <c r="A96" s="23"/>
      <c r="C96" s="107" t="s">
        <v>15</v>
      </c>
      <c r="D96" s="108"/>
      <c r="E96" s="151"/>
      <c r="F96" s="152"/>
      <c r="G96" s="153"/>
      <c r="H96" s="154">
        <f>H93</f>
        <v>147662.00863636361</v>
      </c>
      <c r="I96" s="155">
        <f>I93+H96</f>
        <v>456930.01727272727</v>
      </c>
      <c r="J96" s="155">
        <f t="shared" ref="J96:Q96" si="101">J93+I96</f>
        <v>710180.02590909088</v>
      </c>
      <c r="K96" s="155">
        <f t="shared" si="101"/>
        <v>879346.03454545443</v>
      </c>
      <c r="L96" s="155">
        <f t="shared" si="101"/>
        <v>1075986.7098484847</v>
      </c>
      <c r="M96" s="155">
        <f t="shared" si="101"/>
        <v>1391179.5518181818</v>
      </c>
      <c r="N96" s="155">
        <f t="shared" si="101"/>
        <v>1706372.3937878786</v>
      </c>
      <c r="O96" s="155">
        <f t="shared" si="101"/>
        <v>1978738.5690909089</v>
      </c>
      <c r="P96" s="155">
        <f t="shared" si="101"/>
        <v>2277463.3843939393</v>
      </c>
      <c r="Q96" s="155">
        <f t="shared" si="101"/>
        <v>2589367.5196969695</v>
      </c>
      <c r="R96" s="155">
        <f>R93+Q96</f>
        <v>2872133.6949999998</v>
      </c>
      <c r="S96" s="155">
        <f t="shared" ref="S96:AB96" si="102">S93+R96</f>
        <v>3215670.1536363633</v>
      </c>
      <c r="T96" s="155">
        <f t="shared" si="102"/>
        <v>3702881.4622727269</v>
      </c>
      <c r="U96" s="155">
        <f t="shared" si="102"/>
        <v>4496689.306623376</v>
      </c>
      <c r="V96" s="155">
        <f t="shared" si="102"/>
        <v>5983895.4699740252</v>
      </c>
      <c r="W96" s="155">
        <f t="shared" si="102"/>
        <v>8175972.0273246747</v>
      </c>
      <c r="X96" s="155">
        <f t="shared" si="102"/>
        <v>9908771.4368181806</v>
      </c>
      <c r="Y96" s="155">
        <f t="shared" si="102"/>
        <v>10509283.642954545</v>
      </c>
      <c r="Z96" s="155">
        <f t="shared" si="102"/>
        <v>10993176.176590908</v>
      </c>
      <c r="AA96" s="155">
        <f t="shared" si="102"/>
        <v>11382099.530727271</v>
      </c>
      <c r="AB96" s="155">
        <f t="shared" si="102"/>
        <v>11526178.611363634</v>
      </c>
      <c r="AC96" s="155">
        <f>AC93+AB96</f>
        <v>11677440.619999997</v>
      </c>
      <c r="AD96" s="106"/>
      <c r="AE96" s="65"/>
    </row>
    <row r="97" spans="1:31" x14ac:dyDescent="0.2">
      <c r="A97" s="23"/>
      <c r="C97" s="3"/>
      <c r="D97" s="3"/>
      <c r="G97" s="7"/>
      <c r="H97" s="7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</row>
    <row r="98" spans="1:31" x14ac:dyDescent="0.2">
      <c r="A98" s="23"/>
      <c r="C98" s="5" t="s">
        <v>7</v>
      </c>
      <c r="D98" s="4"/>
      <c r="E98" s="11"/>
      <c r="G98" s="7"/>
      <c r="H98" s="12"/>
      <c r="I98" s="8"/>
      <c r="J98" s="8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8"/>
    </row>
    <row r="99" spans="1:31" x14ac:dyDescent="0.2">
      <c r="A99" s="23"/>
      <c r="C99" s="51"/>
      <c r="E99" s="52"/>
      <c r="G99" s="7"/>
      <c r="H99" s="12"/>
      <c r="I99" s="8"/>
      <c r="J99" s="8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8"/>
    </row>
    <row r="100" spans="1:31" ht="24.95" customHeight="1" x14ac:dyDescent="0.2">
      <c r="A100" s="23"/>
      <c r="C100" s="92" t="s">
        <v>22</v>
      </c>
      <c r="D100" s="93"/>
      <c r="E100" s="16"/>
      <c r="H100" s="13"/>
      <c r="I100" s="8"/>
      <c r="J100" s="8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8"/>
    </row>
    <row r="101" spans="1:31" x14ac:dyDescent="0.2">
      <c r="A101" s="23"/>
      <c r="C101" s="14"/>
      <c r="D101" s="15"/>
      <c r="E101" s="16"/>
    </row>
    <row r="102" spans="1:31" x14ac:dyDescent="0.2">
      <c r="A102" s="23"/>
      <c r="C102" s="14"/>
      <c r="D102" s="15"/>
      <c r="E102" s="53"/>
    </row>
    <row r="103" spans="1:31" x14ac:dyDescent="0.2">
      <c r="A103" s="23"/>
      <c r="C103" s="14"/>
      <c r="D103" s="15"/>
      <c r="E103" s="16"/>
    </row>
    <row r="104" spans="1:31" x14ac:dyDescent="0.2">
      <c r="A104" s="23"/>
      <c r="C104" s="14"/>
      <c r="D104" s="15"/>
      <c r="E104" s="53"/>
    </row>
    <row r="105" spans="1:31" x14ac:dyDescent="0.2">
      <c r="A105" s="23"/>
      <c r="C105" s="20"/>
      <c r="D105" s="15"/>
      <c r="E105" s="16"/>
    </row>
    <row r="106" spans="1:31" s="7" customFormat="1" x14ac:dyDescent="0.2">
      <c r="A106" s="23"/>
      <c r="B106" s="2"/>
      <c r="C106" s="14"/>
      <c r="D106" s="15"/>
      <c r="E106" s="16"/>
      <c r="G106" s="6"/>
      <c r="H106" s="6"/>
    </row>
    <row r="107" spans="1:31" s="7" customFormat="1" x14ac:dyDescent="0.2">
      <c r="A107" s="23"/>
      <c r="B107" s="2"/>
      <c r="C107" s="14"/>
      <c r="D107" s="15"/>
      <c r="E107" s="16"/>
      <c r="G107" s="6"/>
      <c r="H107" s="6"/>
    </row>
    <row r="108" spans="1:31" s="7" customFormat="1" x14ac:dyDescent="0.2">
      <c r="A108" s="23"/>
      <c r="B108" s="2"/>
      <c r="C108" s="14"/>
      <c r="D108" s="15"/>
      <c r="E108" s="16"/>
      <c r="G108" s="6"/>
      <c r="H108" s="6"/>
    </row>
    <row r="109" spans="1:31" s="7" customFormat="1" x14ac:dyDescent="0.2">
      <c r="A109" s="23"/>
      <c r="B109" s="2"/>
      <c r="C109" s="17"/>
      <c r="D109" s="18"/>
      <c r="E109" s="19"/>
      <c r="G109" s="6"/>
      <c r="H109" s="6"/>
    </row>
    <row r="110" spans="1:31" x14ac:dyDescent="0.2">
      <c r="A110" s="23"/>
    </row>
  </sheetData>
  <autoFilter ref="A15:AE110" xr:uid="{33F53C3D-C57A-4D78-A045-05ED6B1A1944}"/>
  <sortState xmlns:xlrd2="http://schemas.microsoft.com/office/spreadsheetml/2017/richdata2" ref="A25:AE215">
    <sortCondition ref="A25:A215"/>
  </sortState>
  <mergeCells count="16">
    <mergeCell ref="C100:D100"/>
    <mergeCell ref="C3:AD3"/>
    <mergeCell ref="C5:AD5"/>
    <mergeCell ref="AD12:AD14"/>
    <mergeCell ref="C93:D93"/>
    <mergeCell ref="AD93:AD96"/>
    <mergeCell ref="C96:D96"/>
    <mergeCell ref="C94:D94"/>
    <mergeCell ref="C12:C13"/>
    <mergeCell ref="D12:D13"/>
    <mergeCell ref="E12:E13"/>
    <mergeCell ref="F12:F13"/>
    <mergeCell ref="G12:G13"/>
    <mergeCell ref="AC9:AD9"/>
    <mergeCell ref="AC8:AD8"/>
    <mergeCell ref="AC7:AD7"/>
  </mergeCells>
  <conditionalFormatting sqref="E16:AC16 E36:AC36 E40:AD40 E51:AE51 E57:AE57 E64:AD64 E70:AD70 E82:AD82 I89:AD89 G52:H56 G58:H63 G71:H81 G17:H35 E20:AC20">
    <cfRule type="cellIs" dxfId="6" priority="73" stopIfTrue="1" operator="equal">
      <formula>0</formula>
    </cfRule>
  </conditionalFormatting>
  <conditionalFormatting sqref="G37:H39">
    <cfRule type="cellIs" dxfId="5" priority="13" stopIfTrue="1" operator="equal">
      <formula>0</formula>
    </cfRule>
  </conditionalFormatting>
  <conditionalFormatting sqref="G41:H50">
    <cfRule type="cellIs" dxfId="4" priority="5" stopIfTrue="1" operator="equal">
      <formula>0</formula>
    </cfRule>
  </conditionalFormatting>
  <conditionalFormatting sqref="G65:H69">
    <cfRule type="cellIs" dxfId="3" priority="16" stopIfTrue="1" operator="equal">
      <formula>0</formula>
    </cfRule>
  </conditionalFormatting>
  <conditionalFormatting sqref="G90:H92 H89 G83:H88">
    <cfRule type="cellIs" dxfId="2" priority="14" stopIfTrue="1" operator="equal">
      <formula>0</formula>
    </cfRule>
  </conditionalFormatting>
  <conditionalFormatting sqref="E89:G89">
    <cfRule type="cellIs" dxfId="0" priority="1" stopIfTrue="1" operator="equal">
      <formula>0</formula>
    </cfRule>
  </conditionalFormatting>
  <printOptions horizontalCentered="1"/>
  <pageMargins left="0.35433070866141736" right="0.15748031496062992" top="0.11811023622047245" bottom="0.11811023622047245" header="0" footer="0"/>
  <pageSetup paperSize="8" scale="5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Final</vt:lpstr>
      <vt:lpstr>Final!Print_Area</vt:lpstr>
      <vt:lpstr>Final!Print_Titles</vt:lpstr>
    </vt:vector>
  </TitlesOfParts>
  <Company>WRW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Bowen</dc:creator>
  <cp:lastModifiedBy>James Lloyd</cp:lastModifiedBy>
  <cp:lastPrinted>2024-04-30T10:23:09Z</cp:lastPrinted>
  <dcterms:created xsi:type="dcterms:W3CDTF">2002-10-02T11:37:06Z</dcterms:created>
  <dcterms:modified xsi:type="dcterms:W3CDTF">2024-04-30T10:27:30Z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-181570868</vt:i4>
  </property>
  <property fmtid="{D5CDD505-2E9C-101B-9397-08002B2CF9AE}" pid="3" name="_EmailSubject">
    <vt:lpwstr>QINETIQ: ABERPORTH: REFURB FOR TCS TEAM: </vt:lpwstr>
  </property>
  <property fmtid="{D5CDD505-2E9C-101B-9397-08002B2CF9AE}" pid="4" name="_AuthorEmail">
    <vt:lpwstr>sheriden.sleap@fgould.com</vt:lpwstr>
  </property>
  <property fmtid="{D5CDD505-2E9C-101B-9397-08002B2CF9AE}" pid="5" name="_AuthorEmailDisplayName">
    <vt:lpwstr>Sleap, Sheriden S</vt:lpwstr>
  </property>
  <property fmtid="{D5CDD505-2E9C-101B-9397-08002B2CF9AE}" pid="6" name="_ReviewingToolsShownOnce">
    <vt:lpwstr/>
  </property>
</Properties>
</file>