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enovo\Downloads\"/>
    </mc:Choice>
  </mc:AlternateContent>
  <xr:revisionPtr revIDLastSave="0" documentId="13_ncr:1_{1E476404-EF54-425B-B369-83D471B5906D}" xr6:coauthVersionLast="47" xr6:coauthVersionMax="47" xr10:uidLastSave="{00000000-0000-0000-0000-000000000000}"/>
  <bookViews>
    <workbookView xWindow="-110" yWindow="-110" windowWidth="19420" windowHeight="10300" tabRatio="500" activeTab="2" xr2:uid="{00000000-000D-0000-FFFF-FFFF00000000}"/>
  </bookViews>
  <sheets>
    <sheet name="Assumptions" sheetId="1" r:id="rId1"/>
    <sheet name="Cash Flows &amp; PV" sheetId="2" r:id="rId2"/>
    <sheet name="Appraisal" sheetId="3" r:id="rId3"/>
    <sheet name="Capital Rationing" sheetId="4" r:id="rId4"/>
  </sheet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11" i="4" l="1"/>
  <c r="E11" i="4" s="1"/>
  <c r="F11" i="4" s="1"/>
  <c r="C10" i="4"/>
  <c r="E10" i="4" s="1"/>
  <c r="C9" i="4"/>
  <c r="E9" i="4" s="1"/>
  <c r="C8" i="4"/>
  <c r="E8" i="4" s="1"/>
  <c r="C7" i="4"/>
  <c r="E7" i="4" s="1"/>
  <c r="C6" i="4"/>
  <c r="E6" i="4" s="1"/>
  <c r="C5" i="4"/>
  <c r="E5" i="4" s="1"/>
  <c r="D11" i="3"/>
  <c r="D18" i="3" s="1"/>
  <c r="C11" i="3"/>
  <c r="C18" i="3" s="1"/>
  <c r="B11" i="3"/>
  <c r="B18" i="3" s="1"/>
  <c r="B8" i="3"/>
  <c r="D6" i="3"/>
  <c r="D19" i="3" s="1"/>
  <c r="C6" i="3"/>
  <c r="C19" i="3" s="1"/>
  <c r="B6" i="3"/>
  <c r="B19" i="3" s="1"/>
  <c r="I11" i="2"/>
  <c r="J11" i="2" s="1"/>
  <c r="F11" i="2"/>
  <c r="G11" i="2" s="1"/>
  <c r="C11" i="2"/>
  <c r="B11" i="2"/>
  <c r="D11" i="2" s="1"/>
  <c r="I10" i="2"/>
  <c r="J10" i="2" s="1"/>
  <c r="F10" i="2"/>
  <c r="G10" i="2" s="1"/>
  <c r="C10" i="2"/>
  <c r="B10" i="2"/>
  <c r="D10" i="2" s="1"/>
  <c r="I9" i="2"/>
  <c r="J9" i="2" s="1"/>
  <c r="F9" i="2"/>
  <c r="G9" i="2" s="1"/>
  <c r="C9" i="2"/>
  <c r="D9" i="2" s="1"/>
  <c r="B9" i="2"/>
  <c r="I8" i="2"/>
  <c r="F8" i="2"/>
  <c r="G8" i="2" s="1"/>
  <c r="C8" i="2"/>
  <c r="D8" i="2" s="1"/>
  <c r="B8" i="2"/>
  <c r="J8" i="2" s="1"/>
  <c r="I7" i="2"/>
  <c r="F7" i="2"/>
  <c r="G7" i="2" s="1"/>
  <c r="C7" i="2"/>
  <c r="D7" i="2" s="1"/>
  <c r="B7" i="2"/>
  <c r="J7" i="2" s="1"/>
  <c r="I6" i="2"/>
  <c r="K6" i="2" s="1"/>
  <c r="K7" i="2" s="1"/>
  <c r="H6" i="2"/>
  <c r="H7" i="2" s="1"/>
  <c r="F6" i="2"/>
  <c r="G6" i="2" s="1"/>
  <c r="C6" i="2"/>
  <c r="E6" i="2" s="1"/>
  <c r="E7" i="2" s="1"/>
  <c r="B6" i="2"/>
  <c r="E8" i="2" l="1"/>
  <c r="E9" i="2" s="1"/>
  <c r="E10" i="2" s="1"/>
  <c r="E11" i="2" s="1"/>
  <c r="G12" i="2"/>
  <c r="C7" i="3" s="1"/>
  <c r="H8" i="2"/>
  <c r="H9" i="2" s="1"/>
  <c r="H10" i="2" s="1"/>
  <c r="H11" i="2" s="1"/>
  <c r="B10" i="3"/>
  <c r="K8" i="2"/>
  <c r="K9" i="2" s="1"/>
  <c r="K10" i="2" s="1"/>
  <c r="K11" i="2" s="1"/>
  <c r="D10" i="3"/>
  <c r="C10" i="3"/>
  <c r="C17" i="3" s="1"/>
  <c r="C8" i="3"/>
  <c r="D6" i="2"/>
  <c r="D12" i="2" s="1"/>
  <c r="B7" i="3" s="1"/>
  <c r="D8" i="3"/>
  <c r="J6" i="2"/>
  <c r="J12" i="2" s="1"/>
  <c r="D7" i="3" s="1"/>
  <c r="B17" i="3" l="1"/>
  <c r="D17" i="3"/>
  <c r="D22" i="3"/>
  <c r="D16" i="3"/>
  <c r="D9" i="3"/>
  <c r="D7" i="4"/>
  <c r="F7" i="4" s="1"/>
  <c r="D5" i="3"/>
  <c r="D9" i="4"/>
  <c r="F9" i="4" s="1"/>
  <c r="D11" i="4"/>
  <c r="D8" i="4"/>
  <c r="F8" i="4" s="1"/>
  <c r="D5" i="4"/>
  <c r="F5" i="4" s="1"/>
  <c r="B22" i="3"/>
  <c r="B16" i="3"/>
  <c r="B9" i="3"/>
  <c r="C5" i="3"/>
  <c r="C22" i="3"/>
  <c r="C16" i="3"/>
  <c r="C9" i="3"/>
  <c r="D10" i="4"/>
  <c r="F10" i="4" s="1"/>
  <c r="D6" i="4"/>
  <c r="F6" i="4" s="1"/>
  <c r="B5" i="3"/>
  <c r="B15" i="3" s="1"/>
  <c r="D14" i="4" l="1"/>
  <c r="D13" i="4"/>
  <c r="D15" i="3"/>
  <c r="C15" i="3"/>
</calcChain>
</file>

<file path=xl/sharedStrings.xml><?xml version="1.0" encoding="utf-8"?>
<sst xmlns="http://schemas.openxmlformats.org/spreadsheetml/2006/main" count="90" uniqueCount="71">
  <si>
    <t>Investment Appraisal Model — Projects A, B and C</t>
  </si>
  <si>
    <t>All cash flows in £ millions. Blue cells are inputs — change them and the whole model recalculates.</t>
  </si>
  <si>
    <t>1. Key assumptions</t>
  </si>
  <si>
    <t>Discount rate (cost of capital)</t>
  </si>
  <si>
    <t>Capital budget available (£m)</t>
  </si>
  <si>
    <t>Project useful life (years)</t>
  </si>
  <si>
    <t>Residual (scrap) value at end of life (£m)</t>
  </si>
  <si>
    <t>2. Project cash flows</t>
  </si>
  <si>
    <t>Project</t>
  </si>
  <si>
    <t>Initial investment (£m)</t>
  </si>
  <si>
    <t>Year 1 (£m)</t>
  </si>
  <si>
    <t>Year 2 (£m)</t>
  </si>
  <si>
    <t>Year 3 (£m)</t>
  </si>
  <si>
    <t>Year 4 (£m)</t>
  </si>
  <si>
    <t>Year 5 (£m)</t>
  </si>
  <si>
    <t>Project A</t>
  </si>
  <si>
    <t>Project B</t>
  </si>
  <si>
    <t>Project C</t>
  </si>
  <si>
    <t>Assumptions: (1) All projects require the investment at the start of Year 0 (today). (2) Depreciation for ARR is calculated on a straight-line basis over the useful life to the residual value shown above (currently £0, i.e. depreciated to zero). (3) Cash flows arise at each year-end. (4) Figures are illustrative and not tax-adjusted.</t>
  </si>
  <si>
    <t>Discounted cash flow schedule (£m)</t>
  </si>
  <si>
    <t>Year 0 = initial investment (outflow, shown negative). Discount factor = 1 / (1 + r)^Year.</t>
  </si>
  <si>
    <t>Year</t>
  </si>
  <si>
    <t>Discount
Factor</t>
  </si>
  <si>
    <t>Cash flow</t>
  </si>
  <si>
    <t>PV</t>
  </si>
  <si>
    <t>Cumulative</t>
  </si>
  <si>
    <t>NPV (Σ PV)</t>
  </si>
  <si>
    <t>The ‘Cumulative’ columns track running cash recovery and are used to calculate the Payback Period on the Appraisal sheet. The ‘NPV (Σ PV)’ row sums every discounted cash flow (Years 0–5) and is Method 1 for NPV, cross-checked on the Appraisal sheet against Excel’s NPV() function.</t>
  </si>
  <si>
    <t>Investment appraisal summary</t>
  </si>
  <si>
    <t>Formulas shown in each cell (click a cell in Excel to see the live formula).</t>
  </si>
  <si>
    <t>Metric</t>
  </si>
  <si>
    <t>Payback Period (years)</t>
  </si>
  <si>
    <t>Accounting Rate of Return, ARR (%)</t>
  </si>
  <si>
    <t>NPV (£m) — sum of discounted cash flows</t>
  </si>
  <si>
    <t>NPV (£m) — cross-check via NPV() function</t>
  </si>
  <si>
    <t>Check: Method 1 − Method 2 (should be £0.00)</t>
  </si>
  <si>
    <t>Profitability Index, PI (x)</t>
  </si>
  <si>
    <t>IRR (%)</t>
  </si>
  <si>
    <t>Ranking (1 = best)</t>
  </si>
  <si>
    <t>Payback rank (fastest = 1)</t>
  </si>
  <si>
    <t>NPV rank (highest = 1)</t>
  </si>
  <si>
    <t>PI rank (highest = 1)</t>
  </si>
  <si>
    <t>IRR rank (highest = 1)</t>
  </si>
  <si>
    <t>ARR rank (highest = 1)</t>
  </si>
  <si>
    <t>Accept / Reject vs. cost of capital</t>
  </si>
  <si>
    <t>Decision (NPV &gt; 0 and IRR &gt; cost of capital?)</t>
  </si>
  <si>
    <t>3. Judgement</t>
  </si>
  <si>
    <t>Ranked purely on NPV and IRR against the 8% cost of capital, only Project C creates shareholder value: it is the sole project with a positive NPV (~£0.9m), a PI above 1.0x (~1.02x) and an IRR (~8.6%) above the 8% hurdle rate. Projects A and B both have negative NPVs and IRRs below 8% (Project A ≈ 2.7% IRR, Project B ≈ 3.3% IRR), so on a strict shareholder-wealth-maximisation basis they should be rejected, even though Project B has the fastest ‘average’-looking cash flow profile and Project A recovers its capital only slightly slower than C under the simple Payback method. Payback Period and ARR both ignore the time value of money and the size/timing of cash flows beyond the payback point, which is why they can disagree with NPV/IRR — NPV and IRR are the theoretically superior decision rules and should take precedence. RECOMMENDATION: accept Project C; reject Projects A and B.</t>
  </si>
  <si>
    <t>Capital rationing — which combination of projects is best?</t>
  </si>
  <si>
    <t>Capital budget available is set on the Assumptions sheet (currently £100m). Each project needs £50m, so at most two of the three can be funded.</t>
  </si>
  <si>
    <t>Combination</t>
  </si>
  <si>
    <t>Projects included</t>
  </si>
  <si>
    <t>Total investment (£m)</t>
  </si>
  <si>
    <t>Total NPV (£m)</t>
  </si>
  <si>
    <t>Within budget?</t>
  </si>
  <si>
    <t>NPV if feasible (£m)</t>
  </si>
  <si>
    <t>A only</t>
  </si>
  <si>
    <t>B only</t>
  </si>
  <si>
    <t>C only</t>
  </si>
  <si>
    <t>A + B</t>
  </si>
  <si>
    <t>Project A + Project B</t>
  </si>
  <si>
    <t>A + C</t>
  </si>
  <si>
    <t>Project A + Project C</t>
  </si>
  <si>
    <t>B + C</t>
  </si>
  <si>
    <t>Project B + Project C</t>
  </si>
  <si>
    <t>A + B + C</t>
  </si>
  <si>
    <t>Project A + Project B + Project C</t>
  </si>
  <si>
    <t>Best feasible combination (highest total NPV within budget):</t>
  </si>
  <si>
    <t>Total NPV of that combination (£m):</t>
  </si>
  <si>
    <t>Judgement on capital rationing</t>
  </si>
  <si>
    <t>With a £100m budget and each project costing £50m, at most two projects can be funded simultaneously. The formulas above test all seven possible combinations and flag which fit the budget, then pick the feasible combination with the highest total NPV — this is ‘B + C’, because it is the least value-destructive way to fully commit £100m (Project A and Project B both have negative NPV, so pairing C with the less negative of the two, B, beats pairing C with A, and comfortably beats A+B).
However, the more important conclusion is that the budget does not have to be fully spent. Since a rational, shareholder-wealth-maximising firm should never accept a negative-NPV project merely because unused capital is available, the true optimal decision is to invest only in Project C (NPV ≈ +£0.9m) and return or retain the remaining £50m, rather than force-fit a second, value-destroying project (A or B) into the budget. Ranking by Profitability Index (PI) leads to the same conclusion here because all three projects require the same £50m outlay, so PI ranking and NPV ranking coincide (PI is normally used to rank divisible projects under capital rationing when outlay sizes differ — with equal outlays it adds no extra information beyond the NPV ranking already used above).
RECOMMENDATION: fund Project C only. If the £100m budget must be fully deployed across two projects for strategic reasons, the least-damaging choice is Project B + Project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</si>
</sst>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0"/>
    <numFmt numFmtId="166" formatCode="\£#,##0.0"/>
    <numFmt numFmtId="167" formatCode="0.0000"/>
    <numFmt numFmtId="168" formatCode="0.00&quot; yrs&quot;"/>
    <numFmt numFmtId="169" formatCode="\£#,##0.00"/>
    <numFmt numFmtId="170" formatCode="0.000\x"/>
  </numFmts>
  <fonts count="10" x14ac:knownFonts="1">
    <font>
      <sz val="11"/>
      <color theme="1"/>
      <name val="Calibri"/>
      <family val="2"/>
      <charset val="1"/>
    </font>
    <font>
      <b/>
      <sz val="16"/>
      <color rgb="FF1F4E79"/>
      <name val="Arial"/>
      <charset val="1"/>
    </font>
    <font>
      <i/>
      <sz val="10"/>
      <color rgb="FF595959"/>
      <name val="Arial"/>
      <charset val="1"/>
    </font>
    <font>
      <b/>
      <sz val="12"/>
      <color rgb="FF1F4E79"/>
      <name val="Arial"/>
      <charset val="1"/>
    </font>
    <font>
      <sz val="10"/>
      <color rgb="FF000000"/>
      <name val="Arial"/>
      <charset val="1"/>
    </font>
    <font>
      <sz val="10"/>
      <color rgb="FF0000FF"/>
      <name val="Arial"/>
      <charset val="1"/>
    </font>
    <font>
      <b/>
      <sz val="10"/>
      <color rgb="FFFFFFFF"/>
      <name val="Arial"/>
      <charset val="1"/>
    </font>
    <font>
      <b/>
      <sz val="10"/>
      <color rgb="FF000000"/>
      <name val="Arial"/>
      <charset val="1"/>
    </font>
    <font>
      <i/>
      <sz val="9"/>
      <color rgb="FF595959"/>
      <name val="Arial"/>
      <charset val="1"/>
    </font>
    <font>
      <b/>
      <sz val="10"/>
      <color rgb="FF008000"/>
      <name val="Arial"/>
      <charset val="1"/>
    </font>
  </fonts>
  <fills count="6">
    <fill>
      <patternFill patternType="none"/>
    </fill>
    <fill>
      <patternFill patternType="gray125"/>
    </fill>
    <fill>
      <patternFill patternType="solid">
        <fgColor rgb="FF1F4E79"/>
        <bgColor rgb="FF003366"/>
      </patternFill>
    </fill>
    <fill>
      <patternFill patternType="solid">
        <fgColor rgb="FFF2F2F2"/>
        <bgColor rgb="FFE2EFDA"/>
      </patternFill>
    </fill>
    <fill>
      <patternFill patternType="solid">
        <fgColor rgb="FFFFF2CC"/>
        <bgColor rgb="FFF2F2F2"/>
      </patternFill>
    </fill>
    <fill>
      <patternFill patternType="solid">
        <fgColor rgb="FFE2EFDA"/>
        <bgColor rgb="FFF2F2F2"/>
      </patternFill>
    </fill>
  </fills>
  <borders count="4">
    <border>
      <left/>
      <right/>
      <top/>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style="thin">
        <color rgb="FFBFBFBF"/>
      </bottom>
      <diagonal/>
    </border>
    <border>
      <left style="thin">
        <color rgb="FFBFBFBF"/>
      </left>
      <right/>
      <top style="thin">
        <color rgb="FFBFBFBF"/>
      </top>
      <bottom/>
      <diagonal/>
    </border>
  </borders>
  <cellStyleXfs count="1">
    <xf numFmtId="0" fontId="0" fillId="0" borderId="0"/>
  </cellStyleXfs>
  <cellXfs count="41">
    <xf numFmtId="0" fontId="0" fillId="0" borderId="0" xfId="0"/>
    <xf numFmtId="169" fontId="7"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9"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4" fillId="5" borderId="3"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8"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left" vertical="center" wrapText="1"/>
    </xf>
    <xf numFmtId="0" fontId="4" fillId="0" borderId="1" xfId="0" applyFont="1" applyBorder="1" applyAlignment="1">
      <alignment horizontal="left" vertical="center" wrapText="1"/>
    </xf>
    <xf numFmtId="164" fontId="5" fillId="0" borderId="1"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66" fontId="5" fillId="0" borderId="1" xfId="0" applyNumberFormat="1" applyFont="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3" borderId="1" xfId="0" applyFont="1" applyFill="1" applyBorder="1" applyAlignment="1">
      <alignment horizontal="left" vertical="center" wrapText="1"/>
    </xf>
    <xf numFmtId="166" fontId="5" fillId="3" borderId="1" xfId="0" applyNumberFormat="1" applyFont="1" applyFill="1" applyBorder="1" applyAlignment="1">
      <alignment horizontal="center" vertical="center" wrapText="1"/>
    </xf>
    <xf numFmtId="1" fontId="4" fillId="0" borderId="1" xfId="0" applyNumberFormat="1" applyFont="1" applyBorder="1" applyAlignment="1">
      <alignment horizontal="center" vertical="center" wrapText="1"/>
    </xf>
    <xf numFmtId="167" fontId="4" fillId="0" borderId="1" xfId="0"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1" fontId="4" fillId="3" borderId="1" xfId="0" applyNumberFormat="1" applyFont="1" applyFill="1" applyBorder="1" applyAlignment="1">
      <alignment horizontal="center" vertical="center" wrapText="1"/>
    </xf>
    <xf numFmtId="167" fontId="4" fillId="3" borderId="1" xfId="0" applyNumberFormat="1" applyFont="1" applyFill="1" applyBorder="1" applyAlignment="1">
      <alignment horizontal="center" vertical="center" wrapText="1"/>
    </xf>
    <xf numFmtId="166" fontId="4" fillId="3" borderId="1" xfId="0" applyNumberFormat="1" applyFont="1" applyFill="1" applyBorder="1" applyAlignment="1">
      <alignment horizontal="center" vertical="center" wrapText="1"/>
    </xf>
    <xf numFmtId="0" fontId="7" fillId="4" borderId="0" xfId="0" applyFont="1" applyFill="1" applyAlignment="1">
      <alignment horizontal="left" vertical="center" wrapText="1"/>
    </xf>
    <xf numFmtId="166" fontId="7" fillId="4" borderId="1" xfId="0" applyNumberFormat="1" applyFont="1" applyFill="1" applyBorder="1" applyAlignment="1">
      <alignment horizontal="center" vertical="center" wrapText="1"/>
    </xf>
    <xf numFmtId="0" fontId="4" fillId="3" borderId="1" xfId="0" applyFont="1" applyFill="1" applyBorder="1" applyAlignment="1">
      <alignment horizontal="left" vertical="center" wrapText="1"/>
    </xf>
    <xf numFmtId="168" fontId="4" fillId="3" borderId="1" xfId="0" applyNumberFormat="1" applyFont="1" applyFill="1" applyBorder="1" applyAlignment="1">
      <alignment horizontal="center" vertical="center" wrapText="1"/>
    </xf>
    <xf numFmtId="164" fontId="4" fillId="0" borderId="1" xfId="0" applyNumberFormat="1" applyFont="1" applyBorder="1" applyAlignment="1">
      <alignment horizontal="center" vertical="center" wrapText="1"/>
    </xf>
    <xf numFmtId="169" fontId="4" fillId="3" borderId="1" xfId="0" applyNumberFormat="1" applyFont="1" applyFill="1" applyBorder="1" applyAlignment="1">
      <alignment horizontal="center" vertical="center" wrapText="1"/>
    </xf>
    <xf numFmtId="169" fontId="4" fillId="0" borderId="1" xfId="0" applyNumberFormat="1" applyFont="1" applyBorder="1" applyAlignment="1">
      <alignment horizontal="center" vertical="center" wrapText="1"/>
    </xf>
    <xf numFmtId="0" fontId="8" fillId="3" borderId="1" xfId="0" applyFont="1" applyFill="1" applyBorder="1" applyAlignment="1">
      <alignment horizontal="left" vertical="center" wrapText="1"/>
    </xf>
    <xf numFmtId="169" fontId="8" fillId="3" borderId="1" xfId="0" applyNumberFormat="1" applyFont="1" applyFill="1" applyBorder="1" applyAlignment="1">
      <alignment horizontal="center" vertical="center" wrapText="1"/>
    </xf>
    <xf numFmtId="170" fontId="4" fillId="0" borderId="1" xfId="0" applyNumberFormat="1" applyFont="1" applyBorder="1" applyAlignment="1">
      <alignment horizontal="center" vertical="center" wrapText="1"/>
    </xf>
    <xf numFmtId="10" fontId="4" fillId="3" borderId="1"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5"/>
  <sheetViews>
    <sheetView showGridLines="0" zoomScaleNormal="100" workbookViewId="0">
      <pane ySplit="3" topLeftCell="A4" activePane="bottomLeft" state="frozen"/>
      <selection pane="bottomLeft"/>
    </sheetView>
  </sheetViews>
  <sheetFormatPr defaultColWidth="8.6328125" defaultRowHeight="14.5" x14ac:dyDescent="0.35"/>
  <cols>
    <col min="1" max="1" width="30" customWidth="1"/>
    <col min="2" max="2" width="16" customWidth="1"/>
    <col min="3" max="7" width="14" customWidth="1"/>
  </cols>
  <sheetData>
    <row r="1" spans="1:7" ht="19.75" customHeight="1" x14ac:dyDescent="0.35">
      <c r="A1" s="10" t="s">
        <v>0</v>
      </c>
      <c r="B1" s="10"/>
      <c r="C1" s="10"/>
      <c r="D1" s="10"/>
      <c r="E1" s="10"/>
      <c r="F1" s="10"/>
      <c r="G1" s="10"/>
    </row>
    <row r="2" spans="1:7" ht="15" customHeight="1" x14ac:dyDescent="0.35">
      <c r="A2" s="9" t="s">
        <v>1</v>
      </c>
      <c r="B2" s="9"/>
      <c r="C2" s="9"/>
      <c r="D2" s="9"/>
      <c r="E2" s="9"/>
      <c r="F2" s="9"/>
      <c r="G2" s="9"/>
    </row>
    <row r="4" spans="1:7" ht="15" customHeight="1" x14ac:dyDescent="0.35">
      <c r="A4" s="8" t="s">
        <v>2</v>
      </c>
      <c r="B4" s="8"/>
      <c r="C4" s="8"/>
      <c r="D4" s="8"/>
      <c r="E4" s="8"/>
      <c r="F4" s="8"/>
      <c r="G4" s="8"/>
    </row>
    <row r="5" spans="1:7" x14ac:dyDescent="0.35">
      <c r="A5" s="11" t="s">
        <v>3</v>
      </c>
      <c r="B5" s="12">
        <v>0.08</v>
      </c>
    </row>
    <row r="6" spans="1:7" x14ac:dyDescent="0.35">
      <c r="A6" s="11" t="s">
        <v>4</v>
      </c>
      <c r="B6" s="13">
        <v>100</v>
      </c>
    </row>
    <row r="7" spans="1:7" x14ac:dyDescent="0.35">
      <c r="A7" s="11" t="s">
        <v>5</v>
      </c>
      <c r="B7" s="14">
        <v>5</v>
      </c>
    </row>
    <row r="8" spans="1:7" ht="25" x14ac:dyDescent="0.35">
      <c r="A8" s="11" t="s">
        <v>6</v>
      </c>
      <c r="B8" s="15">
        <v>0</v>
      </c>
    </row>
    <row r="10" spans="1:7" ht="15" customHeight="1" x14ac:dyDescent="0.35">
      <c r="A10" s="8" t="s">
        <v>7</v>
      </c>
      <c r="B10" s="8"/>
      <c r="C10" s="8"/>
      <c r="D10" s="8"/>
      <c r="E10" s="8"/>
      <c r="F10" s="8"/>
      <c r="G10" s="8"/>
    </row>
    <row r="11" spans="1:7" ht="26" x14ac:dyDescent="0.35">
      <c r="A11" s="16" t="s">
        <v>8</v>
      </c>
      <c r="B11" s="16" t="s">
        <v>9</v>
      </c>
      <c r="C11" s="16" t="s">
        <v>10</v>
      </c>
      <c r="D11" s="16" t="s">
        <v>11</v>
      </c>
      <c r="E11" s="16" t="s">
        <v>12</v>
      </c>
      <c r="F11" s="16" t="s">
        <v>13</v>
      </c>
      <c r="G11" s="16" t="s">
        <v>14</v>
      </c>
    </row>
    <row r="12" spans="1:7" x14ac:dyDescent="0.35">
      <c r="A12" s="17" t="s">
        <v>15</v>
      </c>
      <c r="B12" s="15">
        <v>50</v>
      </c>
      <c r="C12" s="15">
        <v>10</v>
      </c>
      <c r="D12" s="15">
        <v>12</v>
      </c>
      <c r="E12" s="15">
        <v>14</v>
      </c>
      <c r="F12" s="15">
        <v>10</v>
      </c>
      <c r="G12" s="15">
        <v>8</v>
      </c>
    </row>
    <row r="13" spans="1:7" x14ac:dyDescent="0.35">
      <c r="A13" s="18" t="s">
        <v>16</v>
      </c>
      <c r="B13" s="19">
        <v>50</v>
      </c>
      <c r="C13" s="19">
        <v>11</v>
      </c>
      <c r="D13" s="19">
        <v>11</v>
      </c>
      <c r="E13" s="19">
        <v>11</v>
      </c>
      <c r="F13" s="19">
        <v>11</v>
      </c>
      <c r="G13" s="19">
        <v>11</v>
      </c>
    </row>
    <row r="14" spans="1:7" x14ac:dyDescent="0.35">
      <c r="A14" s="17" t="s">
        <v>17</v>
      </c>
      <c r="B14" s="15">
        <v>50</v>
      </c>
      <c r="C14" s="15">
        <v>5</v>
      </c>
      <c r="D14" s="15">
        <v>10</v>
      </c>
      <c r="E14" s="15">
        <v>20</v>
      </c>
      <c r="F14" s="15">
        <v>25</v>
      </c>
      <c r="G14" s="15">
        <v>5</v>
      </c>
    </row>
    <row r="15" spans="1:7" ht="32.75" customHeight="1" x14ac:dyDescent="0.35">
      <c r="A15" s="7" t="s">
        <v>18</v>
      </c>
      <c r="B15" s="7"/>
      <c r="C15" s="7"/>
      <c r="D15" s="7"/>
      <c r="E15" s="7"/>
      <c r="F15" s="7"/>
      <c r="G15" s="7"/>
    </row>
  </sheetData>
  <mergeCells count="5">
    <mergeCell ref="A1:G1"/>
    <mergeCell ref="A2:G2"/>
    <mergeCell ref="A4:G4"/>
    <mergeCell ref="A10:G10"/>
    <mergeCell ref="A15:G15"/>
  </mergeCells>
  <pageMargins left="0.4" right="0.4" top="1" bottom="1"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4"/>
  <sheetViews>
    <sheetView showGridLines="0" zoomScaleNormal="100" workbookViewId="0">
      <pane xSplit="2" ySplit="5" topLeftCell="C6" activePane="bottomRight" state="frozen"/>
      <selection pane="topRight" activeCell="C1" sqref="C1"/>
      <selection pane="bottomLeft" activeCell="A6" sqref="A6"/>
      <selection pane="bottomRight"/>
    </sheetView>
  </sheetViews>
  <sheetFormatPr defaultColWidth="8.6328125" defaultRowHeight="14.5" x14ac:dyDescent="0.35"/>
  <cols>
    <col min="1" max="1" width="10" customWidth="1"/>
    <col min="2" max="2" width="12" customWidth="1"/>
    <col min="3" max="11" width="13" customWidth="1"/>
  </cols>
  <sheetData>
    <row r="1" spans="1:11" ht="19.75" customHeight="1" x14ac:dyDescent="0.35">
      <c r="A1" s="10" t="s">
        <v>19</v>
      </c>
      <c r="B1" s="10"/>
      <c r="C1" s="10"/>
      <c r="D1" s="10"/>
      <c r="E1" s="10"/>
      <c r="F1" s="10"/>
      <c r="G1" s="10"/>
      <c r="H1" s="10"/>
      <c r="I1" s="10"/>
      <c r="J1" s="10"/>
      <c r="K1" s="10"/>
    </row>
    <row r="2" spans="1:11" ht="15" customHeight="1" x14ac:dyDescent="0.35">
      <c r="A2" s="9" t="s">
        <v>20</v>
      </c>
      <c r="B2" s="9"/>
      <c r="C2" s="9"/>
      <c r="D2" s="9"/>
      <c r="E2" s="9"/>
      <c r="F2" s="9"/>
      <c r="G2" s="9"/>
      <c r="H2" s="9"/>
      <c r="I2" s="9"/>
      <c r="J2" s="9"/>
      <c r="K2" s="9"/>
    </row>
    <row r="4" spans="1:11" ht="23.9" customHeight="1" x14ac:dyDescent="0.35">
      <c r="A4" s="16" t="s">
        <v>21</v>
      </c>
      <c r="B4" s="16" t="s">
        <v>22</v>
      </c>
      <c r="C4" s="6" t="s">
        <v>15</v>
      </c>
      <c r="D4" s="6"/>
      <c r="E4" s="6"/>
      <c r="F4" s="6" t="s">
        <v>16</v>
      </c>
      <c r="G4" s="6"/>
      <c r="H4" s="6"/>
      <c r="I4" s="6" t="s">
        <v>17</v>
      </c>
      <c r="J4" s="6"/>
      <c r="K4" s="6"/>
    </row>
    <row r="5" spans="1:11" x14ac:dyDescent="0.35">
      <c r="A5" s="16"/>
      <c r="B5" s="16"/>
      <c r="C5" s="16" t="s">
        <v>23</v>
      </c>
      <c r="D5" s="16" t="s">
        <v>24</v>
      </c>
      <c r="E5" s="16" t="s">
        <v>25</v>
      </c>
      <c r="F5" s="16" t="s">
        <v>23</v>
      </c>
      <c r="G5" s="16" t="s">
        <v>24</v>
      </c>
      <c r="H5" s="16" t="s">
        <v>25</v>
      </c>
      <c r="I5" s="16" t="s">
        <v>23</v>
      </c>
      <c r="J5" s="16" t="s">
        <v>24</v>
      </c>
      <c r="K5" s="16" t="s">
        <v>25</v>
      </c>
    </row>
    <row r="6" spans="1:11" x14ac:dyDescent="0.35">
      <c r="A6" s="20">
        <v>0</v>
      </c>
      <c r="B6" s="21">
        <f>1/(1+Assumptions!$B$5)^A6</f>
        <v>1</v>
      </c>
      <c r="C6" s="22">
        <f>-Assumptions!$B$12</f>
        <v>-50</v>
      </c>
      <c r="D6" s="22">
        <f t="shared" ref="D6:D11" si="0">C6*$B6</f>
        <v>-50</v>
      </c>
      <c r="E6" s="22">
        <f>C6</f>
        <v>-50</v>
      </c>
      <c r="F6" s="22">
        <f>-Assumptions!$B$13</f>
        <v>-50</v>
      </c>
      <c r="G6" s="22">
        <f t="shared" ref="G6:G11" si="1">F6*$B6</f>
        <v>-50</v>
      </c>
      <c r="H6" s="22">
        <f>F6</f>
        <v>-50</v>
      </c>
      <c r="I6" s="22">
        <f>-Assumptions!$B$14</f>
        <v>-50</v>
      </c>
      <c r="J6" s="22">
        <f t="shared" ref="J6:J11" si="2">I6*$B6</f>
        <v>-50</v>
      </c>
      <c r="K6" s="22">
        <f>I6</f>
        <v>-50</v>
      </c>
    </row>
    <row r="7" spans="1:11" x14ac:dyDescent="0.35">
      <c r="A7" s="23">
        <v>1</v>
      </c>
      <c r="B7" s="24">
        <f>1/(1+Assumptions!$B$5)^A7</f>
        <v>0.92592592592592582</v>
      </c>
      <c r="C7" s="25">
        <f>Assumptions!C$12</f>
        <v>10</v>
      </c>
      <c r="D7" s="25">
        <f t="shared" si="0"/>
        <v>9.2592592592592577</v>
      </c>
      <c r="E7" s="25">
        <f>E6+C7</f>
        <v>-40</v>
      </c>
      <c r="F7" s="25">
        <f>Assumptions!C$13</f>
        <v>11</v>
      </c>
      <c r="G7" s="25">
        <f t="shared" si="1"/>
        <v>10.185185185185183</v>
      </c>
      <c r="H7" s="25">
        <f>H6+F7</f>
        <v>-39</v>
      </c>
      <c r="I7" s="25">
        <f>Assumptions!C$14</f>
        <v>5</v>
      </c>
      <c r="J7" s="25">
        <f t="shared" si="2"/>
        <v>4.6296296296296289</v>
      </c>
      <c r="K7" s="25">
        <f>K6+I7</f>
        <v>-45</v>
      </c>
    </row>
    <row r="8" spans="1:11" x14ac:dyDescent="0.35">
      <c r="A8" s="20">
        <v>2</v>
      </c>
      <c r="B8" s="21">
        <f>1/(1+Assumptions!$B$5)^A8</f>
        <v>0.85733882030178321</v>
      </c>
      <c r="C8" s="22">
        <f>Assumptions!D$12</f>
        <v>12</v>
      </c>
      <c r="D8" s="22">
        <f t="shared" si="0"/>
        <v>10.288065843621398</v>
      </c>
      <c r="E8" s="22">
        <f>E7+C8</f>
        <v>-28</v>
      </c>
      <c r="F8" s="22">
        <f>Assumptions!D$13</f>
        <v>11</v>
      </c>
      <c r="G8" s="22">
        <f t="shared" si="1"/>
        <v>9.4307270233196157</v>
      </c>
      <c r="H8" s="22">
        <f>H7+F8</f>
        <v>-28</v>
      </c>
      <c r="I8" s="22">
        <f>Assumptions!D$14</f>
        <v>10</v>
      </c>
      <c r="J8" s="22">
        <f t="shared" si="2"/>
        <v>8.5733882030178314</v>
      </c>
      <c r="K8" s="22">
        <f>K7+I8</f>
        <v>-35</v>
      </c>
    </row>
    <row r="9" spans="1:11" x14ac:dyDescent="0.35">
      <c r="A9" s="23">
        <v>3</v>
      </c>
      <c r="B9" s="24">
        <f>1/(1+Assumptions!$B$5)^A9</f>
        <v>0.79383224102016958</v>
      </c>
      <c r="C9" s="25">
        <f>Assumptions!E$12</f>
        <v>14</v>
      </c>
      <c r="D9" s="25">
        <f t="shared" si="0"/>
        <v>11.113651374282375</v>
      </c>
      <c r="E9" s="25">
        <f>E8+C9</f>
        <v>-14</v>
      </c>
      <c r="F9" s="25">
        <f>Assumptions!E$13</f>
        <v>11</v>
      </c>
      <c r="G9" s="25">
        <f t="shared" si="1"/>
        <v>8.7321546512218653</v>
      </c>
      <c r="H9" s="25">
        <f>H8+F9</f>
        <v>-17</v>
      </c>
      <c r="I9" s="25">
        <f>Assumptions!E$14</f>
        <v>20</v>
      </c>
      <c r="J9" s="25">
        <f t="shared" si="2"/>
        <v>15.876644820403392</v>
      </c>
      <c r="K9" s="25">
        <f>K8+I9</f>
        <v>-15</v>
      </c>
    </row>
    <row r="10" spans="1:11" x14ac:dyDescent="0.35">
      <c r="A10" s="20">
        <v>4</v>
      </c>
      <c r="B10" s="21">
        <f>1/(1+Assumptions!$B$5)^A10</f>
        <v>0.73502985279645328</v>
      </c>
      <c r="C10" s="22">
        <f>Assumptions!F$12</f>
        <v>10</v>
      </c>
      <c r="D10" s="22">
        <f t="shared" si="0"/>
        <v>7.350298527964533</v>
      </c>
      <c r="E10" s="22">
        <f>E9+C10</f>
        <v>-4</v>
      </c>
      <c r="F10" s="22">
        <f>Assumptions!F$13</f>
        <v>11</v>
      </c>
      <c r="G10" s="22">
        <f t="shared" si="1"/>
        <v>8.0853283807609859</v>
      </c>
      <c r="H10" s="22">
        <f>H9+F10</f>
        <v>-6</v>
      </c>
      <c r="I10" s="22">
        <f>Assumptions!F$14</f>
        <v>25</v>
      </c>
      <c r="J10" s="22">
        <f t="shared" si="2"/>
        <v>18.375746319911332</v>
      </c>
      <c r="K10" s="22">
        <f>K9+I10</f>
        <v>10</v>
      </c>
    </row>
    <row r="11" spans="1:11" x14ac:dyDescent="0.35">
      <c r="A11" s="23">
        <v>5</v>
      </c>
      <c r="B11" s="24">
        <f>1/(1+Assumptions!$B$5)^A11</f>
        <v>0.68058319703375303</v>
      </c>
      <c r="C11" s="25">
        <f>Assumptions!G$12</f>
        <v>8</v>
      </c>
      <c r="D11" s="25">
        <f t="shared" si="0"/>
        <v>5.4446655762700242</v>
      </c>
      <c r="E11" s="25">
        <f>E10+C11</f>
        <v>4</v>
      </c>
      <c r="F11" s="25">
        <f>Assumptions!G$13</f>
        <v>11</v>
      </c>
      <c r="G11" s="25">
        <f t="shared" si="1"/>
        <v>7.4864151673712831</v>
      </c>
      <c r="H11" s="25">
        <f>H10+F11</f>
        <v>5</v>
      </c>
      <c r="I11" s="25">
        <f>Assumptions!G$14</f>
        <v>5</v>
      </c>
      <c r="J11" s="25">
        <f t="shared" si="2"/>
        <v>3.4029159851687654</v>
      </c>
      <c r="K11" s="25">
        <f>K10+I11</f>
        <v>15</v>
      </c>
    </row>
    <row r="12" spans="1:11" ht="26" x14ac:dyDescent="0.35">
      <c r="A12" s="26" t="s">
        <v>26</v>
      </c>
      <c r="D12" s="27">
        <f>SUM(D6:D11)</f>
        <v>-6.5440594186024104</v>
      </c>
      <c r="G12" s="27">
        <f>SUM(G6:G11)</f>
        <v>-6.0801895921410667</v>
      </c>
      <c r="J12" s="27">
        <f>SUM(J6:J11)</f>
        <v>0.85832495813095111</v>
      </c>
    </row>
    <row r="14" spans="1:11" ht="22.4" customHeight="1" x14ac:dyDescent="0.35">
      <c r="A14" s="7" t="s">
        <v>27</v>
      </c>
      <c r="B14" s="7"/>
      <c r="C14" s="7"/>
      <c r="D14" s="7"/>
      <c r="E14" s="7"/>
      <c r="F14" s="7"/>
      <c r="G14" s="7"/>
      <c r="H14" s="7"/>
      <c r="I14" s="7"/>
      <c r="J14" s="7"/>
      <c r="K14" s="7"/>
    </row>
  </sheetData>
  <mergeCells count="6">
    <mergeCell ref="A14:K14"/>
    <mergeCell ref="A1:K1"/>
    <mergeCell ref="A2:K2"/>
    <mergeCell ref="C4:E4"/>
    <mergeCell ref="F4:H4"/>
    <mergeCell ref="I4:K4"/>
  </mergeCells>
  <pageMargins left="0.4" right="0.4" top="1" bottom="1" header="0.511811023622047" footer="0.511811023622047"/>
  <pageSetup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34"/>
  <sheetViews>
    <sheetView showGridLines="0" tabSelected="1" zoomScaleNormal="100" workbookViewId="0">
      <pane xSplit="1" ySplit="4" topLeftCell="B5" activePane="bottomRight" state="frozen"/>
      <selection pane="topRight" activeCell="B1" sqref="B1"/>
      <selection pane="bottomLeft" activeCell="A5" sqref="A5"/>
      <selection pane="bottomRight"/>
    </sheetView>
  </sheetViews>
  <sheetFormatPr defaultColWidth="8.6328125" defaultRowHeight="14.5" x14ac:dyDescent="0.35"/>
  <cols>
    <col min="1" max="1" width="34" customWidth="1"/>
    <col min="2" max="4" width="16" customWidth="1"/>
    <col min="5" max="5" width="3" customWidth="1"/>
    <col min="6" max="6" width="46" customWidth="1"/>
  </cols>
  <sheetData>
    <row r="1" spans="1:4" ht="19.75" customHeight="1" x14ac:dyDescent="0.35">
      <c r="A1" s="10" t="s">
        <v>28</v>
      </c>
      <c r="B1" s="10"/>
      <c r="C1" s="10"/>
      <c r="D1" s="10"/>
    </row>
    <row r="2" spans="1:4" ht="15" customHeight="1" x14ac:dyDescent="0.35">
      <c r="A2" s="9" t="s">
        <v>29</v>
      </c>
      <c r="B2" s="9"/>
      <c r="C2" s="9"/>
      <c r="D2" s="9"/>
    </row>
    <row r="4" spans="1:4" x14ac:dyDescent="0.35">
      <c r="A4" s="16" t="s">
        <v>30</v>
      </c>
      <c r="B4" s="16" t="s">
        <v>15</v>
      </c>
      <c r="C4" s="16" t="s">
        <v>16</v>
      </c>
      <c r="D4" s="16" t="s">
        <v>17</v>
      </c>
    </row>
    <row r="5" spans="1:4" x14ac:dyDescent="0.35">
      <c r="A5" s="28" t="s">
        <v>31</v>
      </c>
      <c r="B5" s="29">
        <f>IF('Cash Flows &amp; PV'!E7&gt;=0,0+(-'Cash Flows &amp; PV'!E6)/'Cash Flows &amp; PV'!C7,IF('Cash Flows &amp; PV'!E8&gt;=0,1+(-'Cash Flows &amp; PV'!E7)/'Cash Flows &amp; PV'!C8,IF('Cash Flows &amp; PV'!E9&gt;=0,2+(-'Cash Flows &amp; PV'!E8)/'Cash Flows &amp; PV'!C9,IF('Cash Flows &amp; PV'!E10&gt;=0,3+(-'Cash Flows &amp; PV'!E9)/'Cash Flows &amp; PV'!C10,IF('Cash Flows &amp; PV'!E11&gt;=0,4+(-'Cash Flows &amp; PV'!E10)/'Cash Flows &amp; PV'!C11,"Not recovered")))))</f>
        <v>4.5</v>
      </c>
      <c r="C5" s="29">
        <f>IF('Cash Flows &amp; PV'!H7&gt;=0,0+(-'Cash Flows &amp; PV'!H6)/'Cash Flows &amp; PV'!F7,IF('Cash Flows &amp; PV'!H8&gt;=0,1+(-'Cash Flows &amp; PV'!H7)/'Cash Flows &amp; PV'!F8,IF('Cash Flows &amp; PV'!H9&gt;=0,2+(-'Cash Flows &amp; PV'!H8)/'Cash Flows &amp; PV'!F9,IF('Cash Flows &amp; PV'!H10&gt;=0,3+(-'Cash Flows &amp; PV'!H9)/'Cash Flows &amp; PV'!F10,IF('Cash Flows &amp; PV'!H11&gt;=0,4+(-'Cash Flows &amp; PV'!H10)/'Cash Flows &amp; PV'!F11,"Not recovered")))))</f>
        <v>4.545454545454545</v>
      </c>
      <c r="D5" s="29">
        <f>IF('Cash Flows &amp; PV'!K7&gt;=0,0+(-'Cash Flows &amp; PV'!K6)/'Cash Flows &amp; PV'!I7,IF('Cash Flows &amp; PV'!K8&gt;=0,1+(-'Cash Flows &amp; PV'!K7)/'Cash Flows &amp; PV'!I8,IF('Cash Flows &amp; PV'!K9&gt;=0,2+(-'Cash Flows &amp; PV'!K8)/'Cash Flows &amp; PV'!I9,IF('Cash Flows &amp; PV'!K10&gt;=0,3+(-'Cash Flows &amp; PV'!K9)/'Cash Flows &amp; PV'!I10,IF('Cash Flows &amp; PV'!K11&gt;=0,4+(-'Cash Flows &amp; PV'!K10)/'Cash Flows &amp; PV'!I11,"Not recovered")))))</f>
        <v>3.6</v>
      </c>
    </row>
    <row r="6" spans="1:4" x14ac:dyDescent="0.35">
      <c r="A6" s="11" t="s">
        <v>32</v>
      </c>
      <c r="B6" s="30">
        <f>(AVERAGE('Cash Flows &amp; PV'!C7:C11)-Assumptions!$B$12/Assumptions!$B$7)/((Assumptions!$B$12+Assumptions!$B$8)/2)</f>
        <v>3.2000000000000028E-2</v>
      </c>
      <c r="C6" s="30">
        <f>(AVERAGE('Cash Flows &amp; PV'!F7:F11)-Assumptions!$B$13/Assumptions!$B$7)/((Assumptions!$B$13+Assumptions!$B$8)/2)</f>
        <v>0.04</v>
      </c>
      <c r="D6" s="30">
        <f>(AVERAGE('Cash Flows &amp; PV'!I7:I11)-Assumptions!$B$14/Assumptions!$B$7)/((Assumptions!$B$14+Assumptions!$B$8)/2)</f>
        <v>0.12</v>
      </c>
    </row>
    <row r="7" spans="1:4" ht="25" x14ac:dyDescent="0.35">
      <c r="A7" s="28" t="s">
        <v>33</v>
      </c>
      <c r="B7" s="31">
        <f>'Cash Flows &amp; PV'!D12</f>
        <v>-6.5440594186024104</v>
      </c>
      <c r="C7" s="31">
        <f>'Cash Flows &amp; PV'!G12</f>
        <v>-6.0801895921410667</v>
      </c>
      <c r="D7" s="31">
        <f>'Cash Flows &amp; PV'!J12</f>
        <v>0.85832495813095111</v>
      </c>
    </row>
    <row r="8" spans="1:4" ht="25" x14ac:dyDescent="0.35">
      <c r="A8" s="11" t="s">
        <v>34</v>
      </c>
      <c r="B8" s="32">
        <f>NPV(Assumptions!$B$5,'Cash Flows &amp; PV'!C7:C11)+'Cash Flows &amp; PV'!C6</f>
        <v>-6.5440594186024157</v>
      </c>
      <c r="C8" s="32">
        <f>NPV(Assumptions!$B$5,'Cash Flows &amp; PV'!F7:F11)+'Cash Flows &amp; PV'!F6</f>
        <v>-6.0801895921410676</v>
      </c>
      <c r="D8" s="32">
        <f>NPV(Assumptions!$B$5,'Cash Flows &amp; PV'!I7:I11)+'Cash Flows &amp; PV'!I6</f>
        <v>0.85832495813094312</v>
      </c>
    </row>
    <row r="9" spans="1:4" ht="24" x14ac:dyDescent="0.35">
      <c r="A9" s="33" t="s">
        <v>35</v>
      </c>
      <c r="B9" s="34">
        <f>B7-B8</f>
        <v>0</v>
      </c>
      <c r="C9" s="34">
        <f>C7-C8</f>
        <v>0</v>
      </c>
      <c r="D9" s="34">
        <f>D7-D8</f>
        <v>7.9936057773011271E-15</v>
      </c>
    </row>
    <row r="10" spans="1:4" x14ac:dyDescent="0.35">
      <c r="A10" s="11" t="s">
        <v>36</v>
      </c>
      <c r="B10" s="35">
        <f>SUM('Cash Flows &amp; PV'!D7:D11)/Assumptions!$B$12</f>
        <v>0.86911881162795179</v>
      </c>
      <c r="C10" s="35">
        <f>SUM('Cash Flows &amp; PV'!G7:G11)/Assumptions!$B$13</f>
        <v>0.87839620815717867</v>
      </c>
      <c r="D10" s="35">
        <f>SUM('Cash Flows &amp; PV'!J7:J11)/Assumptions!$B$14</f>
        <v>1.0171664991626193</v>
      </c>
    </row>
    <row r="11" spans="1:4" x14ac:dyDescent="0.35">
      <c r="A11" s="28" t="s">
        <v>37</v>
      </c>
      <c r="B11" s="36">
        <f>IRR('Cash Flows &amp; PV'!C6:C11,0.1)</f>
        <v>2.7219684840601444E-2</v>
      </c>
      <c r="C11" s="36">
        <f>IRR('Cash Flows &amp; PV'!F6:F11,0.1)</f>
        <v>3.2634958177834239E-2</v>
      </c>
      <c r="D11" s="36">
        <f>IRR('Cash Flows &amp; PV'!I6:I11,0.1)</f>
        <v>8.5867557437232289E-2</v>
      </c>
    </row>
    <row r="13" spans="1:4" ht="15" customHeight="1" x14ac:dyDescent="0.35">
      <c r="A13" s="8" t="s">
        <v>38</v>
      </c>
      <c r="B13" s="8"/>
      <c r="C13" s="8"/>
      <c r="D13" s="8"/>
    </row>
    <row r="14" spans="1:4" x14ac:dyDescent="0.35">
      <c r="A14" s="16" t="s">
        <v>30</v>
      </c>
      <c r="B14" s="16" t="s">
        <v>15</v>
      </c>
      <c r="C14" s="16" t="s">
        <v>16</v>
      </c>
      <c r="D14" s="16" t="s">
        <v>17</v>
      </c>
    </row>
    <row r="15" spans="1:4" x14ac:dyDescent="0.35">
      <c r="A15" s="28" t="s">
        <v>39</v>
      </c>
      <c r="B15" s="23">
        <f>RANK(B5,$B$5:$D$5,1)</f>
        <v>2</v>
      </c>
      <c r="C15" s="23">
        <f>RANK(C5,$B$5:$D$5,1)</f>
        <v>3</v>
      </c>
      <c r="D15" s="23">
        <f>RANK(D5,$B$5:$D$5,1)</f>
        <v>1</v>
      </c>
    </row>
    <row r="16" spans="1:4" x14ac:dyDescent="0.35">
      <c r="A16" s="11" t="s">
        <v>40</v>
      </c>
      <c r="B16" s="20">
        <f>RANK(B7,$B$7:$D$7,0)</f>
        <v>3</v>
      </c>
      <c r="C16" s="20">
        <f>RANK(C7,$B$7:$D$7,0)</f>
        <v>2</v>
      </c>
      <c r="D16" s="20">
        <f>RANK(D7,$B$7:$D$7,0)</f>
        <v>1</v>
      </c>
    </row>
    <row r="17" spans="1:4" x14ac:dyDescent="0.35">
      <c r="A17" s="28" t="s">
        <v>41</v>
      </c>
      <c r="B17" s="23">
        <f>RANK(B10,$B$10:$D$10,0)</f>
        <v>3</v>
      </c>
      <c r="C17" s="23">
        <f>RANK(C10,$B$10:$D$10,0)</f>
        <v>2</v>
      </c>
      <c r="D17" s="23">
        <f>RANK(D10,$B$10:$D$10,0)</f>
        <v>1</v>
      </c>
    </row>
    <row r="18" spans="1:4" x14ac:dyDescent="0.35">
      <c r="A18" s="11" t="s">
        <v>42</v>
      </c>
      <c r="B18" s="20">
        <f>RANK(B11,$B$11:$D$11,0)</f>
        <v>3</v>
      </c>
      <c r="C18" s="20">
        <f>RANK(C11,$B$11:$D$11,0)</f>
        <v>2</v>
      </c>
      <c r="D18" s="20">
        <f>RANK(D11,$B$11:$D$11,0)</f>
        <v>1</v>
      </c>
    </row>
    <row r="19" spans="1:4" x14ac:dyDescent="0.35">
      <c r="A19" s="28" t="s">
        <v>43</v>
      </c>
      <c r="B19" s="23">
        <f>RANK(B6,$B$6:$D$6,0)</f>
        <v>3</v>
      </c>
      <c r="C19" s="23">
        <f>RANK(C6,$B$6:$D$6,0)</f>
        <v>2</v>
      </c>
      <c r="D19" s="23">
        <f>RANK(D6,$B$6:$D$6,0)</f>
        <v>1</v>
      </c>
    </row>
    <row r="21" spans="1:4" x14ac:dyDescent="0.35">
      <c r="A21" s="37" t="s">
        <v>44</v>
      </c>
      <c r="B21" s="16"/>
      <c r="C21" s="16"/>
      <c r="D21" s="16"/>
    </row>
    <row r="22" spans="1:4" ht="25" x14ac:dyDescent="0.35">
      <c r="A22" s="11" t="s">
        <v>45</v>
      </c>
      <c r="B22" s="38" t="str">
        <f>IF(AND(B7&gt;0,B11&gt;Assumptions!$B$5),"ACCEPT","REJECT")</f>
        <v>REJECT</v>
      </c>
      <c r="C22" s="38" t="str">
        <f>IF(AND(C7&gt;0,C11&gt;Assumptions!$B$5),"ACCEPT","REJECT")</f>
        <v>REJECT</v>
      </c>
      <c r="D22" s="38" t="str">
        <f>IF(AND(D7&gt;0,D11&gt;Assumptions!$B$5),"ACCEPT","REJECT")</f>
        <v>ACCEPT</v>
      </c>
    </row>
    <row r="24" spans="1:4" ht="15" customHeight="1" x14ac:dyDescent="0.35">
      <c r="A24" s="8" t="s">
        <v>46</v>
      </c>
      <c r="B24" s="8"/>
      <c r="C24" s="8"/>
      <c r="D24" s="8"/>
    </row>
    <row r="25" spans="1:4" ht="24" customHeight="1" x14ac:dyDescent="0.35">
      <c r="A25" s="5" t="s">
        <v>47</v>
      </c>
      <c r="B25" s="5"/>
      <c r="C25" s="5"/>
      <c r="D25" s="5"/>
    </row>
    <row r="26" spans="1:4" ht="24" customHeight="1" x14ac:dyDescent="0.35">
      <c r="A26" s="5"/>
      <c r="B26" s="5"/>
      <c r="C26" s="5"/>
      <c r="D26" s="5"/>
    </row>
    <row r="27" spans="1:4" ht="24" customHeight="1" x14ac:dyDescent="0.35">
      <c r="A27" s="5"/>
      <c r="B27" s="5"/>
      <c r="C27" s="5"/>
      <c r="D27" s="5"/>
    </row>
    <row r="28" spans="1:4" ht="24" customHeight="1" x14ac:dyDescent="0.35">
      <c r="A28" s="5"/>
      <c r="B28" s="5"/>
      <c r="C28" s="5"/>
      <c r="D28" s="5"/>
    </row>
    <row r="29" spans="1:4" ht="24" customHeight="1" x14ac:dyDescent="0.35">
      <c r="A29" s="5"/>
      <c r="B29" s="5"/>
      <c r="C29" s="5"/>
      <c r="D29" s="5"/>
    </row>
    <row r="30" spans="1:4" ht="24" customHeight="1" x14ac:dyDescent="0.35">
      <c r="A30" s="5"/>
      <c r="B30" s="5"/>
      <c r="C30" s="5"/>
      <c r="D30" s="5"/>
    </row>
    <row r="31" spans="1:4" ht="24" customHeight="1" x14ac:dyDescent="0.35">
      <c r="A31" s="5"/>
      <c r="B31" s="5"/>
      <c r="C31" s="5"/>
      <c r="D31" s="5"/>
    </row>
    <row r="32" spans="1:4" ht="24" customHeight="1" x14ac:dyDescent="0.35">
      <c r="A32" s="5"/>
      <c r="B32" s="5"/>
      <c r="C32" s="5"/>
      <c r="D32" s="5"/>
    </row>
    <row r="33" spans="1:4" ht="24" customHeight="1" x14ac:dyDescent="0.35">
      <c r="A33" s="5"/>
      <c r="B33" s="5"/>
      <c r="C33" s="5"/>
      <c r="D33" s="5"/>
    </row>
    <row r="34" spans="1:4" ht="24" customHeight="1" x14ac:dyDescent="0.35">
      <c r="A34" s="5"/>
      <c r="B34" s="5"/>
      <c r="C34" s="5"/>
      <c r="D34" s="5"/>
    </row>
  </sheetData>
  <mergeCells count="5">
    <mergeCell ref="A1:D1"/>
    <mergeCell ref="A2:D2"/>
    <mergeCell ref="A13:D13"/>
    <mergeCell ref="A24:D24"/>
    <mergeCell ref="A25:D34"/>
  </mergeCells>
  <pageMargins left="0.4" right="0.4" top="1" bottom="1" header="0.511811023622047" footer="0.511811023622047"/>
  <pageSetup fitToHeight="2"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31"/>
  <sheetViews>
    <sheetView showGridLines="0" zoomScaleNormal="100" workbookViewId="0">
      <pane ySplit="4" topLeftCell="A5" activePane="bottomLeft" state="frozen"/>
      <selection pane="bottomLeft"/>
    </sheetView>
  </sheetViews>
  <sheetFormatPr defaultColWidth="8.6328125" defaultRowHeight="14.5" x14ac:dyDescent="0.35"/>
  <cols>
    <col min="1" max="2" width="20" customWidth="1"/>
    <col min="3" max="3" width="18" customWidth="1"/>
    <col min="4" max="4" width="16" customWidth="1"/>
    <col min="5" max="5" width="14" customWidth="1"/>
    <col min="6" max="6" width="16" customWidth="1"/>
    <col min="7" max="7" width="3" customWidth="1"/>
    <col min="8" max="8" width="50" customWidth="1"/>
  </cols>
  <sheetData>
    <row r="1" spans="1:6" ht="19.75" customHeight="1" x14ac:dyDescent="0.35">
      <c r="A1" s="10" t="s">
        <v>48</v>
      </c>
      <c r="B1" s="10"/>
      <c r="C1" s="10"/>
      <c r="D1" s="10"/>
      <c r="E1" s="10"/>
      <c r="F1" s="10"/>
    </row>
    <row r="2" spans="1:6" ht="23.9" customHeight="1" x14ac:dyDescent="0.35">
      <c r="A2" s="9" t="s">
        <v>49</v>
      </c>
      <c r="B2" s="9"/>
      <c r="C2" s="9"/>
      <c r="D2" s="9"/>
      <c r="E2" s="9"/>
      <c r="F2" s="9"/>
    </row>
    <row r="4" spans="1:6" ht="26" x14ac:dyDescent="0.35">
      <c r="A4" s="16" t="s">
        <v>50</v>
      </c>
      <c r="B4" s="16" t="s">
        <v>51</v>
      </c>
      <c r="C4" s="16" t="s">
        <v>52</v>
      </c>
      <c r="D4" s="16" t="s">
        <v>53</v>
      </c>
      <c r="E4" s="16" t="s">
        <v>54</v>
      </c>
      <c r="F4" s="16" t="s">
        <v>55</v>
      </c>
    </row>
    <row r="5" spans="1:6" x14ac:dyDescent="0.35">
      <c r="A5" s="17" t="s">
        <v>56</v>
      </c>
      <c r="B5" s="11" t="s">
        <v>15</v>
      </c>
      <c r="C5" s="22">
        <f>Assumptions!$B$12</f>
        <v>50</v>
      </c>
      <c r="D5" s="32">
        <f>Appraisal!$B$7</f>
        <v>-6.5440594186024104</v>
      </c>
      <c r="E5" s="39" t="str">
        <f>IF(C5&lt;=Assumptions!$B$6,"Yes","No")</f>
        <v>Yes</v>
      </c>
      <c r="F5" s="32">
        <f t="shared" ref="F5:F11" si="0">IF(E5="Yes",D5,"")</f>
        <v>-6.5440594186024104</v>
      </c>
    </row>
    <row r="6" spans="1:6" x14ac:dyDescent="0.35">
      <c r="A6" s="18" t="s">
        <v>57</v>
      </c>
      <c r="B6" s="28" t="s">
        <v>16</v>
      </c>
      <c r="C6" s="25">
        <f>Assumptions!$B$13</f>
        <v>50</v>
      </c>
      <c r="D6" s="31">
        <f>Appraisal!$C$7</f>
        <v>-6.0801895921410667</v>
      </c>
      <c r="E6" s="40" t="str">
        <f>IF(C6&lt;=Assumptions!$B$6,"Yes","No")</f>
        <v>Yes</v>
      </c>
      <c r="F6" s="31">
        <f t="shared" si="0"/>
        <v>-6.0801895921410667</v>
      </c>
    </row>
    <row r="7" spans="1:6" x14ac:dyDescent="0.35">
      <c r="A7" s="17" t="s">
        <v>58</v>
      </c>
      <c r="B7" s="11" t="s">
        <v>17</v>
      </c>
      <c r="C7" s="22">
        <f>Assumptions!$B$14</f>
        <v>50</v>
      </c>
      <c r="D7" s="32">
        <f>Appraisal!$D$7</f>
        <v>0.85832495813095111</v>
      </c>
      <c r="E7" s="39" t="str">
        <f>IF(C7&lt;=Assumptions!$B$6,"Yes","No")</f>
        <v>Yes</v>
      </c>
      <c r="F7" s="32">
        <f t="shared" si="0"/>
        <v>0.85832495813095111</v>
      </c>
    </row>
    <row r="8" spans="1:6" x14ac:dyDescent="0.35">
      <c r="A8" s="18" t="s">
        <v>59</v>
      </c>
      <c r="B8" s="28" t="s">
        <v>60</v>
      </c>
      <c r="C8" s="25">
        <f>Assumptions!$B$12+Assumptions!$B$13</f>
        <v>100</v>
      </c>
      <c r="D8" s="31">
        <f>Appraisal!$B$7+Appraisal!$C$7</f>
        <v>-12.624249010743476</v>
      </c>
      <c r="E8" s="40" t="str">
        <f>IF(C8&lt;=Assumptions!$B$6,"Yes","No")</f>
        <v>Yes</v>
      </c>
      <c r="F8" s="31">
        <f t="shared" si="0"/>
        <v>-12.624249010743476</v>
      </c>
    </row>
    <row r="9" spans="1:6" x14ac:dyDescent="0.35">
      <c r="A9" s="17" t="s">
        <v>61</v>
      </c>
      <c r="B9" s="11" t="s">
        <v>62</v>
      </c>
      <c r="C9" s="22">
        <f>Assumptions!$B$12+Assumptions!$B$14</f>
        <v>100</v>
      </c>
      <c r="D9" s="32">
        <f>Appraisal!$B$7+Appraisal!$D$7</f>
        <v>-5.6857344604714593</v>
      </c>
      <c r="E9" s="39" t="str">
        <f>IF(C9&lt;=Assumptions!$B$6,"Yes","No")</f>
        <v>Yes</v>
      </c>
      <c r="F9" s="32">
        <f t="shared" si="0"/>
        <v>-5.6857344604714593</v>
      </c>
    </row>
    <row r="10" spans="1:6" x14ac:dyDescent="0.35">
      <c r="A10" s="18" t="s">
        <v>63</v>
      </c>
      <c r="B10" s="28" t="s">
        <v>64</v>
      </c>
      <c r="C10" s="25">
        <f>Assumptions!$B$13+Assumptions!$B$14</f>
        <v>100</v>
      </c>
      <c r="D10" s="31">
        <f>Appraisal!$C$7+Appraisal!$D$7</f>
        <v>-5.2218646340101156</v>
      </c>
      <c r="E10" s="40" t="str">
        <f>IF(C10&lt;=Assumptions!$B$6,"Yes","No")</f>
        <v>Yes</v>
      </c>
      <c r="F10" s="31">
        <f t="shared" si="0"/>
        <v>-5.2218646340101156</v>
      </c>
    </row>
    <row r="11" spans="1:6" ht="25" x14ac:dyDescent="0.35">
      <c r="A11" s="17" t="s">
        <v>65</v>
      </c>
      <c r="B11" s="11" t="s">
        <v>66</v>
      </c>
      <c r="C11" s="22">
        <f>Assumptions!$B$12+Assumptions!$B$13+Assumptions!$B$14</f>
        <v>150</v>
      </c>
      <c r="D11" s="32">
        <f>Appraisal!$B$7+Appraisal!$C$7+Appraisal!$D$7</f>
        <v>-11.765924052612526</v>
      </c>
      <c r="E11" s="39" t="str">
        <f>IF(C11&lt;=Assumptions!$B$6,"Yes","No")</f>
        <v>No</v>
      </c>
      <c r="F11" s="32" t="str">
        <f t="shared" si="0"/>
        <v/>
      </c>
    </row>
    <row r="13" spans="1:6" ht="15" customHeight="1" x14ac:dyDescent="0.35">
      <c r="A13" s="4" t="s">
        <v>67</v>
      </c>
      <c r="B13" s="4"/>
      <c r="C13" s="4"/>
      <c r="D13" s="3" t="str">
        <f>INDEX(A5:A11,MATCH(MAX(F5:F11),F5:F11,0))</f>
        <v>C only</v>
      </c>
      <c r="E13" s="3"/>
      <c r="F13" s="3"/>
    </row>
    <row r="14" spans="1:6" ht="15" customHeight="1" x14ac:dyDescent="0.35">
      <c r="A14" s="2" t="s">
        <v>68</v>
      </c>
      <c r="B14" s="2"/>
      <c r="C14" s="2"/>
      <c r="D14" s="1">
        <f>MAX(F5:F11)</f>
        <v>0.85832495813095111</v>
      </c>
      <c r="E14" s="1"/>
      <c r="F14" s="1"/>
    </row>
    <row r="17" spans="1:6" ht="15" customHeight="1" x14ac:dyDescent="0.35">
      <c r="A17" s="8" t="s">
        <v>69</v>
      </c>
      <c r="B17" s="8"/>
      <c r="C17" s="8"/>
      <c r="D17" s="8"/>
      <c r="E17" s="8"/>
      <c r="F17" s="8"/>
    </row>
    <row r="18" spans="1:6" ht="24" customHeight="1" x14ac:dyDescent="0.35">
      <c r="A18" s="5" t="s">
        <v>70</v>
      </c>
      <c r="B18" s="5"/>
      <c r="C18" s="5"/>
      <c r="D18" s="5"/>
      <c r="E18" s="5"/>
      <c r="F18" s="5"/>
    </row>
    <row r="19" spans="1:6" ht="24" customHeight="1" x14ac:dyDescent="0.35">
      <c r="A19" s="5"/>
      <c r="B19" s="5"/>
      <c r="C19" s="5"/>
      <c r="D19" s="5"/>
      <c r="E19" s="5"/>
      <c r="F19" s="5"/>
    </row>
    <row r="20" spans="1:6" ht="24" customHeight="1" x14ac:dyDescent="0.35">
      <c r="A20" s="5"/>
      <c r="B20" s="5"/>
      <c r="C20" s="5"/>
      <c r="D20" s="5"/>
      <c r="E20" s="5"/>
      <c r="F20" s="5"/>
    </row>
    <row r="21" spans="1:6" ht="24" customHeight="1" x14ac:dyDescent="0.35">
      <c r="A21" s="5"/>
      <c r="B21" s="5"/>
      <c r="C21" s="5"/>
      <c r="D21" s="5"/>
      <c r="E21" s="5"/>
      <c r="F21" s="5"/>
    </row>
    <row r="22" spans="1:6" ht="24" customHeight="1" x14ac:dyDescent="0.35">
      <c r="A22" s="5"/>
      <c r="B22" s="5"/>
      <c r="C22" s="5"/>
      <c r="D22" s="5"/>
      <c r="E22" s="5"/>
      <c r="F22" s="5"/>
    </row>
    <row r="23" spans="1:6" ht="24" customHeight="1" x14ac:dyDescent="0.35">
      <c r="A23" s="5"/>
      <c r="B23" s="5"/>
      <c r="C23" s="5"/>
      <c r="D23" s="5"/>
      <c r="E23" s="5"/>
      <c r="F23" s="5"/>
    </row>
    <row r="24" spans="1:6" ht="24" customHeight="1" x14ac:dyDescent="0.35">
      <c r="A24" s="5"/>
      <c r="B24" s="5"/>
      <c r="C24" s="5"/>
      <c r="D24" s="5"/>
      <c r="E24" s="5"/>
      <c r="F24" s="5"/>
    </row>
    <row r="25" spans="1:6" ht="24" customHeight="1" x14ac:dyDescent="0.35">
      <c r="A25" s="5"/>
      <c r="B25" s="5"/>
      <c r="C25" s="5"/>
      <c r="D25" s="5"/>
      <c r="E25" s="5"/>
      <c r="F25" s="5"/>
    </row>
    <row r="26" spans="1:6" ht="24" customHeight="1" x14ac:dyDescent="0.35">
      <c r="A26" s="5"/>
      <c r="B26" s="5"/>
      <c r="C26" s="5"/>
      <c r="D26" s="5"/>
      <c r="E26" s="5"/>
      <c r="F26" s="5"/>
    </row>
    <row r="27" spans="1:6" ht="24" customHeight="1" x14ac:dyDescent="0.35">
      <c r="A27" s="5"/>
      <c r="B27" s="5"/>
      <c r="C27" s="5"/>
      <c r="D27" s="5"/>
      <c r="E27" s="5"/>
      <c r="F27" s="5"/>
    </row>
    <row r="28" spans="1:6" ht="24" customHeight="1" x14ac:dyDescent="0.35">
      <c r="A28" s="5"/>
      <c r="B28" s="5"/>
      <c r="C28" s="5"/>
      <c r="D28" s="5"/>
      <c r="E28" s="5"/>
      <c r="F28" s="5"/>
    </row>
    <row r="29" spans="1:6" ht="24" customHeight="1" x14ac:dyDescent="0.35">
      <c r="A29" s="5"/>
      <c r="B29" s="5"/>
      <c r="C29" s="5"/>
      <c r="D29" s="5"/>
      <c r="E29" s="5"/>
      <c r="F29" s="5"/>
    </row>
    <row r="30" spans="1:6" ht="24" customHeight="1" x14ac:dyDescent="0.35">
      <c r="A30" s="5"/>
      <c r="B30" s="5"/>
      <c r="C30" s="5"/>
      <c r="D30" s="5"/>
      <c r="E30" s="5"/>
      <c r="F30" s="5"/>
    </row>
    <row r="31" spans="1:6" ht="24" customHeight="1" x14ac:dyDescent="0.35">
      <c r="A31" s="5"/>
      <c r="B31" s="5"/>
      <c r="C31" s="5"/>
      <c r="D31" s="5"/>
      <c r="E31" s="5"/>
      <c r="F31" s="5"/>
    </row>
  </sheetData>
  <mergeCells count="8">
    <mergeCell ref="A17:F17"/>
    <mergeCell ref="A18:F31"/>
    <mergeCell ref="A1:F1"/>
    <mergeCell ref="A2:F2"/>
    <mergeCell ref="A13:C13"/>
    <mergeCell ref="D13:F13"/>
    <mergeCell ref="A14:C14"/>
    <mergeCell ref="D14:F14"/>
  </mergeCells>
  <pageMargins left="0.4" right="0.4" top="1" bottom="1" header="0.511811023622047" footer="0.511811023622047"/>
  <pageSetup fitToHeight="2"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Assumptions</vt:lpstr>
      <vt:lpstr>Cash Flows &amp; PV</vt:lpstr>
      <vt:lpstr>Appraisal</vt:lpstr>
      <vt:lpstr>Capital Rationing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prasanna panthee</cp:lastModifiedBy>
  <cp:revision>0</cp:revision>
  <dcterms:created xsi:type="dcterms:W3CDTF">2026-08-07T11:48:58Z</dcterms:created>
  <dcterms:modified xsi:type="dcterms:W3CDTF">2026-08-07T12:58:54Z</dcterms:modified>
  <dc:language>en-US</dc:language>
</cp:coreProperties>
</file>