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\Year 3\AVD\Mark Assignment\"/>
    </mc:Choice>
  </mc:AlternateContent>
  <xr:revisionPtr revIDLastSave="0" documentId="8_{FB2A9E4E-98B6-43A8-80A0-594D2E248D65}" xr6:coauthVersionLast="45" xr6:coauthVersionMax="45" xr10:uidLastSave="{00000000-0000-0000-0000-000000000000}"/>
  <bookViews>
    <workbookView xWindow="-120" yWindow="-120" windowWidth="29040" windowHeight="15840" activeTab="4" xr2:uid="{C8E46115-7836-4BEC-BFAA-0D062C58974D}"/>
  </bookViews>
  <sheets>
    <sheet name="Base Data" sheetId="1" r:id="rId1"/>
    <sheet name="Sheet7" sheetId="8" r:id="rId2"/>
    <sheet name="Clutch" sheetId="6" r:id="rId3"/>
    <sheet name="Acceleration" sheetId="7" r:id="rId4"/>
    <sheet name="Ferarri 458 Italia" sheetId="2" r:id="rId5"/>
    <sheet name="488" sheetId="3" r:id="rId6"/>
    <sheet name="SF90" sheetId="4" r:id="rId7"/>
    <sheet name="Caterham Seven 620 R" sheetId="5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6" l="1"/>
  <c r="F20" i="6"/>
  <c r="G20" i="6"/>
  <c r="C10" i="5"/>
  <c r="B10" i="5"/>
  <c r="E10" i="5"/>
  <c r="D10" i="5"/>
  <c r="D29" i="1"/>
  <c r="E29" i="1" s="1"/>
  <c r="F29" i="1"/>
  <c r="E10" i="3"/>
  <c r="D10" i="3"/>
  <c r="E10" i="4"/>
  <c r="D10" i="4"/>
  <c r="I10" i="2"/>
  <c r="D10" i="2"/>
  <c r="E10" i="2"/>
  <c r="I10" i="1"/>
  <c r="C29" i="1"/>
  <c r="F10" i="1"/>
  <c r="E10" i="1"/>
  <c r="D10" i="1"/>
  <c r="B25" i="1"/>
  <c r="C25" i="1"/>
  <c r="C22" i="1"/>
  <c r="B22" i="1"/>
  <c r="F34" i="6"/>
  <c r="G34" i="6" s="1"/>
  <c r="H34" i="6" s="1"/>
  <c r="F35" i="6"/>
  <c r="G35" i="6" s="1"/>
  <c r="H35" i="6" s="1"/>
  <c r="F36" i="6"/>
  <c r="F37" i="6"/>
  <c r="F38" i="6"/>
  <c r="F39" i="6"/>
  <c r="F33" i="6"/>
  <c r="G33" i="6" s="1"/>
  <c r="H33" i="6" s="1"/>
  <c r="G38" i="6"/>
  <c r="H38" i="6" s="1"/>
  <c r="G36" i="6"/>
  <c r="H36" i="6" s="1"/>
  <c r="G37" i="6"/>
  <c r="H37" i="6" s="1"/>
  <c r="G39" i="6"/>
  <c r="H39" i="6" s="1"/>
  <c r="E34" i="6"/>
  <c r="E35" i="6"/>
  <c r="E36" i="6"/>
  <c r="E37" i="6"/>
  <c r="E38" i="6"/>
  <c r="E39" i="6"/>
  <c r="E33" i="6"/>
  <c r="C43" i="7"/>
  <c r="D43" i="7"/>
  <c r="B43" i="7"/>
  <c r="F40" i="7"/>
  <c r="E40" i="7"/>
  <c r="D40" i="7"/>
  <c r="C40" i="7"/>
  <c r="D35" i="7"/>
  <c r="F35" i="7"/>
  <c r="E35" i="7"/>
  <c r="C35" i="7"/>
  <c r="B35" i="7"/>
  <c r="G32" i="7"/>
  <c r="F32" i="7"/>
  <c r="E32" i="7"/>
  <c r="D32" i="7"/>
  <c r="D28" i="7"/>
  <c r="E28" i="7"/>
  <c r="F28" i="7"/>
  <c r="F25" i="7"/>
  <c r="E25" i="7"/>
  <c r="E14" i="7"/>
  <c r="G14" i="7" s="1"/>
  <c r="B28" i="7" s="1"/>
  <c r="D14" i="7"/>
  <c r="F14" i="7" s="1"/>
  <c r="C28" i="7" s="1"/>
  <c r="E10" i="7"/>
  <c r="F10" i="7" s="1"/>
  <c r="E17" i="7"/>
  <c r="G17" i="7" s="1"/>
  <c r="F17" i="7"/>
  <c r="D7" i="7"/>
  <c r="E7" i="7" s="1"/>
  <c r="B13" i="7"/>
  <c r="E3" i="7"/>
  <c r="F3" i="7"/>
  <c r="F28" i="6"/>
  <c r="F24" i="6"/>
  <c r="E28" i="6"/>
  <c r="H28" i="6" s="1"/>
  <c r="D28" i="6"/>
  <c r="E24" i="6"/>
  <c r="H24" i="6" s="1"/>
  <c r="D24" i="6"/>
  <c r="E20" i="6"/>
  <c r="D20" i="6"/>
  <c r="F16" i="6"/>
  <c r="E16" i="6"/>
  <c r="H16" i="6" s="1"/>
  <c r="D16" i="6"/>
  <c r="F12" i="6"/>
  <c r="E12" i="6"/>
  <c r="H12" i="6" s="1"/>
  <c r="D12" i="6"/>
  <c r="H8" i="6"/>
  <c r="G16" i="6" s="1"/>
  <c r="E8" i="6"/>
  <c r="D8" i="6"/>
  <c r="G8" i="6" l="1"/>
  <c r="G25" i="7"/>
  <c r="C10" i="7"/>
  <c r="D10" i="7" s="1"/>
  <c r="D25" i="7"/>
  <c r="C17" i="7"/>
  <c r="H20" i="6"/>
  <c r="G24" i="6"/>
  <c r="G28" i="6"/>
  <c r="G12" i="6"/>
  <c r="G10" i="5"/>
  <c r="G10" i="4"/>
  <c r="G10" i="3"/>
  <c r="G10" i="2"/>
  <c r="G10" i="1"/>
  <c r="H10" i="1" s="1"/>
  <c r="C12" i="5"/>
  <c r="B12" i="5"/>
  <c r="I6" i="5"/>
  <c r="D6" i="5"/>
  <c r="C10" i="4"/>
  <c r="C12" i="4" s="1"/>
  <c r="B10" i="4"/>
  <c r="B12" i="4" s="1"/>
  <c r="C17" i="4"/>
  <c r="B17" i="4"/>
  <c r="I6" i="4"/>
  <c r="D6" i="4"/>
  <c r="C10" i="3"/>
  <c r="C12" i="3" s="1"/>
  <c r="B10" i="3"/>
  <c r="B12" i="3" s="1"/>
  <c r="C17" i="3"/>
  <c r="B17" i="3"/>
  <c r="I6" i="3"/>
  <c r="D6" i="3"/>
  <c r="C10" i="2"/>
  <c r="C12" i="2" s="1"/>
  <c r="B10" i="2"/>
  <c r="B12" i="2" s="1"/>
  <c r="G3" i="2"/>
  <c r="F3" i="2"/>
  <c r="B17" i="2"/>
  <c r="C17" i="2"/>
  <c r="I6" i="2"/>
  <c r="D6" i="2"/>
  <c r="D17" i="7" l="1"/>
  <c r="H10" i="5"/>
  <c r="F10" i="5"/>
  <c r="I10" i="5" s="1"/>
  <c r="H10" i="4"/>
  <c r="F10" i="4"/>
  <c r="I10" i="4" s="1"/>
  <c r="F10" i="3"/>
  <c r="I10" i="3" s="1"/>
  <c r="H10" i="3"/>
  <c r="H10" i="2"/>
  <c r="F10" i="2"/>
  <c r="I6" i="1" l="1"/>
  <c r="C12" i="1"/>
  <c r="B12" i="1"/>
  <c r="C10" i="1"/>
  <c r="B10" i="1"/>
  <c r="D6" i="1"/>
</calcChain>
</file>

<file path=xl/sharedStrings.xml><?xml version="1.0" encoding="utf-8"?>
<sst xmlns="http://schemas.openxmlformats.org/spreadsheetml/2006/main" count="277" uniqueCount="101">
  <si>
    <t>Length</t>
  </si>
  <si>
    <t>Width</t>
  </si>
  <si>
    <t>Height</t>
  </si>
  <si>
    <t>Wheelbase</t>
  </si>
  <si>
    <t>Front Track</t>
  </si>
  <si>
    <t>Rear Track</t>
  </si>
  <si>
    <t>Kerb Weight</t>
  </si>
  <si>
    <t>Dry Weight</t>
  </si>
  <si>
    <t>Weight Distribution</t>
  </si>
  <si>
    <t>47/53</t>
  </si>
  <si>
    <t>Engine</t>
  </si>
  <si>
    <t>V12</t>
  </si>
  <si>
    <t>CC</t>
  </si>
  <si>
    <t>CC per cylinder</t>
  </si>
  <si>
    <t>Max Power (kw)</t>
  </si>
  <si>
    <t>Max Torque (Nm)</t>
  </si>
  <si>
    <t>Max RPM</t>
  </si>
  <si>
    <t>Front Weight (kg)</t>
  </si>
  <si>
    <t>Rear Weight (kg)</t>
  </si>
  <si>
    <t>Rf/r</t>
  </si>
  <si>
    <t>Force</t>
  </si>
  <si>
    <t>Kerb Force</t>
  </si>
  <si>
    <t>a</t>
  </si>
  <si>
    <t>b</t>
  </si>
  <si>
    <t>k</t>
  </si>
  <si>
    <t>Izz</t>
  </si>
  <si>
    <t>D.I</t>
  </si>
  <si>
    <t>Front Track Difference</t>
  </si>
  <si>
    <t>Rear Track Difference</t>
  </si>
  <si>
    <t>Track is estimated</t>
  </si>
  <si>
    <t>42/58</t>
  </si>
  <si>
    <t>41.5/58.5</t>
  </si>
  <si>
    <t>45/55</t>
  </si>
  <si>
    <t>Mu</t>
  </si>
  <si>
    <t>R1</t>
  </si>
  <si>
    <t>R2</t>
  </si>
  <si>
    <t>T</t>
  </si>
  <si>
    <t>Constant Wear</t>
  </si>
  <si>
    <t>r2-r1</t>
  </si>
  <si>
    <t>Constant pressure 100% Torque Rear Wheels</t>
  </si>
  <si>
    <t>Constant pressure 80% Torque Rear Wheels</t>
  </si>
  <si>
    <t>F</t>
  </si>
  <si>
    <t>Constant pressure 20% Torque Front Wheels</t>
  </si>
  <si>
    <t>Constant Wear 100% Torque Rear Wheels</t>
  </si>
  <si>
    <t>T = 2/3.mu.F.((r2^3-r1^30/(r2^2-r1^2))</t>
  </si>
  <si>
    <t>Constant Pressure</t>
  </si>
  <si>
    <t>T = (F*Mu*R2+R1)/2</t>
  </si>
  <si>
    <t>Constant Wear 80% Torque Rear Wheels</t>
  </si>
  <si>
    <t>Constant Wear 20% Torque Front Wheels</t>
  </si>
  <si>
    <t>Final Gear Ratio</t>
  </si>
  <si>
    <t>T = Torque * Final Drive Ratio * Efficiency</t>
  </si>
  <si>
    <t>Final Ratio</t>
  </si>
  <si>
    <t>Efficiency</t>
  </si>
  <si>
    <t>100% Rear Wheels</t>
  </si>
  <si>
    <t>Drive Torque at Rear Wheels</t>
  </si>
  <si>
    <t>1st Ratio</t>
  </si>
  <si>
    <t>Drive Torque at Shaft</t>
  </si>
  <si>
    <t>Approx Rolling Radius Front</t>
  </si>
  <si>
    <t>Approx Rolling Radius Rear</t>
  </si>
  <si>
    <t>Available Grip on Rear (N)</t>
  </si>
  <si>
    <t>Accel = Force/Mass (m/s)</t>
  </si>
  <si>
    <t>Force = Torque/rr (N)</t>
  </si>
  <si>
    <t>Accel</t>
  </si>
  <si>
    <t>20% Front 80% Rear</t>
  </si>
  <si>
    <t>1st small box ratio</t>
  </si>
  <si>
    <t>Drive Torque at Front Wheels</t>
  </si>
  <si>
    <t>Available Grip on Front (N)</t>
  </si>
  <si>
    <t>Drive Torque at Rear Shaft</t>
  </si>
  <si>
    <t>Drive Torque at Front Shaft</t>
  </si>
  <si>
    <t>Possible Acceleration</t>
  </si>
  <si>
    <t>Force Front</t>
  </si>
  <si>
    <t>Force Rear</t>
  </si>
  <si>
    <t>If both wheels on ice</t>
  </si>
  <si>
    <t>If Front wheels on tarmac rear on ice</t>
  </si>
  <si>
    <t>Just rwd on ice</t>
  </si>
  <si>
    <t>Front to Engine</t>
  </si>
  <si>
    <t>Front to Gearbox</t>
  </si>
  <si>
    <t>Axle to engine</t>
  </si>
  <si>
    <t>Axle to gearbox</t>
  </si>
  <si>
    <t>Engine mass</t>
  </si>
  <si>
    <t>Gearbox mass</t>
  </si>
  <si>
    <t>Ratio</t>
  </si>
  <si>
    <t>Final Drive</t>
  </si>
  <si>
    <t>Overall</t>
  </si>
  <si>
    <t>Power (kw)</t>
  </si>
  <si>
    <t>Wheel Speed at 8000 rpm</t>
  </si>
  <si>
    <t>Power (bhp)</t>
  </si>
  <si>
    <t xml:space="preserve">Axle to axle </t>
  </si>
  <si>
    <t>Ferrari FF</t>
  </si>
  <si>
    <t>Ferrari 458 Italia</t>
  </si>
  <si>
    <t>Ferrari 488</t>
  </si>
  <si>
    <t>Ferrari SF90</t>
  </si>
  <si>
    <t>Caterham Seven 620 R</t>
  </si>
  <si>
    <t>Length (mm)</t>
  </si>
  <si>
    <t>Width (mm)</t>
  </si>
  <si>
    <t>Height (mm)</t>
  </si>
  <si>
    <t>Wheelbase (mm)</t>
  </si>
  <si>
    <t>Front Track (mm)</t>
  </si>
  <si>
    <t>Rear Track (mm)</t>
  </si>
  <si>
    <t>Kerb Weight (kg)</t>
  </si>
  <si>
    <t>Dry Weight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</si>
</sst>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to Show DI of Different Cars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FF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'Base Data'!$G$34:$G$38</c:f>
              <c:strCache>
                <c:ptCount val="5"/>
                <c:pt idx="0">
                  <c:v>Ferrari FF</c:v>
                </c:pt>
                <c:pt idx="1">
                  <c:v>Ferrari 458 Italia</c:v>
                </c:pt>
                <c:pt idx="2">
                  <c:v>Ferrari 488</c:v>
                </c:pt>
                <c:pt idx="3">
                  <c:v>Ferrari SF90</c:v>
                </c:pt>
                <c:pt idx="4">
                  <c:v>Caterham Seven 620 R</c:v>
                </c:pt>
              </c:strCache>
            </c:strRef>
          </c:cat>
          <c:val>
            <c:numRef>
              <c:f>'Base Data'!$H$10</c:f>
              <c:numCache>
                <c:formatCode>General</c:formatCode>
                <c:ptCount val="1"/>
                <c:pt idx="0">
                  <c:v>1.1276595744680851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23-4986-8ECC-7F41B6BD4920}"/>
            </c:ext>
          </c:extLst>
        </c:ser>
        <c:ser>
          <c:idx val="1"/>
          <c:order val="1"/>
          <c:tx>
            <c:v>Ferarri 458 Italia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'Base Data'!$G$34:$G$38</c:f>
              <c:strCache>
                <c:ptCount val="5"/>
                <c:pt idx="0">
                  <c:v>Ferrari FF</c:v>
                </c:pt>
                <c:pt idx="1">
                  <c:v>Ferrari 458 Italia</c:v>
                </c:pt>
                <c:pt idx="2">
                  <c:v>Ferrari 488</c:v>
                </c:pt>
                <c:pt idx="3">
                  <c:v>Ferrari SF90</c:v>
                </c:pt>
                <c:pt idx="4">
                  <c:v>Caterham Seven 620 R</c:v>
                </c:pt>
              </c:strCache>
            </c:strRef>
          </c:cat>
          <c:val>
            <c:numRef>
              <c:f>'Ferarri 458 Italia'!$H$10</c:f>
              <c:numCache>
                <c:formatCode>General</c:formatCode>
                <c:ptCount val="1"/>
                <c:pt idx="0">
                  <c:v>1.3571428571428568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23-4986-8ECC-7F41B6BD4920}"/>
            </c:ext>
          </c:extLst>
        </c:ser>
        <c:ser>
          <c:idx val="2"/>
          <c:order val="2"/>
          <c:tx>
            <c:v>488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'Base Data'!$G$34:$G$38</c:f>
              <c:strCache>
                <c:ptCount val="5"/>
                <c:pt idx="0">
                  <c:v>Ferrari FF</c:v>
                </c:pt>
                <c:pt idx="1">
                  <c:v>Ferrari 458 Italia</c:v>
                </c:pt>
                <c:pt idx="2">
                  <c:v>Ferrari 488</c:v>
                </c:pt>
                <c:pt idx="3">
                  <c:v>Ferrari SF90</c:v>
                </c:pt>
                <c:pt idx="4">
                  <c:v>Caterham Seven 620 R</c:v>
                </c:pt>
              </c:strCache>
            </c:strRef>
          </c:cat>
          <c:val>
            <c:numRef>
              <c:f>'488'!$H$10</c:f>
              <c:numCache>
                <c:formatCode>General</c:formatCode>
                <c:ptCount val="1"/>
                <c:pt idx="0">
                  <c:v>1.4096385542168675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23-4986-8ECC-7F41B6BD4920}"/>
            </c:ext>
          </c:extLst>
        </c:ser>
        <c:ser>
          <c:idx val="3"/>
          <c:order val="3"/>
          <c:tx>
            <c:v>SF90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'Base Data'!$G$34:$G$38</c:f>
              <c:strCache>
                <c:ptCount val="5"/>
                <c:pt idx="0">
                  <c:v>Ferrari FF</c:v>
                </c:pt>
                <c:pt idx="1">
                  <c:v>Ferrari 458 Italia</c:v>
                </c:pt>
                <c:pt idx="2">
                  <c:v>Ferrari 488</c:v>
                </c:pt>
                <c:pt idx="3">
                  <c:v>Ferrari SF90</c:v>
                </c:pt>
                <c:pt idx="4">
                  <c:v>Caterham Seven 620 R</c:v>
                </c:pt>
              </c:strCache>
            </c:strRef>
          </c:cat>
          <c:val>
            <c:numRef>
              <c:f>'SF90'!$H$10</c:f>
              <c:numCache>
                <c:formatCode>General</c:formatCode>
                <c:ptCount val="1"/>
                <c:pt idx="0">
                  <c:v>1.2222222222222225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A23-4986-8ECC-7F41B6BD4920}"/>
            </c:ext>
          </c:extLst>
        </c:ser>
        <c:ser>
          <c:idx val="4"/>
          <c:order val="4"/>
          <c:tx>
            <c:v>Caterham Seven 620 R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'Base Data'!$G$34:$G$38</c:f>
              <c:strCache>
                <c:ptCount val="5"/>
                <c:pt idx="0">
                  <c:v>Ferrari FF</c:v>
                </c:pt>
                <c:pt idx="1">
                  <c:v>Ferrari 458 Italia</c:v>
                </c:pt>
                <c:pt idx="2">
                  <c:v>Ferrari 488</c:v>
                </c:pt>
                <c:pt idx="3">
                  <c:v>Ferrari SF90</c:v>
                </c:pt>
                <c:pt idx="4">
                  <c:v>Caterham Seven 620 R</c:v>
                </c:pt>
              </c:strCache>
            </c:strRef>
          </c:cat>
          <c:val>
            <c:numRef>
              <c:f>'Caterham Seven 620 R'!$H$10</c:f>
              <c:numCache>
                <c:formatCode>General</c:formatCode>
                <c:ptCount val="1"/>
                <c:pt idx="0">
                  <c:v>1.0833333333333335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A23-4986-8ECC-7F41B6BD49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1412920"/>
        <c:axId val="541410624"/>
      </c:barChart>
      <c:catAx>
        <c:axId val="54141292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41410624"/>
        <c:crosses val="autoZero"/>
        <c:auto val="1"/>
        <c:lblAlgn val="ctr"/>
        <c:lblOffset val="100"/>
        <c:noMultiLvlLbl val="0"/>
      </c:catAx>
      <c:valAx>
        <c:axId val="54141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412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176212</xdr:rowOff>
    </xdr:from>
    <xdr:to>
      <xdr:col>6</xdr:col>
      <xdr:colOff>180975</xdr:colOff>
      <xdr:row>58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E9D6AE-7614-45D0-BC48-1B535BD5AD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48AD-6E33-438A-9681-D7FF55F4A1FE}">
  <dimension ref="B2:J38"/>
  <sheetViews>
    <sheetView workbookViewId="0">
      <selection activeCell="V28" sqref="V28"/>
    </sheetView>
  </sheetViews>
  <sheetFormatPr defaultRowHeight="15" x14ac:dyDescent="0.25"/>
  <cols>
    <col min="2" max="2" width="16.5703125" bestFit="1" customWidth="1"/>
    <col min="3" max="3" width="15.85546875" bestFit="1" customWidth="1"/>
    <col min="4" max="4" width="14.42578125" bestFit="1" customWidth="1"/>
    <col min="5" max="5" width="20" bestFit="1" customWidth="1"/>
    <col min="6" max="6" width="16.5703125" bestFit="1" customWidth="1"/>
    <col min="7" max="9" width="12" bestFit="1" customWidth="1"/>
    <col min="10" max="10" width="18.710937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>
        <v>4907</v>
      </c>
      <c r="C3">
        <v>1953</v>
      </c>
      <c r="D3">
        <v>1379</v>
      </c>
      <c r="E3">
        <v>2990</v>
      </c>
      <c r="F3">
        <v>1679</v>
      </c>
      <c r="G3">
        <v>1660</v>
      </c>
      <c r="H3">
        <v>1880</v>
      </c>
      <c r="I3">
        <v>1790</v>
      </c>
      <c r="J3" t="s">
        <v>9</v>
      </c>
    </row>
    <row r="5" spans="2:10" x14ac:dyDescent="0.25">
      <c r="B5" t="s">
        <v>10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19</v>
      </c>
      <c r="I5" t="s">
        <v>21</v>
      </c>
      <c r="J5" t="s">
        <v>49</v>
      </c>
    </row>
    <row r="6" spans="2:10" x14ac:dyDescent="0.25">
      <c r="B6" t="s">
        <v>11</v>
      </c>
      <c r="C6">
        <v>6262</v>
      </c>
      <c r="D6">
        <f>C6/12</f>
        <v>521.83333333333337</v>
      </c>
      <c r="E6">
        <v>486</v>
      </c>
      <c r="F6">
        <v>683</v>
      </c>
      <c r="G6">
        <v>8000</v>
      </c>
      <c r="H6">
        <v>254</v>
      </c>
      <c r="I6">
        <f>H3*9.81</f>
        <v>18442.8</v>
      </c>
      <c r="J6">
        <v>4.38</v>
      </c>
    </row>
    <row r="9" spans="2:10" x14ac:dyDescent="0.25">
      <c r="B9" t="s">
        <v>17</v>
      </c>
      <c r="C9" t="s">
        <v>18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</row>
    <row r="10" spans="2:10" x14ac:dyDescent="0.25">
      <c r="B10">
        <f>H3*0.47</f>
        <v>883.59999999999991</v>
      </c>
      <c r="C10">
        <f>H3*0.53</f>
        <v>996.40000000000009</v>
      </c>
      <c r="D10">
        <f>E3*0.53</f>
        <v>1584.7</v>
      </c>
      <c r="E10">
        <f>E3*0.47</f>
        <v>1405.3</v>
      </c>
      <c r="F10">
        <f>SQRT(G10/(H3*(D10/1000)))</f>
        <v>1.2588486803424785</v>
      </c>
      <c r="G10">
        <f>H3*((D10/1000)^2)</f>
        <v>4721.1952891999999</v>
      </c>
      <c r="H10">
        <f>G10/((D10/1000)*(E10/1000)*H3)</f>
        <v>1.1276595744680851</v>
      </c>
      <c r="I10">
        <f>(F10^2)/((D10/1000)*(E10/1000))</f>
        <v>0.71159183092578082</v>
      </c>
    </row>
    <row r="11" spans="2:10" x14ac:dyDescent="0.25">
      <c r="B11" t="s">
        <v>20</v>
      </c>
    </row>
    <row r="12" spans="2:10" x14ac:dyDescent="0.25">
      <c r="B12">
        <f>B10*9.81</f>
        <v>8668.116</v>
      </c>
      <c r="C12">
        <f>C10*9.81</f>
        <v>9774.6840000000011</v>
      </c>
    </row>
    <row r="15" spans="2:10" x14ac:dyDescent="0.25">
      <c r="B15" t="s">
        <v>75</v>
      </c>
      <c r="C15" t="s">
        <v>76</v>
      </c>
      <c r="E15" t="s">
        <v>79</v>
      </c>
      <c r="F15" t="s">
        <v>80</v>
      </c>
    </row>
    <row r="16" spans="2:10" x14ac:dyDescent="0.25">
      <c r="B16">
        <v>1351.72</v>
      </c>
      <c r="C16">
        <v>3820.52</v>
      </c>
      <c r="E16">
        <v>225</v>
      </c>
      <c r="F16">
        <v>81</v>
      </c>
    </row>
    <row r="18" spans="2:6" x14ac:dyDescent="0.25">
      <c r="B18" t="s">
        <v>77</v>
      </c>
      <c r="C18" t="s">
        <v>78</v>
      </c>
    </row>
    <row r="19" spans="2:6" x14ac:dyDescent="0.25">
      <c r="B19">
        <v>367.26</v>
      </c>
      <c r="C19">
        <v>2912.57</v>
      </c>
    </row>
    <row r="22" spans="2:6" x14ac:dyDescent="0.25">
      <c r="B22">
        <f>B16/1000</f>
        <v>1.35172</v>
      </c>
      <c r="C22">
        <f>C16/1000</f>
        <v>3.8205200000000001</v>
      </c>
      <c r="E22" t="s">
        <v>87</v>
      </c>
    </row>
    <row r="23" spans="2:6" x14ac:dyDescent="0.25">
      <c r="E23">
        <v>2805.5</v>
      </c>
    </row>
    <row r="25" spans="2:6" x14ac:dyDescent="0.25">
      <c r="B25">
        <f t="shared" ref="B25:C25" si="0">B19/1000</f>
        <v>0.36725999999999998</v>
      </c>
      <c r="C25">
        <f t="shared" si="0"/>
        <v>2.9125700000000001</v>
      </c>
    </row>
    <row r="29" spans="2:6" x14ac:dyDescent="0.25">
      <c r="C29">
        <f>(D10/1000)*(E10/1000)*H3</f>
        <v>4186.7203508000002</v>
      </c>
      <c r="D29">
        <f>C29/H3</f>
        <v>2.2269789100000001</v>
      </c>
      <c r="E29">
        <f>SQRT(D29)</f>
        <v>1.4923065737307466</v>
      </c>
      <c r="F29">
        <f>D29/((D10/1000)*(E10/1000))</f>
        <v>1</v>
      </c>
    </row>
    <row r="34" spans="7:7" x14ac:dyDescent="0.25">
      <c r="G34" t="s">
        <v>88</v>
      </c>
    </row>
    <row r="35" spans="7:7" x14ac:dyDescent="0.25">
      <c r="G35" t="s">
        <v>89</v>
      </c>
    </row>
    <row r="36" spans="7:7" x14ac:dyDescent="0.25">
      <c r="G36" t="s">
        <v>90</v>
      </c>
    </row>
    <row r="37" spans="7:7" x14ac:dyDescent="0.25">
      <c r="G37" t="s">
        <v>91</v>
      </c>
    </row>
    <row r="38" spans="7:7" x14ac:dyDescent="0.25">
      <c r="G38" t="s">
        <v>92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4AC6B-6B2E-4933-9317-ABC7B5D78321}">
  <dimension ref="B2:G5"/>
  <sheetViews>
    <sheetView workbookViewId="0">
      <selection activeCell="B2" sqref="B2:G5"/>
    </sheetView>
  </sheetViews>
  <sheetFormatPr defaultRowHeight="15" x14ac:dyDescent="0.25"/>
  <cols>
    <col min="2" max="2" width="15.42578125" bestFit="1" customWidth="1"/>
    <col min="3" max="3" width="16.5703125" bestFit="1" customWidth="1"/>
    <col min="4" max="4" width="12.140625" bestFit="1" customWidth="1"/>
    <col min="5" max="5" width="16.42578125" bestFit="1" customWidth="1"/>
    <col min="6" max="6" width="16.140625" bestFit="1" customWidth="1"/>
    <col min="7" max="7" width="18.7109375" bestFit="1" customWidth="1"/>
    <col min="8" max="8" width="12" bestFit="1" customWidth="1"/>
    <col min="9" max="9" width="10.85546875" bestFit="1" customWidth="1"/>
    <col min="10" max="10" width="18.7109375" bestFit="1" customWidth="1"/>
  </cols>
  <sheetData>
    <row r="2" spans="2:7" x14ac:dyDescent="0.25">
      <c r="B2" s="1" t="s">
        <v>93</v>
      </c>
      <c r="C2" s="1" t="s">
        <v>94</v>
      </c>
      <c r="D2" s="1" t="s">
        <v>95</v>
      </c>
      <c r="E2" s="1" t="s">
        <v>96</v>
      </c>
      <c r="F2" s="1" t="s">
        <v>97</v>
      </c>
      <c r="G2" s="1" t="s">
        <v>98</v>
      </c>
    </row>
    <row r="3" spans="2:7" x14ac:dyDescent="0.25">
      <c r="B3" s="1">
        <v>4907</v>
      </c>
      <c r="C3" s="1">
        <v>1953</v>
      </c>
      <c r="D3" s="1">
        <v>1379</v>
      </c>
      <c r="E3" s="1">
        <v>2990</v>
      </c>
      <c r="F3" s="1">
        <v>1679</v>
      </c>
      <c r="G3" s="1">
        <v>1660</v>
      </c>
    </row>
    <row r="4" spans="2:7" x14ac:dyDescent="0.25">
      <c r="B4" s="1" t="s">
        <v>14</v>
      </c>
      <c r="C4" s="1" t="s">
        <v>15</v>
      </c>
      <c r="D4" s="1" t="s">
        <v>16</v>
      </c>
      <c r="E4" s="1" t="s">
        <v>99</v>
      </c>
      <c r="F4" s="1" t="s">
        <v>100</v>
      </c>
      <c r="G4" s="1" t="s">
        <v>8</v>
      </c>
    </row>
    <row r="5" spans="2:7" x14ac:dyDescent="0.25">
      <c r="B5" s="1">
        <v>486</v>
      </c>
      <c r="C5" s="1">
        <v>683</v>
      </c>
      <c r="D5" s="1">
        <v>8000</v>
      </c>
      <c r="E5" s="1">
        <v>1880</v>
      </c>
      <c r="F5" s="1">
        <v>1790</v>
      </c>
      <c r="G5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6ECF-6DE0-4FB6-A276-946226AE81C4}">
  <dimension ref="B2:I39"/>
  <sheetViews>
    <sheetView zoomScale="85" zoomScaleNormal="85" workbookViewId="0">
      <selection activeCell="X25" sqref="X25"/>
    </sheetView>
  </sheetViews>
  <sheetFormatPr defaultRowHeight="15" x14ac:dyDescent="0.25"/>
  <cols>
    <col min="2" max="2" width="41.28515625" bestFit="1" customWidth="1"/>
    <col min="3" max="3" width="10.28515625" bestFit="1" customWidth="1"/>
    <col min="4" max="4" width="10.42578125" bestFit="1" customWidth="1"/>
    <col min="6" max="6" width="23.85546875" bestFit="1" customWidth="1"/>
    <col min="7" max="7" width="12" bestFit="1" customWidth="1"/>
    <col min="8" max="8" width="11.42578125" customWidth="1"/>
    <col min="9" max="9" width="37.7109375" bestFit="1" customWidth="1"/>
  </cols>
  <sheetData>
    <row r="2" spans="2:9" x14ac:dyDescent="0.25">
      <c r="C2" t="s">
        <v>51</v>
      </c>
      <c r="D2" t="s">
        <v>52</v>
      </c>
    </row>
    <row r="3" spans="2:9" x14ac:dyDescent="0.25">
      <c r="C3">
        <v>4.38</v>
      </c>
      <c r="D3">
        <v>0.97</v>
      </c>
    </row>
    <row r="6" spans="2:9" x14ac:dyDescent="0.25">
      <c r="B6" t="s">
        <v>39</v>
      </c>
      <c r="I6" t="s">
        <v>37</v>
      </c>
    </row>
    <row r="7" spans="2:9" x14ac:dyDescent="0.25">
      <c r="C7" t="s">
        <v>33</v>
      </c>
      <c r="D7" t="s">
        <v>34</v>
      </c>
      <c r="E7" t="s">
        <v>35</v>
      </c>
      <c r="F7" t="s">
        <v>36</v>
      </c>
      <c r="G7" t="s">
        <v>41</v>
      </c>
      <c r="H7" t="s">
        <v>38</v>
      </c>
      <c r="I7" t="s">
        <v>44</v>
      </c>
    </row>
    <row r="8" spans="2:9" x14ac:dyDescent="0.25">
      <c r="C8">
        <v>7.4999999999999997E-2</v>
      </c>
      <c r="D8">
        <f>0.148/2</f>
        <v>7.3999999999999996E-2</v>
      </c>
      <c r="E8">
        <f>0.242/2</f>
        <v>0.121</v>
      </c>
      <c r="F8">
        <f>'Base Data'!$F$6/12</f>
        <v>56.916666666666664</v>
      </c>
      <c r="G8">
        <f>F8/$H$8</f>
        <v>7635.6162498710055</v>
      </c>
      <c r="H8">
        <f>(2/3)*C8*(((E8^3)-(D8^3))/((E8^2)-(D8^2)))</f>
        <v>7.4541025641025639E-3</v>
      </c>
    </row>
    <row r="9" spans="2:9" x14ac:dyDescent="0.25">
      <c r="I9" t="s">
        <v>50</v>
      </c>
    </row>
    <row r="11" spans="2:9" x14ac:dyDescent="0.25">
      <c r="B11" t="s">
        <v>40</v>
      </c>
      <c r="C11" t="s">
        <v>33</v>
      </c>
      <c r="D11" t="s">
        <v>34</v>
      </c>
      <c r="E11" t="s">
        <v>35</v>
      </c>
      <c r="F11" t="s">
        <v>36</v>
      </c>
      <c r="G11" t="s">
        <v>41</v>
      </c>
      <c r="H11" t="s">
        <v>38</v>
      </c>
    </row>
    <row r="12" spans="2:9" x14ac:dyDescent="0.25">
      <c r="C12">
        <v>7.4999999999999997E-2</v>
      </c>
      <c r="D12">
        <f>0.148/2</f>
        <v>7.3999999999999996E-2</v>
      </c>
      <c r="E12">
        <f>0.242/2</f>
        <v>0.121</v>
      </c>
      <c r="F12">
        <f>'Base Data'!$F$6*0.8/12</f>
        <v>45.533333333333331</v>
      </c>
      <c r="G12">
        <f>F12/$H$8</f>
        <v>6108.4929998968046</v>
      </c>
      <c r="H12">
        <f>(2/3)*C12*(((E12^3)-(D12^3))/((E12^2)-(D12^2)))</f>
        <v>7.4541025641025639E-3</v>
      </c>
    </row>
    <row r="15" spans="2:9" x14ac:dyDescent="0.25">
      <c r="B15" t="s">
        <v>42</v>
      </c>
      <c r="C15" t="s">
        <v>33</v>
      </c>
      <c r="D15" t="s">
        <v>34</v>
      </c>
      <c r="E15" t="s">
        <v>35</v>
      </c>
      <c r="F15" t="s">
        <v>36</v>
      </c>
      <c r="G15" t="s">
        <v>41</v>
      </c>
      <c r="H15" t="s">
        <v>38</v>
      </c>
    </row>
    <row r="16" spans="2:9" x14ac:dyDescent="0.25">
      <c r="C16">
        <v>7.4999999999999997E-2</v>
      </c>
      <c r="D16">
        <f>0.148/2</f>
        <v>7.3999999999999996E-2</v>
      </c>
      <c r="E16">
        <f>0.242/2</f>
        <v>0.121</v>
      </c>
      <c r="F16">
        <f>'Base Data'!$F$6*0.2/12</f>
        <v>11.383333333333333</v>
      </c>
      <c r="G16">
        <f>F16/$H$8</f>
        <v>1527.1232499742011</v>
      </c>
      <c r="H16">
        <f>(2/3)*C16*(((E16^3)-(D16^3))/((E16^2)-(D16^2)))</f>
        <v>7.4541025641025639E-3</v>
      </c>
    </row>
    <row r="17" spans="2:9" x14ac:dyDescent="0.25">
      <c r="I17" t="s">
        <v>45</v>
      </c>
    </row>
    <row r="18" spans="2:9" x14ac:dyDescent="0.25">
      <c r="I18" t="s">
        <v>46</v>
      </c>
    </row>
    <row r="19" spans="2:9" x14ac:dyDescent="0.25">
      <c r="B19" t="s">
        <v>43</v>
      </c>
      <c r="C19" t="s">
        <v>33</v>
      </c>
      <c r="D19" t="s">
        <v>34</v>
      </c>
      <c r="E19" t="s">
        <v>35</v>
      </c>
      <c r="F19" t="s">
        <v>36</v>
      </c>
      <c r="G19" t="s">
        <v>41</v>
      </c>
      <c r="H19" t="s">
        <v>38</v>
      </c>
    </row>
    <row r="20" spans="2:9" x14ac:dyDescent="0.25">
      <c r="C20">
        <v>7.4999999999999997E-2</v>
      </c>
      <c r="D20">
        <f>0.148/2</f>
        <v>7.3999999999999996E-2</v>
      </c>
      <c r="E20">
        <f>0.242/2</f>
        <v>0.121</v>
      </c>
      <c r="F20">
        <f>'Base Data'!$F$6/12</f>
        <v>56.916666666666664</v>
      </c>
      <c r="G20">
        <f>(2*F20)/(C20*(D20+E20))</f>
        <v>7783.4757834757838</v>
      </c>
      <c r="H20">
        <f>(2/3)*C20*(((E20^3)-(D20^3))/((E20^2)-(D20^2)))</f>
        <v>7.4541025641025639E-3</v>
      </c>
    </row>
    <row r="23" spans="2:9" x14ac:dyDescent="0.25">
      <c r="B23" t="s">
        <v>47</v>
      </c>
      <c r="C23" t="s">
        <v>33</v>
      </c>
      <c r="D23" t="s">
        <v>34</v>
      </c>
      <c r="E23" t="s">
        <v>35</v>
      </c>
      <c r="F23" t="s">
        <v>36</v>
      </c>
      <c r="G23" t="s">
        <v>41</v>
      </c>
      <c r="H23" t="s">
        <v>38</v>
      </c>
    </row>
    <row r="24" spans="2:9" x14ac:dyDescent="0.25">
      <c r="C24">
        <v>7.4999999999999997E-2</v>
      </c>
      <c r="D24">
        <f>0.148/2</f>
        <v>7.3999999999999996E-2</v>
      </c>
      <c r="E24">
        <f>0.242/2</f>
        <v>0.121</v>
      </c>
      <c r="F24">
        <f>'Base Data'!$F$6*0.8/12</f>
        <v>45.533333333333331</v>
      </c>
      <c r="G24">
        <f>(2*F24)/(C24*(D24+E24))</f>
        <v>6226.7806267806272</v>
      </c>
      <c r="H24">
        <f>(2/3)*C24*(((E24^3)-(D24^3))/((E24^2)-(D24^2)))</f>
        <v>7.4541025641025639E-3</v>
      </c>
    </row>
    <row r="27" spans="2:9" x14ac:dyDescent="0.25">
      <c r="B27" t="s">
        <v>48</v>
      </c>
      <c r="C27" t="s">
        <v>33</v>
      </c>
      <c r="D27" t="s">
        <v>34</v>
      </c>
      <c r="E27" t="s">
        <v>35</v>
      </c>
      <c r="F27" t="s">
        <v>36</v>
      </c>
      <c r="G27" t="s">
        <v>41</v>
      </c>
      <c r="H27" t="s">
        <v>38</v>
      </c>
    </row>
    <row r="28" spans="2:9" x14ac:dyDescent="0.25">
      <c r="C28">
        <v>7.4999999999999997E-2</v>
      </c>
      <c r="D28">
        <f>0.148/2</f>
        <v>7.3999999999999996E-2</v>
      </c>
      <c r="E28">
        <f>0.242/2</f>
        <v>0.121</v>
      </c>
      <c r="F28">
        <f>'Base Data'!$F$6*0.2/12</f>
        <v>11.383333333333333</v>
      </c>
      <c r="G28">
        <f>(2*F28)/(C28*(D28+E28))</f>
        <v>1556.6951566951568</v>
      </c>
      <c r="H28">
        <f>(2/3)*C28*(((E28^3)-(D28^3))/((E28^2)-(D28^2)))</f>
        <v>7.4541025641025639E-3</v>
      </c>
    </row>
    <row r="32" spans="2:9" x14ac:dyDescent="0.25">
      <c r="C32" t="s">
        <v>81</v>
      </c>
      <c r="D32" t="s">
        <v>82</v>
      </c>
      <c r="E32" t="s">
        <v>83</v>
      </c>
      <c r="F32" t="s">
        <v>85</v>
      </c>
      <c r="G32" t="s">
        <v>84</v>
      </c>
      <c r="H32" t="s">
        <v>86</v>
      </c>
    </row>
    <row r="33" spans="3:8" x14ac:dyDescent="0.25">
      <c r="C33">
        <v>3.4</v>
      </c>
      <c r="D33">
        <v>4.38</v>
      </c>
      <c r="E33">
        <f>C33*D33</f>
        <v>14.891999999999999</v>
      </c>
      <c r="F33">
        <f>8000/E33</f>
        <v>537.20118184260002</v>
      </c>
      <c r="G33">
        <f>('Base Data'!$F$6*((Clutch!F33/60)*2*PI()))/1000</f>
        <v>38.422558553170894</v>
      </c>
      <c r="H33">
        <f>G33*1.34102</f>
        <v>51.525419470973233</v>
      </c>
    </row>
    <row r="34" spans="3:8" x14ac:dyDescent="0.25">
      <c r="C34">
        <v>2.1800000000000002</v>
      </c>
      <c r="D34">
        <v>4.38</v>
      </c>
      <c r="E34">
        <f t="shared" ref="E34:E39" si="0">C34*D34</f>
        <v>9.5484000000000009</v>
      </c>
      <c r="F34">
        <f t="shared" ref="F34:F39" si="1">8000/E34</f>
        <v>837.83670562607335</v>
      </c>
      <c r="G34">
        <f>('Base Data'!$F$6*((Clutch!F34/60)*2*PI()))/1000</f>
        <v>59.925091321459178</v>
      </c>
      <c r="H34">
        <f t="shared" ref="H34:H39" si="2">G34*1.34102</f>
        <v>80.360745963903199</v>
      </c>
    </row>
    <row r="35" spans="3:8" x14ac:dyDescent="0.25">
      <c r="C35">
        <v>1.63</v>
      </c>
      <c r="D35">
        <v>4.38</v>
      </c>
      <c r="E35">
        <f t="shared" si="0"/>
        <v>7.1393999999999993</v>
      </c>
      <c r="F35">
        <f t="shared" si="1"/>
        <v>1120.5423424937671</v>
      </c>
      <c r="G35">
        <f>('Base Data'!$F$6*((Clutch!F35/60)*2*PI()))/1000</f>
        <v>80.14521415998837</v>
      </c>
      <c r="H35">
        <f t="shared" si="2"/>
        <v>107.47633509282761</v>
      </c>
    </row>
    <row r="36" spans="3:8" x14ac:dyDescent="0.25">
      <c r="C36">
        <v>1.29</v>
      </c>
      <c r="D36">
        <v>4.38</v>
      </c>
      <c r="E36">
        <f t="shared" si="0"/>
        <v>5.6501999999999999</v>
      </c>
      <c r="F36">
        <f t="shared" si="1"/>
        <v>1415.8790839262326</v>
      </c>
      <c r="G36">
        <f>('Base Data'!$F$6*((Clutch!F36/60)*2*PI()))/1000</f>
        <v>101.26875897734966</v>
      </c>
      <c r="H36">
        <f t="shared" si="2"/>
        <v>135.80343116380544</v>
      </c>
    </row>
    <row r="37" spans="3:8" x14ac:dyDescent="0.25">
      <c r="C37">
        <v>1.03</v>
      </c>
      <c r="D37">
        <v>4.38</v>
      </c>
      <c r="E37">
        <f t="shared" si="0"/>
        <v>4.5114000000000001</v>
      </c>
      <c r="F37">
        <f t="shared" si="1"/>
        <v>1773.2854546260585</v>
      </c>
      <c r="G37">
        <f>('Base Data'!$F$6*((Clutch!F37/60)*2*PI()))/1000</f>
        <v>126.83174668036996</v>
      </c>
      <c r="H37">
        <f t="shared" si="2"/>
        <v>170.08390893330974</v>
      </c>
    </row>
    <row r="38" spans="3:8" x14ac:dyDescent="0.25">
      <c r="C38">
        <v>0.84</v>
      </c>
      <c r="D38">
        <v>4.38</v>
      </c>
      <c r="E38">
        <f t="shared" si="0"/>
        <v>3.6791999999999998</v>
      </c>
      <c r="F38">
        <f t="shared" si="1"/>
        <v>2174.3857360295719</v>
      </c>
      <c r="G38">
        <f>('Base Data'!$F$6*((Clutch!F38/60)*2*PI()))/1000</f>
        <v>155.5198798580727</v>
      </c>
      <c r="H38">
        <f t="shared" si="2"/>
        <v>208.55526928727267</v>
      </c>
    </row>
    <row r="39" spans="3:8" x14ac:dyDescent="0.25">
      <c r="C39">
        <v>0.63</v>
      </c>
      <c r="D39">
        <v>4.38</v>
      </c>
      <c r="E39">
        <f t="shared" si="0"/>
        <v>2.7593999999999999</v>
      </c>
      <c r="F39">
        <f t="shared" si="1"/>
        <v>2899.1809813727623</v>
      </c>
      <c r="G39">
        <f>('Base Data'!$F$6*((Clutch!F39/60)*2*PI()))/1000</f>
        <v>207.35983981076359</v>
      </c>
      <c r="H39">
        <f t="shared" si="2"/>
        <v>278.07369238303022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64980-E4EA-47A2-80A7-C89F1F74D97B}">
  <dimension ref="A2:G43"/>
  <sheetViews>
    <sheetView topLeftCell="A4" zoomScale="85" zoomScaleNormal="85" workbookViewId="0">
      <selection activeCell="Q36" sqref="Q36"/>
    </sheetView>
  </sheetViews>
  <sheetFormatPr defaultRowHeight="15" x14ac:dyDescent="0.25"/>
  <cols>
    <col min="1" max="1" width="41.7109375" bestFit="1" customWidth="1"/>
    <col min="2" max="2" width="17.28515625" bestFit="1" customWidth="1"/>
    <col min="3" max="3" width="19.85546875" bestFit="1" customWidth="1"/>
    <col min="4" max="4" width="26.42578125" bestFit="1" customWidth="1"/>
    <col min="5" max="5" width="26.7109375" bestFit="1" customWidth="1"/>
    <col min="6" max="6" width="26" bestFit="1" customWidth="1"/>
    <col min="7" max="7" width="27.42578125" bestFit="1" customWidth="1"/>
  </cols>
  <sheetData>
    <row r="2" spans="2:7" x14ac:dyDescent="0.25">
      <c r="B2" t="s">
        <v>55</v>
      </c>
      <c r="C2" t="s">
        <v>51</v>
      </c>
      <c r="D2" t="s">
        <v>52</v>
      </c>
      <c r="E2" t="s">
        <v>57</v>
      </c>
      <c r="F2" t="s">
        <v>58</v>
      </c>
    </row>
    <row r="3" spans="2:7" x14ac:dyDescent="0.25">
      <c r="B3">
        <v>3.4</v>
      </c>
      <c r="C3">
        <v>4.38</v>
      </c>
      <c r="D3">
        <v>0.97</v>
      </c>
      <c r="E3">
        <f>85.75+(508/2)</f>
        <v>339.75</v>
      </c>
      <c r="F3">
        <f>103.25+(508/2)</f>
        <v>357.25</v>
      </c>
    </row>
    <row r="5" spans="2:7" x14ac:dyDescent="0.25">
      <c r="C5" t="s">
        <v>53</v>
      </c>
    </row>
    <row r="6" spans="2:7" x14ac:dyDescent="0.25">
      <c r="D6" t="s">
        <v>56</v>
      </c>
      <c r="E6" t="s">
        <v>54</v>
      </c>
    </row>
    <row r="7" spans="2:7" x14ac:dyDescent="0.25">
      <c r="D7">
        <f>'Base Data'!$F$6*Acceleration!$B$3*Acceleration!$D$3</f>
        <v>2252.5339999999997</v>
      </c>
      <c r="E7">
        <f>D7*C3*D3</f>
        <v>9570.1159523999977</v>
      </c>
    </row>
    <row r="9" spans="2:7" x14ac:dyDescent="0.25">
      <c r="C9" t="s">
        <v>61</v>
      </c>
      <c r="D9" t="s">
        <v>60</v>
      </c>
      <c r="E9" t="s">
        <v>59</v>
      </c>
      <c r="F9" t="s">
        <v>62</v>
      </c>
    </row>
    <row r="10" spans="2:7" x14ac:dyDescent="0.25">
      <c r="C10">
        <f>E7/(F3/1000)</f>
        <v>26788.288180265914</v>
      </c>
      <c r="D10">
        <f>C10/'Base Data'!$H$3</f>
        <v>14.249089457588251</v>
      </c>
      <c r="E10">
        <f>'Base Data'!$C$10*9.81</f>
        <v>9774.6840000000011</v>
      </c>
      <c r="F10">
        <f>E10/'Base Data'!$H$3</f>
        <v>5.1993000000000009</v>
      </c>
    </row>
    <row r="12" spans="2:7" x14ac:dyDescent="0.25">
      <c r="B12" t="s">
        <v>64</v>
      </c>
      <c r="C12" t="s">
        <v>63</v>
      </c>
    </row>
    <row r="13" spans="2:7" x14ac:dyDescent="0.25">
      <c r="B13">
        <f>2.18*1.06</f>
        <v>2.3108000000000004</v>
      </c>
      <c r="D13" t="s">
        <v>67</v>
      </c>
      <c r="E13" t="s">
        <v>68</v>
      </c>
      <c r="F13" t="s">
        <v>54</v>
      </c>
      <c r="G13" t="s">
        <v>65</v>
      </c>
    </row>
    <row r="14" spans="2:7" x14ac:dyDescent="0.25">
      <c r="D14">
        <f>(0.8*$D$7)</f>
        <v>1802.0271999999998</v>
      </c>
      <c r="E14">
        <f>(('Base Data'!$F$6*0.2)*Acceleration!$B$13*Acceleration!$D$3)</f>
        <v>306.18562160000005</v>
      </c>
      <c r="F14">
        <f>($D$14*$C$3*$D$3)</f>
        <v>7656.0927619199983</v>
      </c>
      <c r="G14">
        <f>($E$14*$C$3*$D$3)</f>
        <v>1300.8602319297602</v>
      </c>
    </row>
    <row r="16" spans="2:7" x14ac:dyDescent="0.25">
      <c r="C16" t="s">
        <v>61</v>
      </c>
      <c r="D16" t="s">
        <v>60</v>
      </c>
      <c r="E16" t="s">
        <v>59</v>
      </c>
      <c r="F16" t="s">
        <v>66</v>
      </c>
      <c r="G16" t="s">
        <v>69</v>
      </c>
    </row>
    <row r="17" spans="1:7" x14ac:dyDescent="0.25">
      <c r="C17">
        <f>($F$14/($F$3/1000))+($G$14/($E$3/1000))</f>
        <v>25259.505399046462</v>
      </c>
      <c r="D17">
        <f>$C$17/'Base Data'!$H$3</f>
        <v>13.435907127152374</v>
      </c>
      <c r="E17">
        <f>'Base Data'!$C$10*9.81</f>
        <v>9774.6840000000011</v>
      </c>
      <c r="F17">
        <f>'Base Data'!B10*9.81</f>
        <v>8668.116</v>
      </c>
      <c r="G17">
        <f>($E$17+$F$17)/'Base Data'!$H$3</f>
        <v>9.8100000000000023</v>
      </c>
    </row>
    <row r="21" spans="1:7" x14ac:dyDescent="0.25">
      <c r="A21" t="s">
        <v>72</v>
      </c>
    </row>
    <row r="23" spans="1:7" x14ac:dyDescent="0.25">
      <c r="C23" t="s">
        <v>63</v>
      </c>
    </row>
    <row r="24" spans="1:7" x14ac:dyDescent="0.25">
      <c r="D24" t="s">
        <v>67</v>
      </c>
      <c r="E24" t="s">
        <v>68</v>
      </c>
      <c r="F24" t="s">
        <v>54</v>
      </c>
      <c r="G24" t="s">
        <v>65</v>
      </c>
    </row>
    <row r="25" spans="1:7" x14ac:dyDescent="0.25">
      <c r="D25">
        <f>(0.8*$D$7)</f>
        <v>1802.0271999999998</v>
      </c>
      <c r="E25">
        <f>(('Base Data'!$F$6*0.2)*Acceleration!$B$13*Acceleration!$D$3)</f>
        <v>306.18562160000005</v>
      </c>
      <c r="F25">
        <f>($D$14*$C$3*$D$3)</f>
        <v>7656.0927619199983</v>
      </c>
      <c r="G25">
        <f>($E$14*$C$3*$D$3)</f>
        <v>1300.8602319297602</v>
      </c>
    </row>
    <row r="27" spans="1:7" x14ac:dyDescent="0.25">
      <c r="B27" t="s">
        <v>70</v>
      </c>
      <c r="C27" t="s">
        <v>71</v>
      </c>
      <c r="D27" t="s">
        <v>60</v>
      </c>
      <c r="E27" t="s">
        <v>59</v>
      </c>
      <c r="F27" t="s">
        <v>66</v>
      </c>
    </row>
    <row r="28" spans="1:7" x14ac:dyDescent="0.25">
      <c r="B28">
        <f>($G$14/($E$3/1000))</f>
        <v>3828.8748548337312</v>
      </c>
      <c r="C28">
        <f>($F$14/($F$3/1000))</f>
        <v>21430.63054421273</v>
      </c>
      <c r="D28">
        <f>((0.1*(B28+C28)/'Base Data'!$H$3))</f>
        <v>1.3435907127152376</v>
      </c>
      <c r="E28">
        <f>'Base Data'!$C$10*9.81</f>
        <v>9774.6840000000011</v>
      </c>
      <c r="F28">
        <f>'Base Data'!B10*9.81</f>
        <v>8668.116</v>
      </c>
    </row>
    <row r="30" spans="1:7" x14ac:dyDescent="0.25">
      <c r="A30" t="s">
        <v>73</v>
      </c>
    </row>
    <row r="31" spans="1:7" x14ac:dyDescent="0.25">
      <c r="D31" t="s">
        <v>67</v>
      </c>
      <c r="E31" t="s">
        <v>68</v>
      </c>
      <c r="F31" t="s">
        <v>54</v>
      </c>
      <c r="G31" t="s">
        <v>65</v>
      </c>
    </row>
    <row r="32" spans="1:7" x14ac:dyDescent="0.25">
      <c r="D32">
        <f>(0.8*$D$7)</f>
        <v>1802.0271999999998</v>
      </c>
      <c r="E32">
        <f>(('Base Data'!$F$6*0.2)*Acceleration!$B$13*Acceleration!$D$3)</f>
        <v>306.18562160000005</v>
      </c>
      <c r="F32">
        <f>($D$14*$C$3*$D$3)</f>
        <v>7656.0927619199983</v>
      </c>
      <c r="G32">
        <f>($E$14*$C$3*$D$3)</f>
        <v>1300.8602319297602</v>
      </c>
    </row>
    <row r="34" spans="1:6" x14ac:dyDescent="0.25">
      <c r="B34" t="s">
        <v>70</v>
      </c>
      <c r="C34" t="s">
        <v>71</v>
      </c>
      <c r="D34" t="s">
        <v>60</v>
      </c>
      <c r="E34" t="s">
        <v>59</v>
      </c>
      <c r="F34" t="s">
        <v>66</v>
      </c>
    </row>
    <row r="35" spans="1:6" x14ac:dyDescent="0.25">
      <c r="B35">
        <f>($G$14/($E$3/1000))</f>
        <v>3828.8748548337312</v>
      </c>
      <c r="C35">
        <f>($F$14/($F$3/1000))</f>
        <v>21430.63054421273</v>
      </c>
      <c r="D35">
        <f>((0.1*C35)+B35)/'Base Data'!$H$3</f>
        <v>3.176562717688832</v>
      </c>
      <c r="E35">
        <f>'Base Data'!$C$10*9.81</f>
        <v>9774.6840000000011</v>
      </c>
      <c r="F35">
        <f>'Base Data'!B17*9.81</f>
        <v>0</v>
      </c>
    </row>
    <row r="38" spans="1:6" x14ac:dyDescent="0.25">
      <c r="A38" t="s">
        <v>74</v>
      </c>
    </row>
    <row r="39" spans="1:6" x14ac:dyDescent="0.25">
      <c r="C39" t="s">
        <v>67</v>
      </c>
      <c r="D39" t="s">
        <v>68</v>
      </c>
      <c r="E39" t="s">
        <v>54</v>
      </c>
      <c r="F39" t="s">
        <v>65</v>
      </c>
    </row>
    <row r="40" spans="1:6" x14ac:dyDescent="0.25">
      <c r="C40">
        <f>(0.8*$D$7)</f>
        <v>1802.0271999999998</v>
      </c>
      <c r="D40">
        <f>(('Base Data'!$F$6*0.2)*Acceleration!$B$13*Acceleration!$D$3)</f>
        <v>306.18562160000005</v>
      </c>
      <c r="E40">
        <f>($D$14*$C$3*$D$3)</f>
        <v>7656.0927619199983</v>
      </c>
      <c r="F40">
        <f>($E$14*$C$3*$D$3)</f>
        <v>1300.8602319297602</v>
      </c>
    </row>
    <row r="42" spans="1:6" x14ac:dyDescent="0.25">
      <c r="B42" t="s">
        <v>61</v>
      </c>
      <c r="C42" t="s">
        <v>60</v>
      </c>
      <c r="D42" t="s">
        <v>59</v>
      </c>
    </row>
    <row r="43" spans="1:6" x14ac:dyDescent="0.25">
      <c r="B43">
        <f>($F$14/($F$3/1000))+($G$14/($E$3/1000))</f>
        <v>25259.505399046462</v>
      </c>
      <c r="C43">
        <f>($C$17*0.1)/'Base Data'!$H$3</f>
        <v>1.3435907127152376</v>
      </c>
      <c r="D43">
        <f>'Base Data'!$C$10*9.81</f>
        <v>9774.6840000000011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2BF98-2E7D-45F4-9B81-D9DF15065CA4}">
  <dimension ref="B2:J17"/>
  <sheetViews>
    <sheetView tabSelected="1" workbookViewId="0">
      <selection activeCell="E30" sqref="E30"/>
    </sheetView>
  </sheetViews>
  <sheetFormatPr defaultRowHeight="15" x14ac:dyDescent="0.25"/>
  <cols>
    <col min="2" max="2" width="20.85546875" bestFit="1" customWidth="1"/>
    <col min="3" max="3" width="20.140625" bestFit="1" customWidth="1"/>
    <col min="4" max="4" width="14.42578125" bestFit="1" customWidth="1"/>
    <col min="5" max="5" width="17" bestFit="1" customWidth="1"/>
    <col min="6" max="6" width="16.5703125" bestFit="1" customWidth="1"/>
    <col min="7" max="8" width="12" bestFit="1" customWidth="1"/>
    <col min="9" max="9" width="10.85546875" bestFit="1" customWidth="1"/>
    <col min="10" max="10" width="18.710937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>
        <v>4527</v>
      </c>
      <c r="C3">
        <v>1937</v>
      </c>
      <c r="D3">
        <v>1213</v>
      </c>
      <c r="E3">
        <v>2650</v>
      </c>
      <c r="F3">
        <f>C3-B17</f>
        <v>1663</v>
      </c>
      <c r="G3">
        <f>C3-C17</f>
        <v>1644</v>
      </c>
      <c r="H3">
        <v>1880</v>
      </c>
      <c r="I3">
        <v>1565</v>
      </c>
      <c r="J3" t="s">
        <v>30</v>
      </c>
    </row>
    <row r="5" spans="2:10" x14ac:dyDescent="0.25">
      <c r="B5" t="s">
        <v>10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19</v>
      </c>
      <c r="I5" t="s">
        <v>21</v>
      </c>
    </row>
    <row r="6" spans="2:10" x14ac:dyDescent="0.25">
      <c r="B6" t="s">
        <v>11</v>
      </c>
      <c r="C6">
        <v>6262</v>
      </c>
      <c r="D6">
        <f>C6/12</f>
        <v>521.83333333333337</v>
      </c>
      <c r="E6">
        <v>486</v>
      </c>
      <c r="F6">
        <v>683</v>
      </c>
      <c r="G6">
        <v>8000</v>
      </c>
      <c r="H6">
        <v>254</v>
      </c>
      <c r="I6">
        <f>H3*9.81</f>
        <v>18442.8</v>
      </c>
    </row>
    <row r="9" spans="2:10" x14ac:dyDescent="0.25">
      <c r="B9" t="s">
        <v>17</v>
      </c>
      <c r="C9" t="s">
        <v>18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</row>
    <row r="10" spans="2:10" x14ac:dyDescent="0.25">
      <c r="B10">
        <f>H3*0.42</f>
        <v>789.6</v>
      </c>
      <c r="C10">
        <f>H3*0.58</f>
        <v>1090.3999999999999</v>
      </c>
      <c r="D10">
        <f>E3*0.57</f>
        <v>1510.4999999999998</v>
      </c>
      <c r="E10">
        <f>E3*0.42</f>
        <v>1113</v>
      </c>
      <c r="F10">
        <f>SQRT(G10/(H3*(D10/1000)))</f>
        <v>1.2290240030202826</v>
      </c>
      <c r="G10">
        <f>H3*(D10/1000)^2</f>
        <v>4289.4272699999983</v>
      </c>
      <c r="H10">
        <f>G10/((D10/1000)*(E10/1000)*H3)</f>
        <v>1.3571428571428568</v>
      </c>
      <c r="I10">
        <f>(F10^2)/((D10/1000)*(E10/1000))</f>
        <v>0.89847259658580403</v>
      </c>
    </row>
    <row r="11" spans="2:10" x14ac:dyDescent="0.25">
      <c r="B11" t="s">
        <v>20</v>
      </c>
    </row>
    <row r="12" spans="2:10" x14ac:dyDescent="0.25">
      <c r="B12">
        <f>B10*9.81</f>
        <v>7745.9760000000006</v>
      </c>
      <c r="C12">
        <f>C10*9.81</f>
        <v>10696.823999999999</v>
      </c>
    </row>
    <row r="16" spans="2:10" x14ac:dyDescent="0.25">
      <c r="B16" t="s">
        <v>27</v>
      </c>
      <c r="C16" t="s">
        <v>28</v>
      </c>
      <c r="E16" t="s">
        <v>29</v>
      </c>
    </row>
    <row r="17" spans="2:3" x14ac:dyDescent="0.25">
      <c r="B17">
        <f>'Base Data'!C3-'Base Data'!F3</f>
        <v>274</v>
      </c>
      <c r="C17">
        <f>'Base Data'!C3-'Base Data'!G3</f>
        <v>293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2AB96-17D0-4B78-9F96-729DA6A8E27F}">
  <dimension ref="B2:J17"/>
  <sheetViews>
    <sheetView topLeftCell="B1" workbookViewId="0">
      <selection activeCell="E11" sqref="E11"/>
    </sheetView>
  </sheetViews>
  <sheetFormatPr defaultRowHeight="15" x14ac:dyDescent="0.25"/>
  <cols>
    <col min="2" max="2" width="20.85546875" bestFit="1" customWidth="1"/>
    <col min="3" max="3" width="20.140625" bestFit="1" customWidth="1"/>
    <col min="4" max="4" width="14.42578125" bestFit="1" customWidth="1"/>
    <col min="5" max="5" width="17" bestFit="1" customWidth="1"/>
    <col min="6" max="6" width="16.5703125" bestFit="1" customWidth="1"/>
    <col min="7" max="7" width="11" bestFit="1" customWidth="1"/>
    <col min="8" max="8" width="12" bestFit="1" customWidth="1"/>
    <col min="10" max="10" width="18.710937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>
        <v>4605</v>
      </c>
      <c r="C3">
        <v>1975</v>
      </c>
      <c r="D3">
        <v>1206</v>
      </c>
      <c r="E3">
        <v>2650</v>
      </c>
      <c r="F3">
        <v>1679</v>
      </c>
      <c r="G3">
        <v>1647</v>
      </c>
      <c r="H3">
        <v>1475</v>
      </c>
      <c r="I3">
        <v>1370</v>
      </c>
      <c r="J3" t="s">
        <v>31</v>
      </c>
    </row>
    <row r="5" spans="2:10" x14ac:dyDescent="0.25">
      <c r="B5" t="s">
        <v>10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19</v>
      </c>
      <c r="I5" t="s">
        <v>21</v>
      </c>
    </row>
    <row r="6" spans="2:10" x14ac:dyDescent="0.25">
      <c r="B6" t="s">
        <v>11</v>
      </c>
      <c r="C6">
        <v>6262</v>
      </c>
      <c r="D6">
        <f>C6/12</f>
        <v>521.83333333333337</v>
      </c>
      <c r="E6">
        <v>486</v>
      </c>
      <c r="F6">
        <v>683</v>
      </c>
      <c r="G6">
        <v>8000</v>
      </c>
      <c r="H6">
        <v>254</v>
      </c>
      <c r="I6">
        <f>H3*9.81</f>
        <v>14469.75</v>
      </c>
    </row>
    <row r="9" spans="2:10" x14ac:dyDescent="0.25">
      <c r="B9" t="s">
        <v>17</v>
      </c>
      <c r="C9" t="s">
        <v>18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</row>
    <row r="10" spans="2:10" x14ac:dyDescent="0.25">
      <c r="B10">
        <f>H3*0.415</f>
        <v>612.125</v>
      </c>
      <c r="C10">
        <f>H3*0.585</f>
        <v>862.875</v>
      </c>
      <c r="D10">
        <f>E3*0.585</f>
        <v>1550.25</v>
      </c>
      <c r="E10">
        <f>E3*0.415</f>
        <v>1099.75</v>
      </c>
      <c r="F10">
        <f>SQRT(G10/(H3*(D10/1000)))</f>
        <v>1.245090358166828</v>
      </c>
      <c r="G10">
        <f>H3*(D10/1000)^2</f>
        <v>3544.8307171874994</v>
      </c>
      <c r="H10">
        <f>G10/((D10/1000)*(E10/1000)*H3)</f>
        <v>1.4096385542168675</v>
      </c>
      <c r="I10">
        <f>(F10^2)/((D10/1000)*(E10/1000))</f>
        <v>0.90929756762900671</v>
      </c>
    </row>
    <row r="11" spans="2:10" x14ac:dyDescent="0.25">
      <c r="B11" t="s">
        <v>20</v>
      </c>
    </row>
    <row r="12" spans="2:10" x14ac:dyDescent="0.25">
      <c r="B12">
        <f>B10*9.81</f>
        <v>6004.94625</v>
      </c>
      <c r="C12">
        <f>C10*9.81</f>
        <v>8464.8037500000009</v>
      </c>
    </row>
    <row r="16" spans="2:10" x14ac:dyDescent="0.25">
      <c r="B16" t="s">
        <v>27</v>
      </c>
      <c r="C16" t="s">
        <v>28</v>
      </c>
      <c r="E16" t="s">
        <v>29</v>
      </c>
    </row>
    <row r="17" spans="2:3" x14ac:dyDescent="0.25">
      <c r="B17">
        <f>'Base Data'!C3-'Base Data'!F3</f>
        <v>274</v>
      </c>
      <c r="C17">
        <f>'Base Data'!C3-'Base Data'!G3</f>
        <v>293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5FCA2-9D0C-4A33-BA00-D6AE05C729B6}">
  <dimension ref="B2:J17"/>
  <sheetViews>
    <sheetView zoomScale="85" zoomScaleNormal="85" workbookViewId="0">
      <selection activeCell="E10" sqref="E10"/>
    </sheetView>
  </sheetViews>
  <sheetFormatPr defaultRowHeight="15" x14ac:dyDescent="0.25"/>
  <cols>
    <col min="2" max="2" width="20.85546875" bestFit="1" customWidth="1"/>
    <col min="3" max="3" width="20.140625" bestFit="1" customWidth="1"/>
    <col min="4" max="4" width="14.42578125" bestFit="1" customWidth="1"/>
    <col min="5" max="5" width="17" bestFit="1" customWidth="1"/>
    <col min="6" max="6" width="16.5703125" bestFit="1" customWidth="1"/>
    <col min="7" max="7" width="10" bestFit="1" customWidth="1"/>
    <col min="8" max="8" width="12" bestFit="1" customWidth="1"/>
    <col min="9" max="9" width="10.85546875" bestFit="1" customWidth="1"/>
    <col min="10" max="10" width="18.710937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>
        <v>4710</v>
      </c>
      <c r="C3">
        <v>1972</v>
      </c>
      <c r="D3">
        <v>1186</v>
      </c>
      <c r="E3">
        <v>2650</v>
      </c>
      <c r="F3">
        <v>1679</v>
      </c>
      <c r="G3">
        <v>1652</v>
      </c>
      <c r="H3">
        <v>1680</v>
      </c>
      <c r="I3">
        <v>1570</v>
      </c>
      <c r="J3" t="s">
        <v>32</v>
      </c>
    </row>
    <row r="5" spans="2:10" x14ac:dyDescent="0.25">
      <c r="B5" t="s">
        <v>10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19</v>
      </c>
      <c r="I5" t="s">
        <v>21</v>
      </c>
    </row>
    <row r="6" spans="2:10" x14ac:dyDescent="0.25">
      <c r="B6" t="s">
        <v>11</v>
      </c>
      <c r="C6">
        <v>6262</v>
      </c>
      <c r="D6">
        <f>C6/12</f>
        <v>521.83333333333337</v>
      </c>
      <c r="E6">
        <v>486</v>
      </c>
      <c r="F6">
        <v>683</v>
      </c>
      <c r="G6">
        <v>8000</v>
      </c>
      <c r="H6">
        <v>254</v>
      </c>
      <c r="I6">
        <f>H3*9.81</f>
        <v>16480.8</v>
      </c>
    </row>
    <row r="9" spans="2:10" x14ac:dyDescent="0.25">
      <c r="B9" t="s">
        <v>17</v>
      </c>
      <c r="C9" t="s">
        <v>18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</row>
    <row r="10" spans="2:10" x14ac:dyDescent="0.25">
      <c r="B10">
        <f>H3*0.45</f>
        <v>756</v>
      </c>
      <c r="C10">
        <f>H3*0.55</f>
        <v>924.00000000000011</v>
      </c>
      <c r="D10">
        <f>E3*0.55</f>
        <v>1457.5000000000002</v>
      </c>
      <c r="E10">
        <f>E3*0.45</f>
        <v>1192.5</v>
      </c>
      <c r="F10">
        <f>SQRT(G10/(H3*(D10/1000)))</f>
        <v>1.2072696467649635</v>
      </c>
      <c r="G10">
        <f>H3*(D10/1000)^2</f>
        <v>3568.8345000000008</v>
      </c>
      <c r="H10">
        <f>G10/((D10/1000)*(E10/1000)*H3)</f>
        <v>1.2222222222222225</v>
      </c>
      <c r="I10">
        <f>(F10^2)/((D10/1000)*(E10/1000))</f>
        <v>0.83857442348008371</v>
      </c>
    </row>
    <row r="11" spans="2:10" x14ac:dyDescent="0.25">
      <c r="B11" t="s">
        <v>20</v>
      </c>
    </row>
    <row r="12" spans="2:10" x14ac:dyDescent="0.25">
      <c r="B12">
        <f>B10*9.81</f>
        <v>7416.3600000000006</v>
      </c>
      <c r="C12">
        <f>C10*9.81</f>
        <v>9064.4400000000023</v>
      </c>
    </row>
    <row r="16" spans="2:10" x14ac:dyDescent="0.25">
      <c r="B16" t="s">
        <v>27</v>
      </c>
      <c r="C16" t="s">
        <v>28</v>
      </c>
      <c r="E16" t="s">
        <v>29</v>
      </c>
    </row>
    <row r="17" spans="2:3" x14ac:dyDescent="0.25">
      <c r="B17">
        <f>'Base Data'!C3-'Base Data'!F3</f>
        <v>274</v>
      </c>
      <c r="C17">
        <f>'Base Data'!C3-'Base Data'!G3</f>
        <v>293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E9C3B-EDC9-480E-A315-AC51CC17E2D3}">
  <dimension ref="B2:J12"/>
  <sheetViews>
    <sheetView workbookViewId="0">
      <selection activeCell="D31" sqref="D31"/>
    </sheetView>
  </sheetViews>
  <sheetFormatPr defaultRowHeight="15" x14ac:dyDescent="0.25"/>
  <cols>
    <col min="2" max="2" width="16.5703125" bestFit="1" customWidth="1"/>
    <col min="3" max="3" width="15.85546875" bestFit="1" customWidth="1"/>
    <col min="4" max="4" width="14.42578125" bestFit="1" customWidth="1"/>
    <col min="5" max="5" width="15.42578125" bestFit="1" customWidth="1"/>
    <col min="6" max="6" width="16.5703125" bestFit="1" customWidth="1"/>
    <col min="7" max="7" width="10" bestFit="1" customWidth="1"/>
    <col min="8" max="8" width="12" bestFit="1" customWidth="1"/>
    <col min="9" max="9" width="10.8554687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>
        <v>3100</v>
      </c>
      <c r="C3">
        <v>1575</v>
      </c>
      <c r="D3">
        <v>1115</v>
      </c>
      <c r="E3">
        <v>2225</v>
      </c>
      <c r="F3">
        <v>1336</v>
      </c>
      <c r="G3">
        <v>1336</v>
      </c>
      <c r="H3">
        <v>850</v>
      </c>
      <c r="I3">
        <v>1570</v>
      </c>
      <c r="J3" t="s">
        <v>32</v>
      </c>
    </row>
    <row r="5" spans="2:10" x14ac:dyDescent="0.25">
      <c r="B5" t="s">
        <v>10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19</v>
      </c>
      <c r="I5" t="s">
        <v>21</v>
      </c>
    </row>
    <row r="6" spans="2:10" x14ac:dyDescent="0.25">
      <c r="B6" t="s">
        <v>11</v>
      </c>
      <c r="C6">
        <v>6262</v>
      </c>
      <c r="D6">
        <f>C6/12</f>
        <v>521.83333333333337</v>
      </c>
      <c r="E6">
        <v>486</v>
      </c>
      <c r="F6">
        <v>683</v>
      </c>
      <c r="G6">
        <v>8000</v>
      </c>
      <c r="H6">
        <v>254</v>
      </c>
      <c r="I6">
        <f>H3*9.81</f>
        <v>8338.5</v>
      </c>
    </row>
    <row r="9" spans="2:10" x14ac:dyDescent="0.25">
      <c r="B9" t="s">
        <v>17</v>
      </c>
      <c r="C9" t="s">
        <v>18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</row>
    <row r="10" spans="2:10" x14ac:dyDescent="0.25">
      <c r="B10">
        <f>H3*0.48</f>
        <v>408</v>
      </c>
      <c r="C10">
        <f>H3*0.52</f>
        <v>442</v>
      </c>
      <c r="D10">
        <f>E3*0.52</f>
        <v>1157</v>
      </c>
      <c r="E10">
        <f>E3*0.48</f>
        <v>1068</v>
      </c>
      <c r="F10">
        <f>SQRT(G10/(H3*(D10/1000)))</f>
        <v>1.0756393447619885</v>
      </c>
      <c r="G10">
        <f>H3*(D10/1000)^2</f>
        <v>1137.8516500000001</v>
      </c>
      <c r="H10">
        <f>G10/((D10/1000)*(E10/1000)*H3)</f>
        <v>1.0833333333333335</v>
      </c>
      <c r="I10">
        <f>(F10^2)/((D10/1000)*(E10/1000))</f>
        <v>0.93632958801498134</v>
      </c>
    </row>
    <row r="11" spans="2:10" x14ac:dyDescent="0.25">
      <c r="B11" t="s">
        <v>20</v>
      </c>
    </row>
    <row r="12" spans="2:10" x14ac:dyDescent="0.25">
      <c r="B12">
        <f>B10*9.81</f>
        <v>4002.48</v>
      </c>
      <c r="C12">
        <f>C10*9.81</f>
        <v>4336.0200000000004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Base Data</vt:lpstr>
      <vt:lpstr>Sheet7</vt:lpstr>
      <vt:lpstr>Clutch</vt:lpstr>
      <vt:lpstr>Acceleration</vt:lpstr>
      <vt:lpstr>Ferarri 458 Italia</vt:lpstr>
      <vt:lpstr>488</vt:lpstr>
      <vt:lpstr>SF90</vt:lpstr>
      <vt:lpstr>Caterham Seven 620 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Ainsley Martin</dc:creator>
  <cp:lastModifiedBy>Ainsley Martin</cp:lastModifiedBy>
  <dcterms:created xsi:type="dcterms:W3CDTF">2020-05-07T00:08:21Z</dcterms:created>
  <dcterms:modified xsi:type="dcterms:W3CDTF">2020-05-20T10:06:05Z</dcterms:modified>
</cp:coreProperties>
</file>