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345" windowHeight="41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F31" i="1"/>
  <c r="C31" i="1"/>
  <c r="D17" i="1"/>
  <c r="E17" i="1"/>
  <c r="F17" i="1" s="1"/>
  <c r="C17" i="1"/>
  <c r="B17" i="1"/>
  <c r="C29" i="1"/>
  <c r="D29" i="1"/>
  <c r="B29" i="1"/>
  <c r="G17" i="1" l="1"/>
  <c r="F29" i="1"/>
  <c r="E29" i="1"/>
  <c r="E39" i="1"/>
  <c r="O41" i="1"/>
  <c r="E41" i="1"/>
  <c r="B39" i="1"/>
  <c r="E38" i="1"/>
  <c r="B38" i="1"/>
  <c r="O29" i="1"/>
  <c r="O13" i="1"/>
  <c r="C30" i="1"/>
  <c r="C38" i="1" s="1"/>
  <c r="C39" i="1" s="1"/>
  <c r="B30" i="1"/>
  <c r="O36" i="1"/>
  <c r="M36" i="1"/>
  <c r="L36" i="1"/>
  <c r="K36" i="1"/>
  <c r="J36" i="1"/>
  <c r="I36" i="1"/>
  <c r="H36" i="1"/>
  <c r="G36" i="1"/>
  <c r="F36" i="1"/>
  <c r="E36" i="1"/>
  <c r="D36" i="1"/>
  <c r="C36" i="1"/>
  <c r="M34" i="1"/>
  <c r="L34" i="1"/>
  <c r="K34" i="1"/>
  <c r="J34" i="1"/>
  <c r="I34" i="1"/>
  <c r="H34" i="1"/>
  <c r="G34" i="1"/>
  <c r="F34" i="1"/>
  <c r="E34" i="1"/>
  <c r="D34" i="1"/>
  <c r="B36" i="1"/>
  <c r="C34" i="1"/>
  <c r="B34" i="1"/>
  <c r="O35" i="1"/>
  <c r="M35" i="1"/>
  <c r="L35" i="1"/>
  <c r="K35" i="1"/>
  <c r="J35" i="1"/>
  <c r="I35" i="1"/>
  <c r="H35" i="1"/>
  <c r="G35" i="1"/>
  <c r="F35" i="1"/>
  <c r="E35" i="1"/>
  <c r="D35" i="1"/>
  <c r="C35" i="1"/>
  <c r="B35" i="1"/>
  <c r="O34" i="1"/>
  <c r="O33" i="1"/>
  <c r="M33" i="1"/>
  <c r="L33" i="1"/>
  <c r="K33" i="1"/>
  <c r="J33" i="1"/>
  <c r="I33" i="1"/>
  <c r="H33" i="1"/>
  <c r="G33" i="1"/>
  <c r="F33" i="1"/>
  <c r="E33" i="1"/>
  <c r="D33" i="1"/>
  <c r="C33" i="1"/>
  <c r="B33" i="1"/>
  <c r="O28" i="1"/>
  <c r="M27" i="1"/>
  <c r="L27" i="1"/>
  <c r="K27" i="1"/>
  <c r="J27" i="1"/>
  <c r="I27" i="1"/>
  <c r="H27" i="1"/>
  <c r="G27" i="1"/>
  <c r="F27" i="1"/>
  <c r="E27" i="1"/>
  <c r="D27" i="1"/>
  <c r="C27" i="1"/>
  <c r="B27" i="1"/>
  <c r="O26" i="1"/>
  <c r="M25" i="1"/>
  <c r="L25" i="1"/>
  <c r="K25" i="1"/>
  <c r="J25" i="1"/>
  <c r="I25" i="1"/>
  <c r="M24" i="1"/>
  <c r="L24" i="1"/>
  <c r="K24" i="1"/>
  <c r="J24" i="1"/>
  <c r="M23" i="1"/>
  <c r="L23" i="1"/>
  <c r="K23" i="1"/>
  <c r="J23" i="1"/>
  <c r="I23" i="1"/>
  <c r="H23" i="1"/>
  <c r="G23" i="1"/>
  <c r="F23" i="1"/>
  <c r="E23" i="1"/>
  <c r="D23" i="1"/>
  <c r="C23" i="1"/>
  <c r="B23" i="1"/>
  <c r="J22" i="1"/>
  <c r="F22" i="1"/>
  <c r="B22" i="1"/>
  <c r="O21" i="1"/>
  <c r="O20" i="1"/>
  <c r="L20" i="1"/>
  <c r="H20" i="1"/>
  <c r="E19" i="1"/>
  <c r="M19" i="1"/>
  <c r="L19" i="1"/>
  <c r="K19" i="1"/>
  <c r="J19" i="1"/>
  <c r="I19" i="1"/>
  <c r="H19" i="1"/>
  <c r="G19" i="1"/>
  <c r="F19" i="1"/>
  <c r="M18" i="1"/>
  <c r="J18" i="1"/>
  <c r="G18" i="1"/>
  <c r="D18" i="1"/>
  <c r="C6" i="1"/>
  <c r="O16" i="1"/>
  <c r="M16" i="1"/>
  <c r="L16" i="1"/>
  <c r="K16" i="1"/>
  <c r="J16" i="1"/>
  <c r="I16" i="1"/>
  <c r="H16" i="1"/>
  <c r="G16" i="1"/>
  <c r="F16" i="1"/>
  <c r="E16" i="1"/>
  <c r="D16" i="1"/>
  <c r="C16" i="1"/>
  <c r="B16" i="1"/>
  <c r="O9" i="1"/>
  <c r="D30" i="1" l="1"/>
  <c r="D38" i="1" s="1"/>
  <c r="H17" i="1"/>
  <c r="G29" i="1"/>
  <c r="M15" i="1"/>
  <c r="L15" i="1"/>
  <c r="K15" i="1"/>
  <c r="J15" i="1"/>
  <c r="I15" i="1"/>
  <c r="H15" i="1"/>
  <c r="G15" i="1"/>
  <c r="F15" i="1"/>
  <c r="E15" i="1"/>
  <c r="D15" i="1"/>
  <c r="C15" i="1"/>
  <c r="B15" i="1"/>
  <c r="M14" i="1"/>
  <c r="L14" i="1"/>
  <c r="K14" i="1"/>
  <c r="J14" i="1"/>
  <c r="I14" i="1"/>
  <c r="H14" i="1"/>
  <c r="G14" i="1"/>
  <c r="F14" i="1"/>
  <c r="E14" i="1"/>
  <c r="D14" i="1"/>
  <c r="C14" i="1"/>
  <c r="B14" i="1"/>
  <c r="O12" i="1"/>
  <c r="I12" i="1"/>
  <c r="O11" i="1"/>
  <c r="I11" i="1"/>
  <c r="D11" i="1"/>
  <c r="F10" i="1"/>
  <c r="B10" i="1"/>
  <c r="O7" i="1"/>
  <c r="L7" i="1"/>
  <c r="I7" i="1"/>
  <c r="F7" i="1"/>
  <c r="B7" i="1"/>
  <c r="M7" i="1"/>
  <c r="K7" i="1"/>
  <c r="J7" i="1"/>
  <c r="H7" i="1"/>
  <c r="G7" i="1"/>
  <c r="E7" i="1"/>
  <c r="D7" i="1"/>
  <c r="O5" i="1"/>
  <c r="O4" i="1"/>
  <c r="O3" i="1"/>
  <c r="O2" i="1"/>
  <c r="E5" i="1"/>
  <c r="M4" i="1"/>
  <c r="L4" i="1"/>
  <c r="K4" i="1"/>
  <c r="J4" i="1"/>
  <c r="I4" i="1"/>
  <c r="H4" i="1"/>
  <c r="G4" i="1"/>
  <c r="F4" i="1"/>
  <c r="E4" i="1"/>
  <c r="D4" i="1"/>
  <c r="C4" i="1"/>
  <c r="B4" i="1"/>
  <c r="M3" i="1"/>
  <c r="L3" i="1"/>
  <c r="K3" i="1"/>
  <c r="J3" i="1"/>
  <c r="I3" i="1"/>
  <c r="H3" i="1"/>
  <c r="G3" i="1"/>
  <c r="F3" i="1"/>
  <c r="E3" i="1"/>
  <c r="D3" i="1"/>
  <c r="C3" i="1"/>
  <c r="B3" i="1"/>
  <c r="F6" i="1"/>
  <c r="L6" i="1"/>
  <c r="I6" i="1"/>
  <c r="D39" i="1" l="1"/>
  <c r="E31" i="1"/>
  <c r="F30" i="1"/>
  <c r="I17" i="1"/>
  <c r="H29" i="1"/>
  <c r="F38" i="1" l="1"/>
  <c r="J17" i="1"/>
  <c r="I29" i="1"/>
  <c r="F39" i="1" l="1"/>
  <c r="G31" i="1"/>
  <c r="G30" i="1" s="1"/>
  <c r="K17" i="1"/>
  <c r="J29" i="1"/>
  <c r="G38" i="1" l="1"/>
  <c r="L17" i="1"/>
  <c r="K29" i="1"/>
  <c r="G39" i="1" l="1"/>
  <c r="H31" i="1" s="1"/>
  <c r="H30" i="1" s="1"/>
  <c r="M17" i="1"/>
  <c r="L29" i="1"/>
  <c r="H38" i="1" l="1"/>
  <c r="M29" i="1"/>
  <c r="H39" i="1" l="1"/>
  <c r="I31" i="1"/>
  <c r="I30" i="1" s="1"/>
  <c r="I38" i="1" l="1"/>
  <c r="I39" i="1" l="1"/>
  <c r="J31" i="1" s="1"/>
  <c r="J30" i="1" s="1"/>
  <c r="J38" i="1" l="1"/>
  <c r="J39" i="1" l="1"/>
  <c r="K31" i="1"/>
  <c r="K30" i="1" s="1"/>
  <c r="K38" i="1" s="1"/>
  <c r="K39" i="1" l="1"/>
  <c r="L31" i="1"/>
  <c r="L30" i="1" s="1"/>
  <c r="L38" i="1" s="1"/>
  <c r="L39" i="1" l="1"/>
  <c r="M31" i="1"/>
  <c r="M30" i="1" s="1"/>
  <c r="O31" i="1"/>
  <c r="M38" i="1" l="1"/>
  <c r="O30" i="1"/>
  <c r="O32" i="1" s="1"/>
  <c r="O38" i="1" l="1"/>
  <c r="M39" i="1"/>
  <c r="O39" i="1" s="1"/>
</calcChain>
</file>

<file path=xl/sharedStrings.xml><?xml version="1.0" encoding="utf-8"?>
<sst xmlns="http://schemas.openxmlformats.org/spreadsheetml/2006/main" count="48" uniqueCount="48">
  <si>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</si>
  <si>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</si>
  <si>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</si>
  <si>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</si>
  <si>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</si>
  <si>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</si>
  <si>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</si>
  <si>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</si>
  <si>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</si>
  <si>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</si>
  <si>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</si>
  <si>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</si>
  <si>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Predicted revenue</t>
  </si>
  <si>
    <t>Room sales (cash)</t>
  </si>
  <si>
    <t>Room sales (credit / business accounts)</t>
  </si>
  <si>
    <t>Motor vehicle (£ 15,000.00)</t>
  </si>
  <si>
    <t>TOTAL</t>
  </si>
  <si>
    <t>Laundry Services</t>
  </si>
  <si>
    <t>Printing &amp; Stationary costs</t>
  </si>
  <si>
    <t>Complimentary Toiletries</t>
  </si>
  <si>
    <t>Complimentary In-Room beverages</t>
  </si>
  <si>
    <t>Land purchase</t>
  </si>
  <si>
    <t>Branded bedding bundle (£ 32.00)</t>
  </si>
  <si>
    <t>Kettle tray set (£ 55.00)</t>
  </si>
  <si>
    <t>Salaried staff</t>
  </si>
  <si>
    <t>Staff, who receive wage</t>
  </si>
  <si>
    <t>Zero-hour staff</t>
  </si>
  <si>
    <t>Light &amp; heat</t>
  </si>
  <si>
    <t>Annual Business Rates</t>
  </si>
  <si>
    <t>Marketing</t>
  </si>
  <si>
    <t>Corporation Tax</t>
  </si>
  <si>
    <t>Furniture purchases for banqueting suit</t>
  </si>
  <si>
    <t>Petrol &amp; Diesel</t>
  </si>
  <si>
    <t>Top floor upgrade</t>
  </si>
  <si>
    <t>Building costs</t>
  </si>
  <si>
    <t>Staff Toilet refurbishing (Ground Floor)</t>
  </si>
  <si>
    <t>Annual General Maintenance</t>
  </si>
  <si>
    <t>Cleaning company</t>
  </si>
  <si>
    <t>CASH BALANCE</t>
  </si>
  <si>
    <t>Guests, who paid within 1 month (credit)</t>
  </si>
  <si>
    <t>Discount (Guests, who paid within 1 month)</t>
  </si>
  <si>
    <t>Guests, who paid within 2 months (credit)</t>
  </si>
  <si>
    <t>TOTOAL CREDIT</t>
  </si>
  <si>
    <t>Interest Rate</t>
  </si>
  <si>
    <t>Total Cashflow (Net)</t>
  </si>
  <si>
    <t>Total Receipts</t>
  </si>
  <si>
    <t>Overdrawn Interest</t>
  </si>
  <si>
    <t>Business 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</si>
</sst>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_-[$£-809]* #,##0.00_-;\-[$£-809]* #,##0.00_-;_-[$£-809]* &quot;-&quot;??_-;_-@_-"/>
    <numFmt numFmtId="165" formatCode="_-[$£-809]* #,##0.000_-;\-[$£-809]* #,##0.000_-;_-[$£-809]* &quot;-&quot;?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5F5F5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164" fontId="0" fillId="0" borderId="0" xfId="0" applyNumberFormat="1"/>
    <xf numFmtId="0" fontId="0" fillId="19" borderId="1" xfId="0" applyFill="1" applyBorder="1"/>
    <xf numFmtId="164" fontId="0" fillId="18" borderId="1" xfId="0" applyNumberFormat="1" applyFill="1" applyBorder="1"/>
    <xf numFmtId="164" fontId="0" fillId="19" borderId="1" xfId="0" applyNumberFormat="1" applyFill="1" applyBorder="1"/>
    <xf numFmtId="164" fontId="0" fillId="19" borderId="1" xfId="1" applyNumberFormat="1" applyFont="1" applyFill="1" applyBorder="1"/>
    <xf numFmtId="0" fontId="0" fillId="19" borderId="1" xfId="0" applyNumberFormat="1" applyFill="1" applyBorder="1"/>
    <xf numFmtId="0" fontId="0" fillId="18" borderId="1" xfId="0" applyFill="1" applyBorder="1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164" fontId="0" fillId="11" borderId="1" xfId="0" applyNumberFormat="1" applyFill="1" applyBorder="1"/>
    <xf numFmtId="0" fontId="0" fillId="6" borderId="1" xfId="0" applyFill="1" applyBorder="1"/>
    <xf numFmtId="164" fontId="0" fillId="6" borderId="1" xfId="0" applyNumberFormat="1" applyFill="1" applyBorder="1"/>
    <xf numFmtId="164" fontId="0" fillId="13" borderId="1" xfId="0" applyNumberFormat="1" applyFill="1" applyBorder="1"/>
    <xf numFmtId="165" fontId="0" fillId="0" borderId="0" xfId="0" applyNumberFormat="1"/>
    <xf numFmtId="0" fontId="0" fillId="14" borderId="1" xfId="0" applyFill="1" applyBorder="1"/>
    <xf numFmtId="164" fontId="0" fillId="14" borderId="1" xfId="0" applyNumberFormat="1" applyFill="1" applyBorder="1"/>
    <xf numFmtId="164" fontId="0" fillId="12" borderId="1" xfId="0" applyNumberFormat="1" applyFill="1" applyBorder="1"/>
    <xf numFmtId="0" fontId="0" fillId="16" borderId="1" xfId="0" applyFill="1" applyBorder="1"/>
    <xf numFmtId="164" fontId="0" fillId="16" borderId="1" xfId="0" applyNumberFormat="1" applyFill="1" applyBorder="1"/>
    <xf numFmtId="164" fontId="0" fillId="20" borderId="1" xfId="0" applyNumberFormat="1" applyFill="1" applyBorder="1"/>
    <xf numFmtId="0" fontId="2" fillId="16" borderId="1" xfId="0" applyFont="1" applyFill="1" applyBorder="1"/>
    <xf numFmtId="0" fontId="0" fillId="21" borderId="1" xfId="0" applyFill="1" applyBorder="1"/>
    <xf numFmtId="164" fontId="0" fillId="21" borderId="1" xfId="0" applyNumberFormat="1" applyFill="1" applyBorder="1"/>
    <xf numFmtId="165" fontId="0" fillId="22" borderId="1" xfId="0" applyNumberFormat="1" applyFill="1" applyBorder="1"/>
    <xf numFmtId="164" fontId="0" fillId="22" borderId="1" xfId="0" applyNumberFormat="1" applyFill="1" applyBorder="1"/>
    <xf numFmtId="0" fontId="0" fillId="4" borderId="1" xfId="0" applyFill="1" applyBorder="1"/>
    <xf numFmtId="164" fontId="0" fillId="4" borderId="1" xfId="0" applyNumberFormat="1" applyFill="1" applyBorder="1"/>
    <xf numFmtId="164" fontId="0" fillId="3" borderId="1" xfId="0" applyNumberFormat="1" applyFill="1" applyBorder="1"/>
    <xf numFmtId="0" fontId="0" fillId="7" borderId="1" xfId="0" applyFill="1" applyBorder="1"/>
    <xf numFmtId="165" fontId="0" fillId="19" borderId="1" xfId="0" applyNumberForma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5F5F5F"/>
      <color rgb="FF4D4D4D"/>
      <color rgb="FF808080"/>
      <color rgb="FF33CCCC"/>
      <color rgb="FF99FFCC"/>
      <color rgb="FFFF6699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topLeftCell="A22" workbookViewId="0">
      <selection activeCell="B29" sqref="B29"/>
    </sheetView>
  </sheetViews>
  <sheetFormatPr defaultRowHeight="15" x14ac:dyDescent="0.25"/>
  <cols>
    <col min="1" max="1" width="39.7109375" customWidth="1"/>
    <col min="2" max="2" width="15.85546875" customWidth="1"/>
    <col min="3" max="3" width="13.7109375" bestFit="1" customWidth="1"/>
    <col min="4" max="4" width="12.5703125" bestFit="1" customWidth="1"/>
    <col min="5" max="5" width="12.5703125" customWidth="1"/>
    <col min="6" max="9" width="12.5703125" bestFit="1" customWidth="1"/>
    <col min="10" max="10" width="12.5703125" customWidth="1"/>
    <col min="11" max="11" width="13.85546875" customWidth="1"/>
    <col min="12" max="12" width="14" customWidth="1"/>
    <col min="13" max="13" width="14.140625" customWidth="1"/>
    <col min="15" max="15" width="15.42578125" customWidth="1"/>
  </cols>
  <sheetData>
    <row r="1" spans="1:15" x14ac:dyDescent="0.25">
      <c r="A1" s="8"/>
      <c r="B1" s="9" t="s">
        <v>0</v>
      </c>
      <c r="C1" s="10" t="s">
        <v>1</v>
      </c>
      <c r="D1" s="11" t="s">
        <v>2</v>
      </c>
      <c r="E1" s="12" t="s">
        <v>3</v>
      </c>
      <c r="F1" s="13" t="s">
        <v>4</v>
      </c>
      <c r="G1" s="14" t="s">
        <v>5</v>
      </c>
      <c r="H1" s="15" t="s">
        <v>6</v>
      </c>
      <c r="I1" s="16" t="s">
        <v>7</v>
      </c>
      <c r="J1" s="17" t="s">
        <v>8</v>
      </c>
      <c r="K1" s="18" t="s">
        <v>9</v>
      </c>
      <c r="L1" s="19" t="s">
        <v>10</v>
      </c>
      <c r="M1" s="20" t="s">
        <v>11</v>
      </c>
      <c r="N1" s="8"/>
      <c r="O1" s="21" t="s">
        <v>16</v>
      </c>
    </row>
    <row r="2" spans="1:15" x14ac:dyDescent="0.25">
      <c r="A2" s="2" t="s">
        <v>12</v>
      </c>
      <c r="B2" s="3">
        <v>382414</v>
      </c>
      <c r="C2" s="4">
        <v>298218</v>
      </c>
      <c r="D2" s="3">
        <v>291005</v>
      </c>
      <c r="E2" s="4">
        <v>285111</v>
      </c>
      <c r="F2" s="3">
        <v>325600</v>
      </c>
      <c r="G2" s="4">
        <v>380450</v>
      </c>
      <c r="H2" s="3">
        <v>400600</v>
      </c>
      <c r="I2" s="4">
        <v>480750</v>
      </c>
      <c r="J2" s="3">
        <v>520180</v>
      </c>
      <c r="K2" s="4">
        <v>400800</v>
      </c>
      <c r="L2" s="3">
        <v>375080</v>
      </c>
      <c r="M2" s="5">
        <v>340900</v>
      </c>
      <c r="N2" s="7"/>
      <c r="O2" s="22">
        <f>SUM(B2:M2)</f>
        <v>4481108</v>
      </c>
    </row>
    <row r="3" spans="1:15" x14ac:dyDescent="0.25">
      <c r="A3" s="2" t="s">
        <v>13</v>
      </c>
      <c r="B3" s="3">
        <f t="shared" ref="B3:I3" si="0">B2*0.6</f>
        <v>229448.4</v>
      </c>
      <c r="C3" s="4">
        <f t="shared" si="0"/>
        <v>178930.8</v>
      </c>
      <c r="D3" s="3">
        <f t="shared" si="0"/>
        <v>174603</v>
      </c>
      <c r="E3" s="4">
        <f t="shared" si="0"/>
        <v>171066.6</v>
      </c>
      <c r="F3" s="3">
        <f t="shared" si="0"/>
        <v>195360</v>
      </c>
      <c r="G3" s="4">
        <f t="shared" si="0"/>
        <v>228270</v>
      </c>
      <c r="H3" s="3">
        <f t="shared" si="0"/>
        <v>240360</v>
      </c>
      <c r="I3" s="4">
        <f t="shared" si="0"/>
        <v>288450</v>
      </c>
      <c r="J3" s="3">
        <f>J2*0.4</f>
        <v>208072</v>
      </c>
      <c r="K3" s="4">
        <f>K2*0.6</f>
        <v>240480</v>
      </c>
      <c r="L3" s="3">
        <f>L2*0.6</f>
        <v>225048</v>
      </c>
      <c r="M3" s="4">
        <f>M2*0.6</f>
        <v>204540</v>
      </c>
      <c r="N3" s="7"/>
      <c r="O3" s="22">
        <f>SUM(B3:M3)</f>
        <v>2584628.7999999998</v>
      </c>
    </row>
    <row r="4" spans="1:15" x14ac:dyDescent="0.25">
      <c r="A4" s="2" t="s">
        <v>14</v>
      </c>
      <c r="B4" s="3">
        <f t="shared" ref="B4:I4" si="1">B2*0.4</f>
        <v>152965.6</v>
      </c>
      <c r="C4" s="4">
        <f t="shared" si="1"/>
        <v>119287.20000000001</v>
      </c>
      <c r="D4" s="3">
        <f t="shared" si="1"/>
        <v>116402</v>
      </c>
      <c r="E4" s="4">
        <f t="shared" si="1"/>
        <v>114044.40000000001</v>
      </c>
      <c r="F4" s="3">
        <f t="shared" si="1"/>
        <v>130240</v>
      </c>
      <c r="G4" s="4">
        <f t="shared" si="1"/>
        <v>152180</v>
      </c>
      <c r="H4" s="3">
        <f t="shared" si="1"/>
        <v>160240</v>
      </c>
      <c r="I4" s="4">
        <f t="shared" si="1"/>
        <v>192300</v>
      </c>
      <c r="J4" s="3">
        <f>J2*0.6</f>
        <v>312108</v>
      </c>
      <c r="K4" s="4">
        <f>K2*0.4</f>
        <v>160320</v>
      </c>
      <c r="L4" s="3">
        <f>L2*0.4</f>
        <v>150032</v>
      </c>
      <c r="M4" s="4">
        <f>M2*0.4</f>
        <v>136360</v>
      </c>
      <c r="N4" s="7"/>
      <c r="O4" s="22">
        <f>SUM(B4:M4)</f>
        <v>1896479.2000000002</v>
      </c>
    </row>
    <row r="5" spans="1:15" x14ac:dyDescent="0.25">
      <c r="A5" s="6" t="s">
        <v>15</v>
      </c>
      <c r="B5" s="7"/>
      <c r="C5" s="2"/>
      <c r="D5" s="7"/>
      <c r="E5" s="4">
        <f>15000*2</f>
        <v>30000</v>
      </c>
      <c r="F5" s="7"/>
      <c r="G5" s="2"/>
      <c r="H5" s="7"/>
      <c r="I5" s="2"/>
      <c r="J5" s="7"/>
      <c r="K5" s="2"/>
      <c r="L5" s="7"/>
      <c r="M5" s="2"/>
      <c r="N5" s="7"/>
      <c r="O5" s="22">
        <f>SUM(B5:M5)</f>
        <v>30000</v>
      </c>
    </row>
    <row r="6" spans="1:15" x14ac:dyDescent="0.25">
      <c r="A6" s="6" t="s">
        <v>17</v>
      </c>
      <c r="B6" s="3"/>
      <c r="C6" s="4">
        <f>O6/4</f>
        <v>18750</v>
      </c>
      <c r="D6" s="3"/>
      <c r="E6" s="4"/>
      <c r="F6" s="3">
        <f>C6</f>
        <v>18750</v>
      </c>
      <c r="G6" s="4"/>
      <c r="H6" s="3"/>
      <c r="I6" s="4">
        <f>C6</f>
        <v>18750</v>
      </c>
      <c r="J6" s="3"/>
      <c r="K6" s="4"/>
      <c r="L6" s="3">
        <f>C6</f>
        <v>18750</v>
      </c>
      <c r="M6" s="4"/>
      <c r="N6" s="7"/>
      <c r="O6" s="22">
        <v>75000</v>
      </c>
    </row>
    <row r="7" spans="1:15" x14ac:dyDescent="0.25">
      <c r="A7" s="6" t="s">
        <v>18</v>
      </c>
      <c r="B7" s="3">
        <f>C7+(C7*0.45)</f>
        <v>5800</v>
      </c>
      <c r="C7" s="4">
        <v>4000</v>
      </c>
      <c r="D7" s="3">
        <f>C7</f>
        <v>4000</v>
      </c>
      <c r="E7" s="4">
        <f>C7</f>
        <v>4000</v>
      </c>
      <c r="F7" s="3">
        <f>B7</f>
        <v>5800</v>
      </c>
      <c r="G7" s="4">
        <f>C7</f>
        <v>4000</v>
      </c>
      <c r="H7" s="3">
        <f>C7</f>
        <v>4000</v>
      </c>
      <c r="I7" s="4">
        <f>B7</f>
        <v>5800</v>
      </c>
      <c r="J7" s="3">
        <f>C7</f>
        <v>4000</v>
      </c>
      <c r="K7" s="4">
        <f>C7</f>
        <v>4000</v>
      </c>
      <c r="L7" s="3">
        <f>B7</f>
        <v>5800</v>
      </c>
      <c r="M7" s="4">
        <f>C7</f>
        <v>4000</v>
      </c>
      <c r="N7" s="7"/>
      <c r="O7" s="22">
        <f>SUM(B7:M7)</f>
        <v>55200</v>
      </c>
    </row>
    <row r="8" spans="1:15" x14ac:dyDescent="0.25">
      <c r="A8" s="6" t="s">
        <v>19</v>
      </c>
      <c r="B8" s="3"/>
      <c r="C8" s="4">
        <v>98000</v>
      </c>
      <c r="D8" s="3"/>
      <c r="E8" s="4"/>
      <c r="F8" s="3"/>
      <c r="G8" s="4"/>
      <c r="H8" s="3"/>
      <c r="I8" s="4"/>
      <c r="J8" s="3"/>
      <c r="K8" s="4"/>
      <c r="L8" s="3"/>
      <c r="M8" s="4"/>
      <c r="N8" s="7"/>
      <c r="O8" s="22">
        <v>98000</v>
      </c>
    </row>
    <row r="9" spans="1:15" x14ac:dyDescent="0.25">
      <c r="A9" s="6" t="s">
        <v>20</v>
      </c>
      <c r="B9" s="3">
        <v>5000</v>
      </c>
      <c r="C9" s="4">
        <v>4100</v>
      </c>
      <c r="D9" s="3">
        <v>4100</v>
      </c>
      <c r="E9" s="4">
        <v>4100</v>
      </c>
      <c r="F9" s="3">
        <v>4100</v>
      </c>
      <c r="G9" s="4">
        <v>5000</v>
      </c>
      <c r="H9" s="3">
        <v>5000</v>
      </c>
      <c r="I9" s="4">
        <v>5000</v>
      </c>
      <c r="J9" s="3">
        <v>5000</v>
      </c>
      <c r="K9" s="4">
        <v>5000</v>
      </c>
      <c r="L9" s="3">
        <v>5000</v>
      </c>
      <c r="M9" s="4">
        <v>5000</v>
      </c>
      <c r="N9" s="7"/>
      <c r="O9" s="22">
        <f>SUM(B9:M9)</f>
        <v>56400</v>
      </c>
    </row>
    <row r="10" spans="1:15" x14ac:dyDescent="0.25">
      <c r="A10" s="6" t="s">
        <v>21</v>
      </c>
      <c r="B10" s="3">
        <f>O10*0.35</f>
        <v>28000</v>
      </c>
      <c r="C10" s="2"/>
      <c r="D10" s="7"/>
      <c r="E10" s="2"/>
      <c r="F10" s="3">
        <f>O10-B10</f>
        <v>52000</v>
      </c>
      <c r="G10" s="2"/>
      <c r="H10" s="7"/>
      <c r="I10" s="2"/>
      <c r="J10" s="7"/>
      <c r="K10" s="2"/>
      <c r="L10" s="7"/>
      <c r="M10" s="2"/>
      <c r="N10" s="7"/>
      <c r="O10" s="22">
        <v>80000</v>
      </c>
    </row>
    <row r="11" spans="1:15" x14ac:dyDescent="0.25">
      <c r="A11" s="6" t="s">
        <v>22</v>
      </c>
      <c r="B11" s="7"/>
      <c r="C11" s="2"/>
      <c r="D11" s="3">
        <f>32*80</f>
        <v>2560</v>
      </c>
      <c r="E11" s="2"/>
      <c r="F11" s="7"/>
      <c r="G11" s="2"/>
      <c r="H11" s="7"/>
      <c r="I11" s="4">
        <f>D11</f>
        <v>2560</v>
      </c>
      <c r="J11" s="7"/>
      <c r="K11" s="2"/>
      <c r="L11" s="7"/>
      <c r="M11" s="2"/>
      <c r="N11" s="7"/>
      <c r="O11" s="22">
        <f>SUM(B11:M11)</f>
        <v>5120</v>
      </c>
    </row>
    <row r="12" spans="1:15" x14ac:dyDescent="0.25">
      <c r="A12" s="6" t="s">
        <v>23</v>
      </c>
      <c r="B12" s="7"/>
      <c r="C12" s="2"/>
      <c r="D12" s="7"/>
      <c r="E12" s="2"/>
      <c r="F12" s="7"/>
      <c r="G12" s="2"/>
      <c r="H12" s="7"/>
      <c r="I12" s="4">
        <f>55*130</f>
        <v>7150</v>
      </c>
      <c r="J12" s="7"/>
      <c r="K12" s="2"/>
      <c r="L12" s="7"/>
      <c r="M12" s="2"/>
      <c r="N12" s="7"/>
      <c r="O12" s="22">
        <f>SUM(B12:M12)</f>
        <v>7150</v>
      </c>
    </row>
    <row r="13" spans="1:15" x14ac:dyDescent="0.25">
      <c r="O13" s="1">
        <f>SUM(O5:O12)</f>
        <v>406870</v>
      </c>
    </row>
    <row r="14" spans="1:15" x14ac:dyDescent="0.25">
      <c r="A14" s="23" t="s">
        <v>24</v>
      </c>
      <c r="B14" s="3">
        <f>O14/12</f>
        <v>26666.666666666668</v>
      </c>
      <c r="C14" s="24">
        <f>B14</f>
        <v>26666.666666666668</v>
      </c>
      <c r="D14" s="3">
        <f>B14</f>
        <v>26666.666666666668</v>
      </c>
      <c r="E14" s="24">
        <f>B14</f>
        <v>26666.666666666668</v>
      </c>
      <c r="F14" s="3">
        <f>B14</f>
        <v>26666.666666666668</v>
      </c>
      <c r="G14" s="24">
        <f>B14</f>
        <v>26666.666666666668</v>
      </c>
      <c r="H14" s="3">
        <f>B14</f>
        <v>26666.666666666668</v>
      </c>
      <c r="I14" s="24">
        <f>B14</f>
        <v>26666.666666666668</v>
      </c>
      <c r="J14" s="3">
        <f>B14</f>
        <v>26666.666666666668</v>
      </c>
      <c r="K14" s="24">
        <f>B14</f>
        <v>26666.666666666668</v>
      </c>
      <c r="L14" s="3">
        <f>B14</f>
        <v>26666.666666666668</v>
      </c>
      <c r="M14" s="24">
        <f>B14</f>
        <v>26666.666666666668</v>
      </c>
      <c r="N14" s="7"/>
      <c r="O14" s="25">
        <v>320000</v>
      </c>
    </row>
    <row r="15" spans="1:15" x14ac:dyDescent="0.25">
      <c r="A15" s="23" t="s">
        <v>25</v>
      </c>
      <c r="B15" s="3">
        <f>O15/12</f>
        <v>40000</v>
      </c>
      <c r="C15" s="24">
        <f>B15</f>
        <v>40000</v>
      </c>
      <c r="D15" s="3">
        <f>B15</f>
        <v>40000</v>
      </c>
      <c r="E15" s="24">
        <f>B15</f>
        <v>40000</v>
      </c>
      <c r="F15" s="3">
        <f>B15</f>
        <v>40000</v>
      </c>
      <c r="G15" s="24">
        <f>B15</f>
        <v>40000</v>
      </c>
      <c r="H15" s="3">
        <f>B15</f>
        <v>40000</v>
      </c>
      <c r="I15" s="24">
        <f>B15</f>
        <v>40000</v>
      </c>
      <c r="J15" s="3">
        <f>B15</f>
        <v>40000</v>
      </c>
      <c r="K15" s="24">
        <f>B15</f>
        <v>40000</v>
      </c>
      <c r="L15" s="3">
        <f>B15</f>
        <v>40000</v>
      </c>
      <c r="M15" s="24">
        <f>B15</f>
        <v>40000</v>
      </c>
      <c r="N15" s="7"/>
      <c r="O15" s="25">
        <v>480000</v>
      </c>
    </row>
    <row r="16" spans="1:15" x14ac:dyDescent="0.25">
      <c r="A16" s="23" t="s">
        <v>26</v>
      </c>
      <c r="B16" s="3">
        <f>50*10*10</f>
        <v>5000</v>
      </c>
      <c r="C16" s="24">
        <f>B16</f>
        <v>5000</v>
      </c>
      <c r="D16" s="3">
        <f>B16</f>
        <v>5000</v>
      </c>
      <c r="E16" s="24">
        <f>B16</f>
        <v>5000</v>
      </c>
      <c r="F16" s="3">
        <f>B16</f>
        <v>5000</v>
      </c>
      <c r="G16" s="24">
        <f>B16</f>
        <v>5000</v>
      </c>
      <c r="H16" s="3">
        <f>B16</f>
        <v>5000</v>
      </c>
      <c r="I16" s="24">
        <f>B16</f>
        <v>5000</v>
      </c>
      <c r="J16" s="3">
        <f>B16</f>
        <v>5000</v>
      </c>
      <c r="K16" s="24">
        <f>B16</f>
        <v>5000</v>
      </c>
      <c r="L16" s="3">
        <f>B16</f>
        <v>5000</v>
      </c>
      <c r="M16" s="24">
        <f>B16</f>
        <v>5000</v>
      </c>
      <c r="N16" s="7"/>
      <c r="O16" s="25">
        <f>SUM(B16:M16)</f>
        <v>60000</v>
      </c>
    </row>
    <row r="17" spans="1:15" x14ac:dyDescent="0.25">
      <c r="A17" s="27" t="s">
        <v>47</v>
      </c>
      <c r="B17" s="3">
        <f>O17/12</f>
        <v>6250</v>
      </c>
      <c r="C17" s="28">
        <f>B17</f>
        <v>6250</v>
      </c>
      <c r="D17" s="3">
        <f t="shared" ref="D17:M17" si="2">C17</f>
        <v>6250</v>
      </c>
      <c r="E17" s="28">
        <f t="shared" si="2"/>
        <v>6250</v>
      </c>
      <c r="F17" s="3">
        <f t="shared" si="2"/>
        <v>6250</v>
      </c>
      <c r="G17" s="28">
        <f t="shared" si="2"/>
        <v>6250</v>
      </c>
      <c r="H17" s="3">
        <f t="shared" si="2"/>
        <v>6250</v>
      </c>
      <c r="I17" s="28">
        <f t="shared" si="2"/>
        <v>6250</v>
      </c>
      <c r="J17" s="3">
        <f t="shared" si="2"/>
        <v>6250</v>
      </c>
      <c r="K17" s="28">
        <f t="shared" si="2"/>
        <v>6250</v>
      </c>
      <c r="L17" s="3">
        <f t="shared" si="2"/>
        <v>6250</v>
      </c>
      <c r="M17" s="28">
        <f t="shared" si="2"/>
        <v>6250</v>
      </c>
      <c r="N17" s="8"/>
      <c r="O17" s="29">
        <v>75000</v>
      </c>
    </row>
    <row r="18" spans="1:15" x14ac:dyDescent="0.25">
      <c r="A18" s="27" t="s">
        <v>27</v>
      </c>
      <c r="B18" s="7"/>
      <c r="C18" s="27"/>
      <c r="D18" s="3">
        <f>O18/4</f>
        <v>30000</v>
      </c>
      <c r="E18" s="27"/>
      <c r="F18" s="7"/>
      <c r="G18" s="28">
        <f>D18</f>
        <v>30000</v>
      </c>
      <c r="H18" s="7"/>
      <c r="I18" s="27"/>
      <c r="J18" s="3">
        <f>D18</f>
        <v>30000</v>
      </c>
      <c r="K18" s="27"/>
      <c r="L18" s="7"/>
      <c r="M18" s="28">
        <f>D18</f>
        <v>30000</v>
      </c>
      <c r="N18" s="7"/>
      <c r="O18" s="29">
        <v>120000</v>
      </c>
    </row>
    <row r="19" spans="1:15" x14ac:dyDescent="0.25">
      <c r="A19" s="27" t="s">
        <v>28</v>
      </c>
      <c r="B19" s="7"/>
      <c r="C19" s="27"/>
      <c r="D19" s="7"/>
      <c r="E19" s="28">
        <f>O19/9</f>
        <v>8333.3333333333339</v>
      </c>
      <c r="F19" s="3">
        <f>E19</f>
        <v>8333.3333333333339</v>
      </c>
      <c r="G19" s="28">
        <f>E19</f>
        <v>8333.3333333333339</v>
      </c>
      <c r="H19" s="3">
        <f>E19</f>
        <v>8333.3333333333339</v>
      </c>
      <c r="I19" s="28">
        <f>E19</f>
        <v>8333.3333333333339</v>
      </c>
      <c r="J19" s="3">
        <f>E19</f>
        <v>8333.3333333333339</v>
      </c>
      <c r="K19" s="28">
        <f>E19</f>
        <v>8333.3333333333339</v>
      </c>
      <c r="L19" s="3">
        <f>E19</f>
        <v>8333.3333333333339</v>
      </c>
      <c r="M19" s="28">
        <f>E19</f>
        <v>8333.3333333333339</v>
      </c>
      <c r="N19" s="7"/>
      <c r="O19" s="29">
        <v>75000</v>
      </c>
    </row>
    <row r="20" spans="1:15" x14ac:dyDescent="0.25">
      <c r="A20" s="27" t="s">
        <v>29</v>
      </c>
      <c r="B20" s="7"/>
      <c r="C20" s="27"/>
      <c r="D20" s="3">
        <v>25000</v>
      </c>
      <c r="E20" s="27"/>
      <c r="F20" s="7"/>
      <c r="G20" s="27"/>
      <c r="H20" s="3">
        <f>D20</f>
        <v>25000</v>
      </c>
      <c r="I20" s="27"/>
      <c r="J20" s="7"/>
      <c r="K20" s="27"/>
      <c r="L20" s="3">
        <f>D20</f>
        <v>25000</v>
      </c>
      <c r="M20" s="27"/>
      <c r="N20" s="7"/>
      <c r="O20" s="29">
        <f>SUM(B20:M20)</f>
        <v>75000</v>
      </c>
    </row>
    <row r="21" spans="1:15" x14ac:dyDescent="0.25">
      <c r="A21" s="27" t="s">
        <v>30</v>
      </c>
      <c r="B21" s="7"/>
      <c r="C21" s="27"/>
      <c r="D21" s="3">
        <v>779000</v>
      </c>
      <c r="E21" s="27"/>
      <c r="F21" s="7"/>
      <c r="G21" s="27"/>
      <c r="H21" s="7"/>
      <c r="I21" s="27"/>
      <c r="J21" s="7"/>
      <c r="K21" s="27"/>
      <c r="L21" s="7"/>
      <c r="M21" s="27"/>
      <c r="N21" s="7"/>
      <c r="O21" s="29">
        <f>SUM(B21:M21)</f>
        <v>779000</v>
      </c>
    </row>
    <row r="22" spans="1:15" x14ac:dyDescent="0.25">
      <c r="A22" s="27" t="s">
        <v>31</v>
      </c>
      <c r="B22" s="3">
        <f>O22/3</f>
        <v>50000</v>
      </c>
      <c r="C22" s="27"/>
      <c r="D22" s="7"/>
      <c r="E22" s="27"/>
      <c r="F22" s="3">
        <f>B22</f>
        <v>50000</v>
      </c>
      <c r="G22" s="27"/>
      <c r="H22" s="7"/>
      <c r="I22" s="27"/>
      <c r="J22" s="3">
        <f>B22</f>
        <v>50000</v>
      </c>
      <c r="K22" s="27"/>
      <c r="L22" s="7"/>
      <c r="M22" s="27"/>
      <c r="N22" s="7"/>
      <c r="O22" s="29">
        <v>150000</v>
      </c>
    </row>
    <row r="23" spans="1:15" x14ac:dyDescent="0.25">
      <c r="A23" s="27" t="s">
        <v>32</v>
      </c>
      <c r="B23" s="3">
        <f>O23/12</f>
        <v>1100</v>
      </c>
      <c r="C23" s="28">
        <f>B23</f>
        <v>1100</v>
      </c>
      <c r="D23" s="3">
        <f>B23</f>
        <v>1100</v>
      </c>
      <c r="E23" s="28">
        <f>B23</f>
        <v>1100</v>
      </c>
      <c r="F23" s="3">
        <f>B23</f>
        <v>1100</v>
      </c>
      <c r="G23" s="28">
        <f>B23</f>
        <v>1100</v>
      </c>
      <c r="H23" s="3">
        <f>B23</f>
        <v>1100</v>
      </c>
      <c r="I23" s="28">
        <f>B23</f>
        <v>1100</v>
      </c>
      <c r="J23" s="3">
        <f>B23</f>
        <v>1100</v>
      </c>
      <c r="K23" s="28">
        <f>B23</f>
        <v>1100</v>
      </c>
      <c r="L23" s="3">
        <f>B23</f>
        <v>1100</v>
      </c>
      <c r="M23" s="28">
        <f>B23</f>
        <v>1100</v>
      </c>
      <c r="N23" s="7"/>
      <c r="O23" s="29">
        <v>13200</v>
      </c>
    </row>
    <row r="24" spans="1:15" x14ac:dyDescent="0.25">
      <c r="A24" s="27" t="s">
        <v>33</v>
      </c>
      <c r="B24" s="7"/>
      <c r="C24" s="27"/>
      <c r="D24" s="7"/>
      <c r="E24" s="27"/>
      <c r="F24" s="7"/>
      <c r="G24" s="27"/>
      <c r="H24" s="7"/>
      <c r="I24" s="27"/>
      <c r="J24" s="3">
        <f>O24/4</f>
        <v>37500</v>
      </c>
      <c r="K24" s="28">
        <f>J24</f>
        <v>37500</v>
      </c>
      <c r="L24" s="3">
        <f>J24</f>
        <v>37500</v>
      </c>
      <c r="M24" s="28">
        <f>J24</f>
        <v>37500</v>
      </c>
      <c r="N24" s="7"/>
      <c r="O24" s="29">
        <v>150000</v>
      </c>
    </row>
    <row r="25" spans="1:15" x14ac:dyDescent="0.25">
      <c r="A25" s="27" t="s">
        <v>34</v>
      </c>
      <c r="B25" s="7"/>
      <c r="C25" s="27"/>
      <c r="D25" s="7"/>
      <c r="E25" s="27"/>
      <c r="F25" s="7"/>
      <c r="G25" s="27"/>
      <c r="H25" s="7"/>
      <c r="I25" s="28">
        <f>O25/5</f>
        <v>109200</v>
      </c>
      <c r="J25" s="3">
        <f>I25</f>
        <v>109200</v>
      </c>
      <c r="K25" s="28">
        <f>I25</f>
        <v>109200</v>
      </c>
      <c r="L25" s="3">
        <f>I25</f>
        <v>109200</v>
      </c>
      <c r="M25" s="28">
        <f>I25</f>
        <v>109200</v>
      </c>
      <c r="N25" s="7"/>
      <c r="O25" s="29">
        <v>546000</v>
      </c>
    </row>
    <row r="26" spans="1:15" x14ac:dyDescent="0.25">
      <c r="A26" s="27" t="s">
        <v>35</v>
      </c>
      <c r="B26" s="7"/>
      <c r="C26" s="27"/>
      <c r="D26" s="7"/>
      <c r="E26" s="27"/>
      <c r="F26" s="7"/>
      <c r="G26" s="27"/>
      <c r="H26" s="7"/>
      <c r="I26" s="27"/>
      <c r="J26" s="7"/>
      <c r="K26" s="28">
        <v>18000</v>
      </c>
      <c r="L26" s="7"/>
      <c r="M26" s="27"/>
      <c r="N26" s="7"/>
      <c r="O26" s="29">
        <f>SUM(B26:M26)</f>
        <v>18000</v>
      </c>
    </row>
    <row r="27" spans="1:15" x14ac:dyDescent="0.25">
      <c r="A27" s="27" t="s">
        <v>36</v>
      </c>
      <c r="B27" s="3">
        <f>O27/12</f>
        <v>6000</v>
      </c>
      <c r="C27" s="28">
        <f>B27</f>
        <v>6000</v>
      </c>
      <c r="D27" s="3">
        <f>B27</f>
        <v>6000</v>
      </c>
      <c r="E27" s="28">
        <f>B27</f>
        <v>6000</v>
      </c>
      <c r="F27" s="3">
        <f>B27</f>
        <v>6000</v>
      </c>
      <c r="G27" s="28">
        <f>B27</f>
        <v>6000</v>
      </c>
      <c r="H27" s="3">
        <f>B27</f>
        <v>6000</v>
      </c>
      <c r="I27" s="28">
        <f>B27</f>
        <v>6000</v>
      </c>
      <c r="J27" s="3">
        <f>B27</f>
        <v>6000</v>
      </c>
      <c r="K27" s="28">
        <f>B27</f>
        <v>6000</v>
      </c>
      <c r="L27" s="3">
        <f>B27</f>
        <v>6000</v>
      </c>
      <c r="M27" s="28">
        <f>B27</f>
        <v>6000</v>
      </c>
      <c r="N27" s="7"/>
      <c r="O27" s="29">
        <v>72000</v>
      </c>
    </row>
    <row r="28" spans="1:15" x14ac:dyDescent="0.25">
      <c r="A28" s="27" t="s">
        <v>37</v>
      </c>
      <c r="B28" s="7"/>
      <c r="C28" s="27"/>
      <c r="D28" s="7"/>
      <c r="E28" s="27"/>
      <c r="F28" s="7"/>
      <c r="G28" s="27"/>
      <c r="H28" s="7"/>
      <c r="I28" s="27"/>
      <c r="J28" s="7"/>
      <c r="K28" s="27"/>
      <c r="L28" s="3">
        <v>10000</v>
      </c>
      <c r="M28" s="27"/>
      <c r="N28" s="7"/>
      <c r="O28" s="29">
        <f>SUM(B28:M28)</f>
        <v>10000</v>
      </c>
    </row>
    <row r="29" spans="1:15" x14ac:dyDescent="0.25">
      <c r="B29" s="1">
        <f>SUM(B5:B28)</f>
        <v>173816.66666666669</v>
      </c>
      <c r="C29" s="1">
        <f t="shared" ref="C29:M29" si="3">SUM(C5:C28)</f>
        <v>209866.66666666666</v>
      </c>
      <c r="D29" s="1">
        <f t="shared" si="3"/>
        <v>929676.66666666674</v>
      </c>
      <c r="E29" s="1">
        <f t="shared" si="3"/>
        <v>131450</v>
      </c>
      <c r="F29" s="1">
        <f t="shared" si="3"/>
        <v>224000.00000000003</v>
      </c>
      <c r="G29" s="1">
        <f t="shared" si="3"/>
        <v>132350</v>
      </c>
      <c r="H29" s="1">
        <f t="shared" si="3"/>
        <v>127350</v>
      </c>
      <c r="I29" s="1">
        <f t="shared" si="3"/>
        <v>241810</v>
      </c>
      <c r="J29" s="1">
        <f t="shared" si="3"/>
        <v>329050</v>
      </c>
      <c r="K29" s="1">
        <f t="shared" si="3"/>
        <v>267050</v>
      </c>
      <c r="L29" s="1">
        <f t="shared" si="3"/>
        <v>304600</v>
      </c>
      <c r="M29" s="1">
        <f t="shared" si="3"/>
        <v>279050</v>
      </c>
      <c r="O29" s="1">
        <f>SUM(O18:O28)</f>
        <v>2008200</v>
      </c>
    </row>
    <row r="30" spans="1:15" x14ac:dyDescent="0.25">
      <c r="A30" s="34" t="s">
        <v>43</v>
      </c>
      <c r="B30" s="3">
        <f>B31*0.026</f>
        <v>8268</v>
      </c>
      <c r="C30" s="35">
        <f>C31*0.026</f>
        <v>15011.617226666665</v>
      </c>
      <c r="D30" s="3">
        <f>D31*0.026</f>
        <v>11890.491095253334</v>
      </c>
      <c r="E30" s="34">
        <v>0</v>
      </c>
      <c r="F30" s="3">
        <f t="shared" ref="F30:M30" si="4">F31*0.026</f>
        <v>11383.276944000001</v>
      </c>
      <c r="G30" s="35">
        <f t="shared" si="4"/>
        <v>10221.543828287999</v>
      </c>
      <c r="H30" s="3">
        <f t="shared" si="4"/>
        <v>15093.310535070977</v>
      </c>
      <c r="I30" s="35">
        <f t="shared" si="4"/>
        <v>17064.737587823689</v>
      </c>
      <c r="J30" s="3">
        <f t="shared" si="4"/>
        <v>17435.230674566832</v>
      </c>
      <c r="K30" s="35">
        <f t="shared" si="4"/>
        <v>12027.143995077475</v>
      </c>
      <c r="L30" s="3">
        <f t="shared" si="4"/>
        <v>18904.313791744029</v>
      </c>
      <c r="M30" s="35">
        <f t="shared" si="4"/>
        <v>16512.139997170689</v>
      </c>
      <c r="N30" s="7"/>
      <c r="O30" s="36">
        <f>SUM(B30:M30)</f>
        <v>153811.80567566169</v>
      </c>
    </row>
    <row r="31" spans="1:15" x14ac:dyDescent="0.25">
      <c r="A31" s="34" t="s">
        <v>38</v>
      </c>
      <c r="B31" s="3">
        <v>318000</v>
      </c>
      <c r="C31" s="35">
        <f>B38+B39</f>
        <v>577369.89333333331</v>
      </c>
      <c r="D31" s="35">
        <f t="shared" ref="D31:M31" si="5">C38+C39</f>
        <v>457326.58058666671</v>
      </c>
      <c r="E31" s="35">
        <f t="shared" si="5"/>
        <v>-295046.26687616017</v>
      </c>
      <c r="F31" s="35">
        <f t="shared" si="5"/>
        <v>437818.34400000004</v>
      </c>
      <c r="G31" s="35">
        <f t="shared" si="5"/>
        <v>393136.30108799995</v>
      </c>
      <c r="H31" s="35">
        <f t="shared" si="5"/>
        <v>580511.9436565761</v>
      </c>
      <c r="I31" s="35">
        <f t="shared" si="5"/>
        <v>656336.06107014196</v>
      </c>
      <c r="J31" s="35">
        <f t="shared" si="5"/>
        <v>670585.79517564736</v>
      </c>
      <c r="K31" s="35">
        <f t="shared" si="5"/>
        <v>462582.46134913363</v>
      </c>
      <c r="L31" s="35">
        <f t="shared" si="5"/>
        <v>727088.99199015496</v>
      </c>
      <c r="M31" s="35">
        <f t="shared" si="5"/>
        <v>635082.30758348806</v>
      </c>
      <c r="N31" s="7"/>
      <c r="O31" s="37">
        <f>SUM(B31:M31)</f>
        <v>5620792.412956981</v>
      </c>
    </row>
    <row r="32" spans="1:15" x14ac:dyDescent="0.25">
      <c r="O32" s="26">
        <f>SUM(O30:O31)</f>
        <v>5774604.2186326431</v>
      </c>
    </row>
    <row r="33" spans="1:15" x14ac:dyDescent="0.25">
      <c r="A33" s="30" t="s">
        <v>39</v>
      </c>
      <c r="B33" s="3">
        <f>M4*0.52</f>
        <v>70907.199999999997</v>
      </c>
      <c r="C33" s="31">
        <f t="shared" ref="C33:M33" si="6">B4*0.52</f>
        <v>79542.112000000008</v>
      </c>
      <c r="D33" s="3">
        <f t="shared" si="6"/>
        <v>62029.344000000005</v>
      </c>
      <c r="E33" s="31">
        <f t="shared" si="6"/>
        <v>60529.04</v>
      </c>
      <c r="F33" s="3">
        <f t="shared" si="6"/>
        <v>59303.088000000003</v>
      </c>
      <c r="G33" s="31">
        <f t="shared" si="6"/>
        <v>67724.800000000003</v>
      </c>
      <c r="H33" s="3">
        <f t="shared" si="6"/>
        <v>79133.600000000006</v>
      </c>
      <c r="I33" s="31">
        <f t="shared" si="6"/>
        <v>83324.800000000003</v>
      </c>
      <c r="J33" s="3">
        <f t="shared" si="6"/>
        <v>99996</v>
      </c>
      <c r="K33" s="31">
        <f t="shared" si="6"/>
        <v>162296.16</v>
      </c>
      <c r="L33" s="3">
        <f t="shared" si="6"/>
        <v>83366.400000000009</v>
      </c>
      <c r="M33" s="31">
        <f t="shared" si="6"/>
        <v>78016.639999999999</v>
      </c>
      <c r="N33" s="7"/>
      <c r="O33" s="32">
        <f>SUM(B33:M33)</f>
        <v>986169.18400000012</v>
      </c>
    </row>
    <row r="34" spans="1:15" x14ac:dyDescent="0.25">
      <c r="A34" s="30" t="s">
        <v>40</v>
      </c>
      <c r="B34" s="3">
        <f>-(B33*0.05)</f>
        <v>-3545.36</v>
      </c>
      <c r="C34" s="31">
        <f>-(C33*0.05)</f>
        <v>-3977.1056000000008</v>
      </c>
      <c r="D34" s="3">
        <f t="shared" ref="D34:M34" si="7">-D33*0.05</f>
        <v>-3101.4672000000005</v>
      </c>
      <c r="E34" s="31">
        <f t="shared" si="7"/>
        <v>-3026.4520000000002</v>
      </c>
      <c r="F34" s="3">
        <f t="shared" si="7"/>
        <v>-2965.1544000000004</v>
      </c>
      <c r="G34" s="31">
        <f t="shared" si="7"/>
        <v>-3386.2400000000002</v>
      </c>
      <c r="H34" s="3">
        <f t="shared" si="7"/>
        <v>-3956.6800000000003</v>
      </c>
      <c r="I34" s="31">
        <f t="shared" si="7"/>
        <v>-4166.2400000000007</v>
      </c>
      <c r="J34" s="3">
        <f t="shared" si="7"/>
        <v>-4999.8</v>
      </c>
      <c r="K34" s="31">
        <f t="shared" si="7"/>
        <v>-8114.8080000000009</v>
      </c>
      <c r="L34" s="3">
        <f t="shared" si="7"/>
        <v>-4168.3200000000006</v>
      </c>
      <c r="M34" s="31">
        <f t="shared" si="7"/>
        <v>-3900.8320000000003</v>
      </c>
      <c r="N34" s="7"/>
      <c r="O34" s="32">
        <f>SUM(B34:M34)</f>
        <v>-49308.459200000012</v>
      </c>
    </row>
    <row r="35" spans="1:15" x14ac:dyDescent="0.25">
      <c r="A35" s="30" t="s">
        <v>41</v>
      </c>
      <c r="B35" s="3">
        <f>L4*0.47</f>
        <v>70515.039999999994</v>
      </c>
      <c r="C35" s="31">
        <f>M4*0.47</f>
        <v>64089.2</v>
      </c>
      <c r="D35" s="3">
        <f t="shared" ref="D35:M35" si="8">B4*0.47</f>
        <v>71893.831999999995</v>
      </c>
      <c r="E35" s="31">
        <f t="shared" si="8"/>
        <v>56064.984000000004</v>
      </c>
      <c r="F35" s="3">
        <f t="shared" si="8"/>
        <v>54708.939999999995</v>
      </c>
      <c r="G35" s="31">
        <f t="shared" si="8"/>
        <v>53600.868000000002</v>
      </c>
      <c r="H35" s="3">
        <f t="shared" si="8"/>
        <v>61212.799999999996</v>
      </c>
      <c r="I35" s="31">
        <f t="shared" si="8"/>
        <v>71524.599999999991</v>
      </c>
      <c r="J35" s="3">
        <f t="shared" si="8"/>
        <v>75312.800000000003</v>
      </c>
      <c r="K35" s="31">
        <f t="shared" si="8"/>
        <v>90381</v>
      </c>
      <c r="L35" s="3">
        <f t="shared" si="8"/>
        <v>146690.75999999998</v>
      </c>
      <c r="M35" s="31">
        <f t="shared" si="8"/>
        <v>75350.399999999994</v>
      </c>
      <c r="N35" s="7"/>
      <c r="O35" s="32">
        <f>SUM(B35:M35)</f>
        <v>891345.22400000005</v>
      </c>
    </row>
    <row r="36" spans="1:15" x14ac:dyDescent="0.25">
      <c r="A36" s="33" t="s">
        <v>42</v>
      </c>
      <c r="B36" s="3">
        <f t="shared" ref="B36:M36" si="9">B33+B34+B35</f>
        <v>137876.88</v>
      </c>
      <c r="C36" s="31">
        <f t="shared" si="9"/>
        <v>139654.20640000002</v>
      </c>
      <c r="D36" s="3">
        <f t="shared" si="9"/>
        <v>130821.70879999999</v>
      </c>
      <c r="E36" s="31">
        <f t="shared" si="9"/>
        <v>113567.57200000001</v>
      </c>
      <c r="F36" s="3">
        <f t="shared" si="9"/>
        <v>111046.87359999999</v>
      </c>
      <c r="G36" s="31">
        <f t="shared" si="9"/>
        <v>117939.42800000001</v>
      </c>
      <c r="H36" s="3">
        <f t="shared" si="9"/>
        <v>136389.72</v>
      </c>
      <c r="I36" s="31">
        <f t="shared" si="9"/>
        <v>150683.15999999997</v>
      </c>
      <c r="J36" s="3">
        <f t="shared" si="9"/>
        <v>170309</v>
      </c>
      <c r="K36" s="31">
        <f t="shared" si="9"/>
        <v>244562.35200000001</v>
      </c>
      <c r="L36" s="3">
        <f t="shared" si="9"/>
        <v>225888.83999999997</v>
      </c>
      <c r="M36" s="31">
        <f t="shared" si="9"/>
        <v>149466.20799999998</v>
      </c>
      <c r="N36" s="7"/>
      <c r="O36" s="32">
        <f>O33+O34+O35</f>
        <v>1828205.9488000001</v>
      </c>
    </row>
    <row r="38" spans="1:15" x14ac:dyDescent="0.25">
      <c r="A38" s="38" t="s">
        <v>45</v>
      </c>
      <c r="B38" s="3">
        <f t="shared" ref="B38:M38" si="10">B3+B30+B36</f>
        <v>375593.28</v>
      </c>
      <c r="C38" s="39">
        <f t="shared" si="10"/>
        <v>333596.62362666667</v>
      </c>
      <c r="D38" s="3">
        <f t="shared" si="10"/>
        <v>317315.19989525329</v>
      </c>
      <c r="E38" s="39">
        <f t="shared" si="10"/>
        <v>284634.17200000002</v>
      </c>
      <c r="F38" s="3">
        <f t="shared" si="10"/>
        <v>317790.15054399997</v>
      </c>
      <c r="G38" s="39">
        <f t="shared" si="10"/>
        <v>356430.97182828805</v>
      </c>
      <c r="H38" s="3">
        <f t="shared" si="10"/>
        <v>391843.03053507098</v>
      </c>
      <c r="I38" s="39">
        <f t="shared" si="10"/>
        <v>456197.89758782368</v>
      </c>
      <c r="J38" s="3">
        <f t="shared" si="10"/>
        <v>395816.23067456682</v>
      </c>
      <c r="K38" s="39">
        <f t="shared" si="10"/>
        <v>497069.49599507748</v>
      </c>
      <c r="L38" s="3">
        <f t="shared" si="10"/>
        <v>469841.15379174403</v>
      </c>
      <c r="M38" s="39">
        <f t="shared" si="10"/>
        <v>370518.34799717064</v>
      </c>
      <c r="N38" s="7"/>
      <c r="O38" s="40">
        <f>SUM(B38+M38)</f>
        <v>746111.62799717067</v>
      </c>
    </row>
    <row r="39" spans="1:15" x14ac:dyDescent="0.25">
      <c r="A39" s="38" t="s">
        <v>44</v>
      </c>
      <c r="B39" s="3">
        <f>B38-SUM(B5:B28)</f>
        <v>201776.61333333334</v>
      </c>
      <c r="C39" s="39">
        <f>C38-SUM(C5:C28)</f>
        <v>123729.95696000001</v>
      </c>
      <c r="D39" s="3">
        <f>D38-SUM(D5:D28)</f>
        <v>-612361.46677141346</v>
      </c>
      <c r="E39" s="39">
        <f>E38-SUM(E5:E28)</f>
        <v>153184.17200000002</v>
      </c>
      <c r="F39" s="3">
        <f>F38-SUM(F5:F28)+E41</f>
        <v>75346.150543999946</v>
      </c>
      <c r="G39" s="39">
        <f t="shared" ref="G39:M39" si="11">G38-SUM(G5:G28)</f>
        <v>224080.97182828805</v>
      </c>
      <c r="H39" s="3">
        <f t="shared" si="11"/>
        <v>264493.03053507098</v>
      </c>
      <c r="I39" s="39">
        <f t="shared" si="11"/>
        <v>214387.89758782368</v>
      </c>
      <c r="J39" s="3">
        <f t="shared" si="11"/>
        <v>66766.230674566817</v>
      </c>
      <c r="K39" s="39">
        <f t="shared" si="11"/>
        <v>230019.49599507748</v>
      </c>
      <c r="L39" s="3">
        <f t="shared" si="11"/>
        <v>165241.15379174403</v>
      </c>
      <c r="M39" s="39">
        <f t="shared" si="11"/>
        <v>91468.34799717064</v>
      </c>
      <c r="N39" s="7"/>
      <c r="O39" s="40">
        <f>SUM(B39:M39)</f>
        <v>1198132.5544756616</v>
      </c>
    </row>
    <row r="41" spans="1:15" x14ac:dyDescent="0.25">
      <c r="A41" s="2" t="s">
        <v>46</v>
      </c>
      <c r="B41" s="41"/>
      <c r="C41" s="2"/>
      <c r="D41" s="41"/>
      <c r="E41" s="42">
        <f>B31*-0.058</f>
        <v>-18444</v>
      </c>
      <c r="F41" s="41"/>
      <c r="G41" s="2"/>
      <c r="H41" s="41"/>
      <c r="I41" s="2"/>
      <c r="J41" s="41"/>
      <c r="K41" s="2"/>
      <c r="L41" s="41"/>
      <c r="M41" s="2"/>
      <c r="N41" s="41"/>
      <c r="O41" s="39">
        <f>SUM(B41:M41)</f>
        <v>-18444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Vicky</dc:creator>
  <cp:lastModifiedBy>Vicky</cp:lastModifiedBy>
  <dcterms:created xsi:type="dcterms:W3CDTF">2019-12-18T21:19:22Z</dcterms:created>
  <dcterms:modified xsi:type="dcterms:W3CDTF">2019-12-20T23:42:45Z</dcterms:modified>
</cp:coreProperties>
</file>