
<file path=[Content_Types].xml><?xml version="1.0" encoding="utf-8"?>
<Types xmlns="http://schemas.openxmlformats.org/package/2006/content-types">
  <Override PartName="/xl/tables/table4.xml" ContentType="application/vnd.openxmlformats-officedocument.spreadsheetml.table+xml"/>
  <Override PartName="/xl/tables/table16.xml" ContentType="application/vnd.openxmlformats-officedocument.spreadsheetml.table+xml"/>
  <Override PartName="/xl/tables/table25.xml" ContentType="application/vnd.openxmlformats-officedocument.spreadsheetml.table+xml"/>
  <Override PartName="/xl/tables/table34.xml" ContentType="application/vnd.openxmlformats-officedocument.spreadsheetml.table+xml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tables/table14.xml" ContentType="application/vnd.openxmlformats-officedocument.spreadsheetml.table+xml"/>
  <Override PartName="/xl/tables/table23.xml" ContentType="application/vnd.openxmlformats-officedocument.spreadsheetml.table+xml"/>
  <Override PartName="/xl/tables/table32.xml" ContentType="application/vnd.openxmlformats-officedocument.spreadsheetml.table+xml"/>
  <Override PartName="/xl/charts/chart4.xml" ContentType="application/vnd.openxmlformats-officedocument.drawingml.chart+xml"/>
  <Override PartName="/xl/worksheets/sheet7.xml" ContentType="application/vnd.openxmlformats-officedocument.spreadsheetml.worksheet+xml"/>
  <Override PartName="/xl/tables/table12.xml" ContentType="application/vnd.openxmlformats-officedocument.spreadsheetml.table+xml"/>
  <Override PartName="/xl/tables/table21.xml" ContentType="application/vnd.openxmlformats-officedocument.spreadsheetml.table+xml"/>
  <Override PartName="/xl/tables/table30.xml" ContentType="application/vnd.openxmlformats-officedocument.spreadsheetml.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harts/chart16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19.xml" ContentType="application/vnd.openxmlformats-officedocument.spreadsheetml.table+xml"/>
  <Override PartName="/xl/tables/table29.xml" ContentType="application/vnd.openxmlformats-officedocument.spreadsheetml.table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Override PartName="/xl/tables/table3.xml" ContentType="application/vnd.openxmlformats-officedocument.spreadsheetml.table+xml"/>
  <Override PartName="/xl/tables/table15.xml" ContentType="application/vnd.openxmlformats-officedocument.spreadsheetml.table+xml"/>
  <Override PartName="/xl/tables/table24.xml" ContentType="application/vnd.openxmlformats-officedocument.spreadsheetml.table+xml"/>
  <Default Extension="png" ContentType="image/png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ables/table1.xml" ContentType="application/vnd.openxmlformats-officedocument.spreadsheetml.table+xml"/>
  <Override PartName="/xl/tables/table13.xml" ContentType="application/vnd.openxmlformats-officedocument.spreadsheetml.table+xml"/>
  <Override PartName="/xl/tables/table22.xml" ContentType="application/vnd.openxmlformats-officedocument.spreadsheetml.table+xml"/>
  <Override PartName="/xl/tables/table33.xml" ContentType="application/vnd.openxmlformats-officedocument.spreadsheetml.table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tables/table11.xml" ContentType="application/vnd.openxmlformats-officedocument.spreadsheetml.table+xml"/>
  <Override PartName="/xl/tables/table20.xml" ContentType="application/vnd.openxmlformats-officedocument.spreadsheetml.table+xml"/>
  <Override PartName="/xl/tables/table31.xml" ContentType="application/vnd.openxmlformats-officedocument.spreadsheetml.table+xml"/>
  <Override PartName="/xl/charts/chart3.xml" ContentType="application/vnd.openxmlformats-officedocument.drawingml.chart+xml"/>
  <Default Extension="jpeg" ContentType="image/jpeg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950" tabRatio="875" activeTab="6"/>
  </bookViews>
  <sheets>
    <sheet name="Specification &amp; Data" sheetId="1" r:id="rId1"/>
    <sheet name="Acceleration &amp; Deceleration" sheetId="2" r:id="rId2"/>
    <sheet name="Aerodynamic Resistance" sheetId="3" r:id="rId3"/>
    <sheet name="Net Resistive Force" sheetId="8" r:id="rId4"/>
    <sheet name="Simulation" sheetId="4" r:id="rId5"/>
    <sheet name="BSFC" sheetId="5" r:id="rId6"/>
    <sheet name="Fuel Consumption" sheetId="6" r:id="rId7"/>
    <sheet name="Graphs" sheetId="7" r:id="rId8"/>
  </sheets>
  <calcPr calcId="124519"/>
</workbook>
</file>

<file path=xl/calcChain.xml><?xml version="1.0" encoding="utf-8"?>
<calcChain xmlns="http://schemas.openxmlformats.org/spreadsheetml/2006/main">
  <c r="J8" i="6"/>
  <c r="J9"/>
  <c r="N7" i="3" l="1"/>
  <c r="N8"/>
  <c r="N9"/>
  <c r="N10"/>
  <c r="N11"/>
  <c r="N12"/>
  <c r="N13"/>
  <c r="N14"/>
  <c r="N15"/>
  <c r="N16"/>
  <c r="N17"/>
  <c r="N6"/>
  <c r="M7"/>
  <c r="M8"/>
  <c r="M9"/>
  <c r="M10"/>
  <c r="M11"/>
  <c r="M12"/>
  <c r="M13"/>
  <c r="M14"/>
  <c r="M15"/>
  <c r="M16"/>
  <c r="M17"/>
  <c r="M6"/>
  <c r="L7"/>
  <c r="L8"/>
  <c r="L9"/>
  <c r="L10"/>
  <c r="L11"/>
  <c r="L12"/>
  <c r="L13"/>
  <c r="L14"/>
  <c r="L15"/>
  <c r="L16"/>
  <c r="L17"/>
  <c r="L6"/>
  <c r="H7"/>
  <c r="H8"/>
  <c r="H9"/>
  <c r="H10"/>
  <c r="H11"/>
  <c r="H12"/>
  <c r="H13"/>
  <c r="H14"/>
  <c r="H15"/>
  <c r="H16"/>
  <c r="H17"/>
  <c r="H6"/>
  <c r="G7"/>
  <c r="G8"/>
  <c r="G9"/>
  <c r="G10"/>
  <c r="G11"/>
  <c r="G12"/>
  <c r="G13"/>
  <c r="G14"/>
  <c r="G15"/>
  <c r="G16"/>
  <c r="G17"/>
  <c r="G6"/>
  <c r="F7"/>
  <c r="F8"/>
  <c r="F9"/>
  <c r="F10"/>
  <c r="F11"/>
  <c r="F12"/>
  <c r="F13"/>
  <c r="F14"/>
  <c r="F15"/>
  <c r="F16"/>
  <c r="F17"/>
  <c r="F6"/>
  <c r="Q25" i="8"/>
  <c r="Q26"/>
  <c r="Q27"/>
  <c r="Q28"/>
  <c r="Q29"/>
  <c r="Q30"/>
  <c r="Q31"/>
  <c r="Q32"/>
  <c r="Q33"/>
  <c r="Q34"/>
  <c r="Q35"/>
  <c r="Q24"/>
  <c r="P25"/>
  <c r="P26"/>
  <c r="P27"/>
  <c r="P28"/>
  <c r="P29"/>
  <c r="P30"/>
  <c r="P31"/>
  <c r="P32"/>
  <c r="P33"/>
  <c r="P34"/>
  <c r="P35"/>
  <c r="P24"/>
  <c r="O25"/>
  <c r="O26"/>
  <c r="O27"/>
  <c r="O28"/>
  <c r="O29"/>
  <c r="O30"/>
  <c r="O31"/>
  <c r="O32"/>
  <c r="O33"/>
  <c r="O34"/>
  <c r="O35"/>
  <c r="O24"/>
  <c r="R19" i="2" s="1"/>
  <c r="K25" i="8"/>
  <c r="K26"/>
  <c r="K27"/>
  <c r="K28"/>
  <c r="K29"/>
  <c r="K30"/>
  <c r="K31"/>
  <c r="K32"/>
  <c r="K33"/>
  <c r="K34"/>
  <c r="K35"/>
  <c r="K24"/>
  <c r="J25"/>
  <c r="J26"/>
  <c r="J27"/>
  <c r="J28"/>
  <c r="J29"/>
  <c r="J30"/>
  <c r="J31"/>
  <c r="J32"/>
  <c r="J33"/>
  <c r="J34"/>
  <c r="J35"/>
  <c r="J24"/>
  <c r="I25"/>
  <c r="I26"/>
  <c r="I27"/>
  <c r="I28"/>
  <c r="I29"/>
  <c r="I30"/>
  <c r="I31"/>
  <c r="I32"/>
  <c r="I33"/>
  <c r="I34"/>
  <c r="I35"/>
  <c r="I24"/>
  <c r="E25"/>
  <c r="E26"/>
  <c r="E27"/>
  <c r="E28"/>
  <c r="E29"/>
  <c r="E30"/>
  <c r="E31"/>
  <c r="E32"/>
  <c r="E33"/>
  <c r="E34"/>
  <c r="E35"/>
  <c r="E24"/>
  <c r="D25"/>
  <c r="D26"/>
  <c r="D27"/>
  <c r="D28"/>
  <c r="D29"/>
  <c r="D30"/>
  <c r="D31"/>
  <c r="D32"/>
  <c r="D33"/>
  <c r="D34"/>
  <c r="D35"/>
  <c r="D24"/>
  <c r="C25"/>
  <c r="C26"/>
  <c r="C27"/>
  <c r="C28"/>
  <c r="C29"/>
  <c r="C30"/>
  <c r="C31"/>
  <c r="C32"/>
  <c r="C33"/>
  <c r="C34"/>
  <c r="C35"/>
  <c r="C24"/>
  <c r="Z7" i="4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91"/>
  <c r="Z92"/>
  <c r="Z93"/>
  <c r="Z94"/>
  <c r="Z95"/>
  <c r="Z96"/>
  <c r="Z97"/>
  <c r="Z98"/>
  <c r="Z99"/>
  <c r="Z100"/>
  <c r="Z101"/>
  <c r="Z102"/>
  <c r="Z103"/>
  <c r="Z104"/>
  <c r="Z105"/>
  <c r="Z106"/>
  <c r="Z107"/>
  <c r="Z108"/>
  <c r="Z109"/>
  <c r="Z110"/>
  <c r="Z111"/>
  <c r="Z112"/>
  <c r="Z113"/>
  <c r="Z114"/>
  <c r="Z115"/>
  <c r="Z116"/>
  <c r="Z117"/>
  <c r="Z118"/>
  <c r="Z119"/>
  <c r="Z120"/>
  <c r="Z121"/>
  <c r="Z122"/>
  <c r="Z123"/>
  <c r="Z124"/>
  <c r="Z125"/>
  <c r="Z126"/>
  <c r="Z127"/>
  <c r="Z128"/>
  <c r="Z129"/>
  <c r="Z130"/>
  <c r="Z131"/>
  <c r="Z132"/>
  <c r="Z133"/>
  <c r="Z134"/>
  <c r="Z135"/>
  <c r="Z136"/>
  <c r="Z137"/>
  <c r="Z138"/>
  <c r="Z139"/>
  <c r="Z140"/>
  <c r="Z141"/>
  <c r="Z142"/>
  <c r="Z143"/>
  <c r="Z144"/>
  <c r="Z145"/>
  <c r="Z146"/>
  <c r="Z147"/>
  <c r="Z148"/>
  <c r="Z149"/>
  <c r="Z150"/>
  <c r="Z151"/>
  <c r="Z152"/>
  <c r="Z153"/>
  <c r="Z154"/>
  <c r="Z155"/>
  <c r="Z156"/>
  <c r="Z157"/>
  <c r="Z158"/>
  <c r="Z159"/>
  <c r="Z160"/>
  <c r="Z161"/>
  <c r="Z162"/>
  <c r="Z163"/>
  <c r="Z164"/>
  <c r="Z165"/>
  <c r="Z166"/>
  <c r="Z167"/>
  <c r="Z168"/>
  <c r="Z169"/>
  <c r="Z170"/>
  <c r="Z171"/>
  <c r="Z172"/>
  <c r="Z173"/>
  <c r="Z174"/>
  <c r="Z175"/>
  <c r="Z176"/>
  <c r="Z177"/>
  <c r="Z178"/>
  <c r="Z179"/>
  <c r="Z180"/>
  <c r="Z181"/>
  <c r="Z182"/>
  <c r="Z183"/>
  <c r="Z184"/>
  <c r="Z185"/>
  <c r="Z186"/>
  <c r="Z187"/>
  <c r="Z188"/>
  <c r="Z189"/>
  <c r="Z190"/>
  <c r="Z191"/>
  <c r="Z192"/>
  <c r="Z193"/>
  <c r="Z194"/>
  <c r="Z195"/>
  <c r="Z196"/>
  <c r="Z197"/>
  <c r="Z198"/>
  <c r="Z199"/>
  <c r="Z200"/>
  <c r="Z201"/>
  <c r="Z202"/>
  <c r="Z203"/>
  <c r="Z204"/>
  <c r="Z205"/>
  <c r="Z206"/>
  <c r="Z207"/>
  <c r="Z208"/>
  <c r="Z209"/>
  <c r="Z210"/>
  <c r="Z211"/>
  <c r="Z212"/>
  <c r="Z213"/>
  <c r="Z214"/>
  <c r="Z215"/>
  <c r="Z216"/>
  <c r="Z217"/>
  <c r="Z218"/>
  <c r="Z219"/>
  <c r="Z220"/>
  <c r="Z221"/>
  <c r="Z222"/>
  <c r="Z223"/>
  <c r="Z224"/>
  <c r="Z225"/>
  <c r="Z226"/>
  <c r="Z227"/>
  <c r="Z228"/>
  <c r="Z229"/>
  <c r="Z230"/>
  <c r="Z231"/>
  <c r="Z232"/>
  <c r="Z233"/>
  <c r="Z234"/>
  <c r="Z235"/>
  <c r="Z236"/>
  <c r="Z237"/>
  <c r="Z238"/>
  <c r="Z239"/>
  <c r="Z240"/>
  <c r="Z241"/>
  <c r="Z242"/>
  <c r="Z243"/>
  <c r="Z244"/>
  <c r="Z245"/>
  <c r="Z246"/>
  <c r="Z247"/>
  <c r="Z248"/>
  <c r="Z249"/>
  <c r="Z250"/>
  <c r="Z251"/>
  <c r="Z252"/>
  <c r="Z253"/>
  <c r="Z254"/>
  <c r="Z255"/>
  <c r="Z256"/>
  <c r="Z257"/>
  <c r="Z258"/>
  <c r="Z259"/>
  <c r="Z260"/>
  <c r="Z261"/>
  <c r="Z262"/>
  <c r="Z263"/>
  <c r="Z264"/>
  <c r="Z265"/>
  <c r="Z266"/>
  <c r="Z267"/>
  <c r="Z268"/>
  <c r="Z269"/>
  <c r="Z270"/>
  <c r="Z271"/>
  <c r="Z272"/>
  <c r="Z273"/>
  <c r="Z274"/>
  <c r="Z275"/>
  <c r="Z276"/>
  <c r="Z277"/>
  <c r="Z278"/>
  <c r="Z279"/>
  <c r="Z280"/>
  <c r="Z281"/>
  <c r="Z282"/>
  <c r="Z283"/>
  <c r="Z284"/>
  <c r="Z285"/>
  <c r="Z286"/>
  <c r="Z287"/>
  <c r="Z288"/>
  <c r="Z289"/>
  <c r="Z290"/>
  <c r="Z291"/>
  <c r="Z292"/>
  <c r="Z293"/>
  <c r="Z294"/>
  <c r="Z295"/>
  <c r="Z296"/>
  <c r="Z297"/>
  <c r="Z298"/>
  <c r="Z299"/>
  <c r="Z300"/>
  <c r="Z301"/>
  <c r="Z302"/>
  <c r="Z303"/>
  <c r="Z304"/>
  <c r="Z305"/>
  <c r="Z306"/>
  <c r="Z307"/>
  <c r="Z308"/>
  <c r="Z309"/>
  <c r="Z310"/>
  <c r="Z311"/>
  <c r="Z312"/>
  <c r="Z313"/>
  <c r="Z314"/>
  <c r="Z315"/>
  <c r="Z316"/>
  <c r="Z317"/>
  <c r="Z318"/>
  <c r="Z319"/>
  <c r="Z6"/>
  <c r="F15" i="6"/>
  <c r="F19"/>
  <c r="F31"/>
  <c r="F35"/>
  <c r="F47"/>
  <c r="F51"/>
  <c r="F63"/>
  <c r="F67"/>
  <c r="F79"/>
  <c r="F83"/>
  <c r="F95"/>
  <c r="F99"/>
  <c r="F111"/>
  <c r="F115"/>
  <c r="F127"/>
  <c r="F131"/>
  <c r="F143"/>
  <c r="F147"/>
  <c r="F159"/>
  <c r="F163"/>
  <c r="F175"/>
  <c r="F179"/>
  <c r="F191"/>
  <c r="F195"/>
  <c r="F207"/>
  <c r="F211"/>
  <c r="F223"/>
  <c r="F227"/>
  <c r="F239"/>
  <c r="F243"/>
  <c r="F255"/>
  <c r="F259"/>
  <c r="F271"/>
  <c r="F275"/>
  <c r="F287"/>
  <c r="F291"/>
  <c r="F303"/>
  <c r="F307"/>
  <c r="F4"/>
  <c r="E5"/>
  <c r="I5" s="1"/>
  <c r="E6"/>
  <c r="I6" s="1"/>
  <c r="E7"/>
  <c r="I7" s="1"/>
  <c r="E8"/>
  <c r="I8" s="1"/>
  <c r="E9"/>
  <c r="I9" s="1"/>
  <c r="E10"/>
  <c r="I10" s="1"/>
  <c r="E11"/>
  <c r="I11" s="1"/>
  <c r="E12"/>
  <c r="I12" s="1"/>
  <c r="E13"/>
  <c r="I13" s="1"/>
  <c r="E14"/>
  <c r="I14" s="1"/>
  <c r="E15"/>
  <c r="I15" s="1"/>
  <c r="E16"/>
  <c r="I16" s="1"/>
  <c r="E17"/>
  <c r="I17" s="1"/>
  <c r="E18"/>
  <c r="I18" s="1"/>
  <c r="E19"/>
  <c r="I19" s="1"/>
  <c r="E20"/>
  <c r="I20" s="1"/>
  <c r="E21"/>
  <c r="I21" s="1"/>
  <c r="E22"/>
  <c r="I22" s="1"/>
  <c r="E23"/>
  <c r="I23" s="1"/>
  <c r="E24"/>
  <c r="I24" s="1"/>
  <c r="E25"/>
  <c r="I25" s="1"/>
  <c r="E26"/>
  <c r="I26" s="1"/>
  <c r="E27"/>
  <c r="I27" s="1"/>
  <c r="E28"/>
  <c r="I28" s="1"/>
  <c r="E29"/>
  <c r="I29" s="1"/>
  <c r="E30"/>
  <c r="I30" s="1"/>
  <c r="E31"/>
  <c r="I31" s="1"/>
  <c r="E32"/>
  <c r="I32" s="1"/>
  <c r="E33"/>
  <c r="I33" s="1"/>
  <c r="E34"/>
  <c r="I34" s="1"/>
  <c r="E35"/>
  <c r="I35" s="1"/>
  <c r="E36"/>
  <c r="I36" s="1"/>
  <c r="E37"/>
  <c r="I37" s="1"/>
  <c r="E38"/>
  <c r="I38" s="1"/>
  <c r="E39"/>
  <c r="I39" s="1"/>
  <c r="E40"/>
  <c r="I40" s="1"/>
  <c r="E41"/>
  <c r="I41" s="1"/>
  <c r="E42"/>
  <c r="I42" s="1"/>
  <c r="E43"/>
  <c r="I43" s="1"/>
  <c r="E44"/>
  <c r="I44" s="1"/>
  <c r="E45"/>
  <c r="I45" s="1"/>
  <c r="E46"/>
  <c r="I46" s="1"/>
  <c r="E47"/>
  <c r="I47" s="1"/>
  <c r="E48"/>
  <c r="I48" s="1"/>
  <c r="E49"/>
  <c r="I49" s="1"/>
  <c r="E50"/>
  <c r="I50" s="1"/>
  <c r="E51"/>
  <c r="I51" s="1"/>
  <c r="E52"/>
  <c r="I52" s="1"/>
  <c r="E53"/>
  <c r="I53" s="1"/>
  <c r="E54"/>
  <c r="I54" s="1"/>
  <c r="E55"/>
  <c r="I55" s="1"/>
  <c r="E56"/>
  <c r="I56" s="1"/>
  <c r="E57"/>
  <c r="I57" s="1"/>
  <c r="E58"/>
  <c r="I58" s="1"/>
  <c r="E59"/>
  <c r="I59" s="1"/>
  <c r="E60"/>
  <c r="I60" s="1"/>
  <c r="E61"/>
  <c r="I61" s="1"/>
  <c r="E62"/>
  <c r="I62" s="1"/>
  <c r="E63"/>
  <c r="I63" s="1"/>
  <c r="E64"/>
  <c r="I64" s="1"/>
  <c r="E65"/>
  <c r="I65" s="1"/>
  <c r="E66"/>
  <c r="I66" s="1"/>
  <c r="E67"/>
  <c r="I67" s="1"/>
  <c r="E68"/>
  <c r="I68" s="1"/>
  <c r="E69"/>
  <c r="I69" s="1"/>
  <c r="E70"/>
  <c r="I70" s="1"/>
  <c r="E71"/>
  <c r="I71" s="1"/>
  <c r="E72"/>
  <c r="I72" s="1"/>
  <c r="E73"/>
  <c r="I73" s="1"/>
  <c r="E74"/>
  <c r="I74" s="1"/>
  <c r="E75"/>
  <c r="I75" s="1"/>
  <c r="E76"/>
  <c r="I76" s="1"/>
  <c r="E77"/>
  <c r="I77" s="1"/>
  <c r="E78"/>
  <c r="I78" s="1"/>
  <c r="E79"/>
  <c r="I79" s="1"/>
  <c r="E80"/>
  <c r="I80" s="1"/>
  <c r="E81"/>
  <c r="I81" s="1"/>
  <c r="E82"/>
  <c r="I82" s="1"/>
  <c r="E83"/>
  <c r="I83" s="1"/>
  <c r="E84"/>
  <c r="I84" s="1"/>
  <c r="E85"/>
  <c r="I85" s="1"/>
  <c r="E86"/>
  <c r="I86" s="1"/>
  <c r="E87"/>
  <c r="I87" s="1"/>
  <c r="E88"/>
  <c r="I88" s="1"/>
  <c r="E89"/>
  <c r="I89" s="1"/>
  <c r="E90"/>
  <c r="I90" s="1"/>
  <c r="E91"/>
  <c r="I91" s="1"/>
  <c r="E92"/>
  <c r="I92" s="1"/>
  <c r="E93"/>
  <c r="I93" s="1"/>
  <c r="E94"/>
  <c r="I94" s="1"/>
  <c r="E95"/>
  <c r="I95" s="1"/>
  <c r="E96"/>
  <c r="I96" s="1"/>
  <c r="E97"/>
  <c r="I97" s="1"/>
  <c r="E98"/>
  <c r="I98" s="1"/>
  <c r="E99"/>
  <c r="I99" s="1"/>
  <c r="E100"/>
  <c r="I100" s="1"/>
  <c r="E101"/>
  <c r="I101" s="1"/>
  <c r="E102"/>
  <c r="I102" s="1"/>
  <c r="E103"/>
  <c r="I103" s="1"/>
  <c r="E104"/>
  <c r="I104" s="1"/>
  <c r="E105"/>
  <c r="I105" s="1"/>
  <c r="E106"/>
  <c r="I106" s="1"/>
  <c r="E107"/>
  <c r="I107" s="1"/>
  <c r="E108"/>
  <c r="I108" s="1"/>
  <c r="E109"/>
  <c r="I109" s="1"/>
  <c r="E110"/>
  <c r="I110" s="1"/>
  <c r="E111"/>
  <c r="I111" s="1"/>
  <c r="E112"/>
  <c r="I112" s="1"/>
  <c r="E113"/>
  <c r="I113" s="1"/>
  <c r="E114"/>
  <c r="I114" s="1"/>
  <c r="E115"/>
  <c r="I115" s="1"/>
  <c r="E116"/>
  <c r="I116" s="1"/>
  <c r="E117"/>
  <c r="I117" s="1"/>
  <c r="E118"/>
  <c r="I118" s="1"/>
  <c r="E119"/>
  <c r="I119" s="1"/>
  <c r="E120"/>
  <c r="I120" s="1"/>
  <c r="E121"/>
  <c r="I121" s="1"/>
  <c r="E122"/>
  <c r="I122" s="1"/>
  <c r="E123"/>
  <c r="I123" s="1"/>
  <c r="E124"/>
  <c r="I124" s="1"/>
  <c r="E125"/>
  <c r="I125" s="1"/>
  <c r="E126"/>
  <c r="I126" s="1"/>
  <c r="E127"/>
  <c r="I127" s="1"/>
  <c r="E128"/>
  <c r="I128" s="1"/>
  <c r="E129"/>
  <c r="I129" s="1"/>
  <c r="E130"/>
  <c r="I130" s="1"/>
  <c r="E131"/>
  <c r="I131" s="1"/>
  <c r="E132"/>
  <c r="I132" s="1"/>
  <c r="E133"/>
  <c r="I133" s="1"/>
  <c r="E134"/>
  <c r="I134" s="1"/>
  <c r="E135"/>
  <c r="I135" s="1"/>
  <c r="E136"/>
  <c r="I136" s="1"/>
  <c r="E137"/>
  <c r="I137" s="1"/>
  <c r="E138"/>
  <c r="I138" s="1"/>
  <c r="E139"/>
  <c r="I139" s="1"/>
  <c r="E140"/>
  <c r="I140" s="1"/>
  <c r="E141"/>
  <c r="I141" s="1"/>
  <c r="E142"/>
  <c r="I142" s="1"/>
  <c r="E143"/>
  <c r="I143" s="1"/>
  <c r="E144"/>
  <c r="I144" s="1"/>
  <c r="E145"/>
  <c r="I145" s="1"/>
  <c r="E146"/>
  <c r="I146" s="1"/>
  <c r="E147"/>
  <c r="I147" s="1"/>
  <c r="E148"/>
  <c r="I148" s="1"/>
  <c r="E149"/>
  <c r="I149" s="1"/>
  <c r="E150"/>
  <c r="I150" s="1"/>
  <c r="E151"/>
  <c r="I151" s="1"/>
  <c r="E152"/>
  <c r="I152" s="1"/>
  <c r="E153"/>
  <c r="I153" s="1"/>
  <c r="E154"/>
  <c r="I154" s="1"/>
  <c r="E155"/>
  <c r="I155" s="1"/>
  <c r="E156"/>
  <c r="I156" s="1"/>
  <c r="E157"/>
  <c r="I157" s="1"/>
  <c r="E158"/>
  <c r="I158" s="1"/>
  <c r="E159"/>
  <c r="I159" s="1"/>
  <c r="E160"/>
  <c r="I160" s="1"/>
  <c r="E161"/>
  <c r="I161" s="1"/>
  <c r="E162"/>
  <c r="I162" s="1"/>
  <c r="E163"/>
  <c r="I163" s="1"/>
  <c r="E164"/>
  <c r="I164" s="1"/>
  <c r="E165"/>
  <c r="I165" s="1"/>
  <c r="E166"/>
  <c r="I166" s="1"/>
  <c r="E167"/>
  <c r="I167" s="1"/>
  <c r="E168"/>
  <c r="I168" s="1"/>
  <c r="E169"/>
  <c r="I169" s="1"/>
  <c r="E170"/>
  <c r="I170" s="1"/>
  <c r="E171"/>
  <c r="I171" s="1"/>
  <c r="E172"/>
  <c r="I172" s="1"/>
  <c r="E173"/>
  <c r="I173" s="1"/>
  <c r="E174"/>
  <c r="I174" s="1"/>
  <c r="E175"/>
  <c r="I175" s="1"/>
  <c r="E176"/>
  <c r="I176" s="1"/>
  <c r="E177"/>
  <c r="I177" s="1"/>
  <c r="E178"/>
  <c r="I178" s="1"/>
  <c r="E179"/>
  <c r="I179" s="1"/>
  <c r="E180"/>
  <c r="I180" s="1"/>
  <c r="E181"/>
  <c r="I181" s="1"/>
  <c r="E182"/>
  <c r="I182" s="1"/>
  <c r="E183"/>
  <c r="I183" s="1"/>
  <c r="E184"/>
  <c r="I184" s="1"/>
  <c r="E185"/>
  <c r="I185" s="1"/>
  <c r="E186"/>
  <c r="I186" s="1"/>
  <c r="E187"/>
  <c r="I187" s="1"/>
  <c r="E188"/>
  <c r="I188" s="1"/>
  <c r="E189"/>
  <c r="I189" s="1"/>
  <c r="E190"/>
  <c r="I190" s="1"/>
  <c r="E191"/>
  <c r="I191" s="1"/>
  <c r="E192"/>
  <c r="I192" s="1"/>
  <c r="E193"/>
  <c r="I193" s="1"/>
  <c r="E194"/>
  <c r="I194" s="1"/>
  <c r="E195"/>
  <c r="I195" s="1"/>
  <c r="E196"/>
  <c r="I196" s="1"/>
  <c r="E197"/>
  <c r="I197" s="1"/>
  <c r="E198"/>
  <c r="I198" s="1"/>
  <c r="E199"/>
  <c r="I199" s="1"/>
  <c r="E200"/>
  <c r="I200" s="1"/>
  <c r="E201"/>
  <c r="I201" s="1"/>
  <c r="E202"/>
  <c r="I202" s="1"/>
  <c r="E203"/>
  <c r="I203" s="1"/>
  <c r="E204"/>
  <c r="I204" s="1"/>
  <c r="E205"/>
  <c r="I205" s="1"/>
  <c r="E206"/>
  <c r="I206" s="1"/>
  <c r="E207"/>
  <c r="I207" s="1"/>
  <c r="E208"/>
  <c r="I208" s="1"/>
  <c r="E209"/>
  <c r="I209" s="1"/>
  <c r="E210"/>
  <c r="I210" s="1"/>
  <c r="E211"/>
  <c r="I211" s="1"/>
  <c r="E212"/>
  <c r="I212" s="1"/>
  <c r="E213"/>
  <c r="I213" s="1"/>
  <c r="E214"/>
  <c r="I214" s="1"/>
  <c r="E215"/>
  <c r="I215" s="1"/>
  <c r="E216"/>
  <c r="I216" s="1"/>
  <c r="E217"/>
  <c r="I217" s="1"/>
  <c r="E218"/>
  <c r="I218" s="1"/>
  <c r="E219"/>
  <c r="I219" s="1"/>
  <c r="E220"/>
  <c r="I220" s="1"/>
  <c r="E221"/>
  <c r="I221" s="1"/>
  <c r="E222"/>
  <c r="I222" s="1"/>
  <c r="E223"/>
  <c r="I223" s="1"/>
  <c r="E224"/>
  <c r="I224" s="1"/>
  <c r="E225"/>
  <c r="I225" s="1"/>
  <c r="E226"/>
  <c r="I226" s="1"/>
  <c r="E227"/>
  <c r="I227" s="1"/>
  <c r="E228"/>
  <c r="I228" s="1"/>
  <c r="E229"/>
  <c r="I229" s="1"/>
  <c r="E230"/>
  <c r="I230" s="1"/>
  <c r="E231"/>
  <c r="I231" s="1"/>
  <c r="E232"/>
  <c r="I232" s="1"/>
  <c r="E233"/>
  <c r="I233" s="1"/>
  <c r="E234"/>
  <c r="I234" s="1"/>
  <c r="E235"/>
  <c r="I235" s="1"/>
  <c r="E236"/>
  <c r="I236" s="1"/>
  <c r="E237"/>
  <c r="I237" s="1"/>
  <c r="E238"/>
  <c r="I238" s="1"/>
  <c r="E239"/>
  <c r="I239" s="1"/>
  <c r="E240"/>
  <c r="I240" s="1"/>
  <c r="E241"/>
  <c r="I241" s="1"/>
  <c r="E242"/>
  <c r="I242" s="1"/>
  <c r="E243"/>
  <c r="I243" s="1"/>
  <c r="E244"/>
  <c r="I244" s="1"/>
  <c r="E245"/>
  <c r="I245" s="1"/>
  <c r="E246"/>
  <c r="I246" s="1"/>
  <c r="E247"/>
  <c r="I247" s="1"/>
  <c r="E248"/>
  <c r="I248" s="1"/>
  <c r="E249"/>
  <c r="I249" s="1"/>
  <c r="E250"/>
  <c r="I250" s="1"/>
  <c r="E251"/>
  <c r="I251" s="1"/>
  <c r="E252"/>
  <c r="I252" s="1"/>
  <c r="E253"/>
  <c r="I253" s="1"/>
  <c r="E254"/>
  <c r="I254" s="1"/>
  <c r="E255"/>
  <c r="I255" s="1"/>
  <c r="E256"/>
  <c r="I256" s="1"/>
  <c r="E257"/>
  <c r="I257" s="1"/>
  <c r="E258"/>
  <c r="I258" s="1"/>
  <c r="E259"/>
  <c r="I259" s="1"/>
  <c r="E260"/>
  <c r="I260" s="1"/>
  <c r="E261"/>
  <c r="I261" s="1"/>
  <c r="E262"/>
  <c r="I262" s="1"/>
  <c r="E263"/>
  <c r="I263" s="1"/>
  <c r="E264"/>
  <c r="I264" s="1"/>
  <c r="E265"/>
  <c r="I265" s="1"/>
  <c r="E266"/>
  <c r="I266" s="1"/>
  <c r="E267"/>
  <c r="I267" s="1"/>
  <c r="E268"/>
  <c r="I268" s="1"/>
  <c r="E269"/>
  <c r="I269" s="1"/>
  <c r="E270"/>
  <c r="I270" s="1"/>
  <c r="E271"/>
  <c r="I271" s="1"/>
  <c r="E272"/>
  <c r="I272" s="1"/>
  <c r="E273"/>
  <c r="I273" s="1"/>
  <c r="E274"/>
  <c r="I274" s="1"/>
  <c r="E275"/>
  <c r="I275" s="1"/>
  <c r="E276"/>
  <c r="I276" s="1"/>
  <c r="E277"/>
  <c r="I277" s="1"/>
  <c r="E278"/>
  <c r="I278" s="1"/>
  <c r="E279"/>
  <c r="I279" s="1"/>
  <c r="E280"/>
  <c r="I280" s="1"/>
  <c r="E281"/>
  <c r="I281" s="1"/>
  <c r="E282"/>
  <c r="I282" s="1"/>
  <c r="E283"/>
  <c r="I283" s="1"/>
  <c r="E284"/>
  <c r="I284" s="1"/>
  <c r="E285"/>
  <c r="I285" s="1"/>
  <c r="E286"/>
  <c r="I286" s="1"/>
  <c r="E287"/>
  <c r="I287" s="1"/>
  <c r="E288"/>
  <c r="I288" s="1"/>
  <c r="E289"/>
  <c r="I289" s="1"/>
  <c r="E290"/>
  <c r="I290" s="1"/>
  <c r="E291"/>
  <c r="I291" s="1"/>
  <c r="E292"/>
  <c r="I292" s="1"/>
  <c r="E293"/>
  <c r="I293" s="1"/>
  <c r="E294"/>
  <c r="I294" s="1"/>
  <c r="E295"/>
  <c r="I295" s="1"/>
  <c r="E296"/>
  <c r="I296" s="1"/>
  <c r="E297"/>
  <c r="I297" s="1"/>
  <c r="E298"/>
  <c r="I298" s="1"/>
  <c r="E299"/>
  <c r="I299" s="1"/>
  <c r="E300"/>
  <c r="I300" s="1"/>
  <c r="E301"/>
  <c r="I301" s="1"/>
  <c r="E302"/>
  <c r="I302" s="1"/>
  <c r="E303"/>
  <c r="I303" s="1"/>
  <c r="E304"/>
  <c r="I304" s="1"/>
  <c r="E305"/>
  <c r="I305" s="1"/>
  <c r="E306"/>
  <c r="I306" s="1"/>
  <c r="E307"/>
  <c r="I307" s="1"/>
  <c r="E308"/>
  <c r="I308" s="1"/>
  <c r="E309"/>
  <c r="I309" s="1"/>
  <c r="E310"/>
  <c r="I310" s="1"/>
  <c r="E311"/>
  <c r="I311" s="1"/>
  <c r="E312"/>
  <c r="I312" s="1"/>
  <c r="E313"/>
  <c r="I313" s="1"/>
  <c r="E314"/>
  <c r="I314" s="1"/>
  <c r="E315"/>
  <c r="I315" s="1"/>
  <c r="E316"/>
  <c r="I316" s="1"/>
  <c r="E317"/>
  <c r="I317" s="1"/>
  <c r="E318"/>
  <c r="I318" s="1"/>
  <c r="E4"/>
  <c r="B5"/>
  <c r="B6" s="1"/>
  <c r="G4" i="5"/>
  <c r="F4"/>
  <c r="H4"/>
  <c r="D4"/>
  <c r="E4" s="1"/>
  <c r="B5"/>
  <c r="F5" s="1"/>
  <c r="F311" i="6" l="1"/>
  <c r="F295"/>
  <c r="F279"/>
  <c r="F263"/>
  <c r="F247"/>
  <c r="F231"/>
  <c r="F215"/>
  <c r="F199"/>
  <c r="F183"/>
  <c r="F167"/>
  <c r="F151"/>
  <c r="F135"/>
  <c r="F119"/>
  <c r="F103"/>
  <c r="F87"/>
  <c r="F71"/>
  <c r="F55"/>
  <c r="F39"/>
  <c r="F23"/>
  <c r="F7"/>
  <c r="F315"/>
  <c r="F299"/>
  <c r="F283"/>
  <c r="F267"/>
  <c r="F251"/>
  <c r="F235"/>
  <c r="F219"/>
  <c r="F203"/>
  <c r="F187"/>
  <c r="F171"/>
  <c r="F155"/>
  <c r="F139"/>
  <c r="F123"/>
  <c r="F107"/>
  <c r="F91"/>
  <c r="F75"/>
  <c r="F59"/>
  <c r="F43"/>
  <c r="F27"/>
  <c r="F11"/>
  <c r="F317"/>
  <c r="F313"/>
  <c r="F309"/>
  <c r="F305"/>
  <c r="F301"/>
  <c r="F297"/>
  <c r="F293"/>
  <c r="F289"/>
  <c r="F285"/>
  <c r="F281"/>
  <c r="F277"/>
  <c r="F273"/>
  <c r="F269"/>
  <c r="F265"/>
  <c r="F261"/>
  <c r="F257"/>
  <c r="F253"/>
  <c r="F249"/>
  <c r="F245"/>
  <c r="F241"/>
  <c r="F237"/>
  <c r="F233"/>
  <c r="F229"/>
  <c r="F225"/>
  <c r="F221"/>
  <c r="F217"/>
  <c r="F213"/>
  <c r="F209"/>
  <c r="F205"/>
  <c r="F201"/>
  <c r="F197"/>
  <c r="F193"/>
  <c r="F189"/>
  <c r="F185"/>
  <c r="F181"/>
  <c r="F177"/>
  <c r="F173"/>
  <c r="F169"/>
  <c r="F165"/>
  <c r="F161"/>
  <c r="F157"/>
  <c r="F153"/>
  <c r="F149"/>
  <c r="F145"/>
  <c r="F141"/>
  <c r="F137"/>
  <c r="F133"/>
  <c r="F129"/>
  <c r="F125"/>
  <c r="F121"/>
  <c r="F117"/>
  <c r="F113"/>
  <c r="F109"/>
  <c r="F105"/>
  <c r="F101"/>
  <c r="F97"/>
  <c r="F93"/>
  <c r="F89"/>
  <c r="F85"/>
  <c r="F81"/>
  <c r="F77"/>
  <c r="F73"/>
  <c r="F69"/>
  <c r="F65"/>
  <c r="F61"/>
  <c r="F57"/>
  <c r="F53"/>
  <c r="F49"/>
  <c r="F45"/>
  <c r="F41"/>
  <c r="F37"/>
  <c r="F33"/>
  <c r="F29"/>
  <c r="F25"/>
  <c r="F21"/>
  <c r="F17"/>
  <c r="F13"/>
  <c r="F9"/>
  <c r="F5"/>
  <c r="B7"/>
  <c r="H6"/>
  <c r="J6" s="1"/>
  <c r="L6" s="1"/>
  <c r="F318"/>
  <c r="F314"/>
  <c r="F310"/>
  <c r="F306"/>
  <c r="F302"/>
  <c r="F298"/>
  <c r="F294"/>
  <c r="F290"/>
  <c r="F286"/>
  <c r="F282"/>
  <c r="F278"/>
  <c r="F274"/>
  <c r="F270"/>
  <c r="F266"/>
  <c r="F262"/>
  <c r="F258"/>
  <c r="F254"/>
  <c r="F250"/>
  <c r="F246"/>
  <c r="F242"/>
  <c r="F238"/>
  <c r="F234"/>
  <c r="F230"/>
  <c r="F226"/>
  <c r="F222"/>
  <c r="F218"/>
  <c r="F214"/>
  <c r="F210"/>
  <c r="F206"/>
  <c r="F202"/>
  <c r="F198"/>
  <c r="F194"/>
  <c r="F190"/>
  <c r="F186"/>
  <c r="F182"/>
  <c r="F178"/>
  <c r="F174"/>
  <c r="F170"/>
  <c r="F166"/>
  <c r="F162"/>
  <c r="F158"/>
  <c r="F154"/>
  <c r="F150"/>
  <c r="F146"/>
  <c r="F142"/>
  <c r="F138"/>
  <c r="F134"/>
  <c r="F130"/>
  <c r="F126"/>
  <c r="F122"/>
  <c r="F118"/>
  <c r="F114"/>
  <c r="F110"/>
  <c r="F106"/>
  <c r="F102"/>
  <c r="F98"/>
  <c r="F94"/>
  <c r="F90"/>
  <c r="F86"/>
  <c r="F82"/>
  <c r="F78"/>
  <c r="F74"/>
  <c r="F70"/>
  <c r="F66"/>
  <c r="F62"/>
  <c r="F58"/>
  <c r="F54"/>
  <c r="F50"/>
  <c r="F46"/>
  <c r="F42"/>
  <c r="F38"/>
  <c r="F34"/>
  <c r="F30"/>
  <c r="F26"/>
  <c r="F22"/>
  <c r="F18"/>
  <c r="F14"/>
  <c r="F10"/>
  <c r="F6"/>
  <c r="F316"/>
  <c r="F312"/>
  <c r="F308"/>
  <c r="F304"/>
  <c r="F300"/>
  <c r="F296"/>
  <c r="F292"/>
  <c r="F288"/>
  <c r="F284"/>
  <c r="F280"/>
  <c r="F276"/>
  <c r="F272"/>
  <c r="F268"/>
  <c r="F264"/>
  <c r="F260"/>
  <c r="F256"/>
  <c r="F252"/>
  <c r="F248"/>
  <c r="F244"/>
  <c r="F240"/>
  <c r="F236"/>
  <c r="F232"/>
  <c r="F228"/>
  <c r="F224"/>
  <c r="F220"/>
  <c r="F216"/>
  <c r="F212"/>
  <c r="F208"/>
  <c r="F204"/>
  <c r="F200"/>
  <c r="F196"/>
  <c r="F192"/>
  <c r="F188"/>
  <c r="F184"/>
  <c r="F180"/>
  <c r="F176"/>
  <c r="F172"/>
  <c r="F168"/>
  <c r="F164"/>
  <c r="F160"/>
  <c r="F156"/>
  <c r="F152"/>
  <c r="F148"/>
  <c r="F144"/>
  <c r="F140"/>
  <c r="F136"/>
  <c r="F132"/>
  <c r="F128"/>
  <c r="F124"/>
  <c r="F120"/>
  <c r="F116"/>
  <c r="F112"/>
  <c r="F108"/>
  <c r="F104"/>
  <c r="F100"/>
  <c r="F96"/>
  <c r="F92"/>
  <c r="F88"/>
  <c r="F84"/>
  <c r="F80"/>
  <c r="F76"/>
  <c r="F72"/>
  <c r="F68"/>
  <c r="F64"/>
  <c r="F60"/>
  <c r="F56"/>
  <c r="F52"/>
  <c r="F48"/>
  <c r="F44"/>
  <c r="F40"/>
  <c r="F36"/>
  <c r="F32"/>
  <c r="F28"/>
  <c r="F24"/>
  <c r="F20"/>
  <c r="F16"/>
  <c r="F12"/>
  <c r="F8"/>
  <c r="H5"/>
  <c r="J5" s="1"/>
  <c r="H5" i="5"/>
  <c r="G5"/>
  <c r="D5"/>
  <c r="E5" s="1"/>
  <c r="B6"/>
  <c r="L5" i="6" l="1"/>
  <c r="K5"/>
  <c r="K6" s="1"/>
  <c r="B8"/>
  <c r="H7"/>
  <c r="J7" s="1"/>
  <c r="L7" s="1"/>
  <c r="B7" i="5"/>
  <c r="F6"/>
  <c r="G6"/>
  <c r="H6"/>
  <c r="D6"/>
  <c r="E6" s="1"/>
  <c r="M5" i="6" l="1"/>
  <c r="M6" s="1"/>
  <c r="M7" s="1"/>
  <c r="K7"/>
  <c r="B9"/>
  <c r="H8"/>
  <c r="B8" i="5"/>
  <c r="G7"/>
  <c r="H7"/>
  <c r="D7"/>
  <c r="E7" s="1"/>
  <c r="F7"/>
  <c r="K8" i="6" l="1"/>
  <c r="B10"/>
  <c r="H9"/>
  <c r="L9" s="1"/>
  <c r="L8"/>
  <c r="B9" i="5"/>
  <c r="H8"/>
  <c r="D8"/>
  <c r="E8" s="1"/>
  <c r="F8"/>
  <c r="G8"/>
  <c r="M8" i="6" l="1"/>
  <c r="M9" s="1"/>
  <c r="K9"/>
  <c r="B11"/>
  <c r="H10"/>
  <c r="J10" s="1"/>
  <c r="B10" i="5"/>
  <c r="F9"/>
  <c r="H9"/>
  <c r="G9"/>
  <c r="D9"/>
  <c r="E9" s="1"/>
  <c r="B12" i="6" l="1"/>
  <c r="H11"/>
  <c r="J11" s="1"/>
  <c r="L11" s="1"/>
  <c r="L10"/>
  <c r="K10"/>
  <c r="B11" i="5"/>
  <c r="F10"/>
  <c r="G10"/>
  <c r="H10"/>
  <c r="D10"/>
  <c r="E10" s="1"/>
  <c r="M10" i="6" l="1"/>
  <c r="M11" s="1"/>
  <c r="B13"/>
  <c r="H12"/>
  <c r="J12" s="1"/>
  <c r="K11"/>
  <c r="B12" i="5"/>
  <c r="G11"/>
  <c r="H11"/>
  <c r="D11"/>
  <c r="E11" s="1"/>
  <c r="F11"/>
  <c r="B14" i="6" l="1"/>
  <c r="H13"/>
  <c r="J13" s="1"/>
  <c r="L13" s="1"/>
  <c r="L12"/>
  <c r="K12"/>
  <c r="K13" s="1"/>
  <c r="B13" i="5"/>
  <c r="H12"/>
  <c r="F12"/>
  <c r="D12"/>
  <c r="E12" s="1"/>
  <c r="G12"/>
  <c r="M12" i="6" l="1"/>
  <c r="M13" s="1"/>
  <c r="B15"/>
  <c r="H14"/>
  <c r="J14" s="1"/>
  <c r="K14" s="1"/>
  <c r="B14" i="5"/>
  <c r="F13"/>
  <c r="G13"/>
  <c r="H13"/>
  <c r="D13"/>
  <c r="E13" s="1"/>
  <c r="K15" i="6" l="1"/>
  <c r="B16"/>
  <c r="H15"/>
  <c r="J15" s="1"/>
  <c r="L15" s="1"/>
  <c r="L14"/>
  <c r="B15" i="5"/>
  <c r="F14"/>
  <c r="G14"/>
  <c r="H14"/>
  <c r="D14"/>
  <c r="E14" s="1"/>
  <c r="M14" i="6" l="1"/>
  <c r="M15" s="1"/>
  <c r="M16" s="1"/>
  <c r="B17"/>
  <c r="H16"/>
  <c r="J16" s="1"/>
  <c r="L16" s="1"/>
  <c r="B16" i="5"/>
  <c r="G15"/>
  <c r="H15"/>
  <c r="D15"/>
  <c r="E15" s="1"/>
  <c r="F15"/>
  <c r="K16" i="6" l="1"/>
  <c r="B18"/>
  <c r="H17"/>
  <c r="J17" s="1"/>
  <c r="L17" s="1"/>
  <c r="M17" s="1"/>
  <c r="B17" i="5"/>
  <c r="H16"/>
  <c r="D16"/>
  <c r="E16" s="1"/>
  <c r="F16"/>
  <c r="G16"/>
  <c r="M18" i="6" l="1"/>
  <c r="B19"/>
  <c r="H18"/>
  <c r="J18" s="1"/>
  <c r="L18" s="1"/>
  <c r="K17"/>
  <c r="B18" i="5"/>
  <c r="F17"/>
  <c r="D17"/>
  <c r="E17" s="1"/>
  <c r="G17"/>
  <c r="H17"/>
  <c r="K18" i="6" l="1"/>
  <c r="B20"/>
  <c r="H19"/>
  <c r="J19" s="1"/>
  <c r="L19" s="1"/>
  <c r="M19" s="1"/>
  <c r="B19" i="5"/>
  <c r="F18"/>
  <c r="G18"/>
  <c r="H18"/>
  <c r="D18"/>
  <c r="E18" s="1"/>
  <c r="K19" i="6" l="1"/>
  <c r="B21"/>
  <c r="H20"/>
  <c r="J20" s="1"/>
  <c r="L20" s="1"/>
  <c r="M20" s="1"/>
  <c r="B20" i="5"/>
  <c r="G19"/>
  <c r="H19"/>
  <c r="D19"/>
  <c r="E19" s="1"/>
  <c r="F19"/>
  <c r="B22" i="6" l="1"/>
  <c r="H21"/>
  <c r="J21" s="1"/>
  <c r="L21" s="1"/>
  <c r="M21" s="1"/>
  <c r="K20"/>
  <c r="B21" i="5"/>
  <c r="H20"/>
  <c r="F20"/>
  <c r="D20"/>
  <c r="E20" s="1"/>
  <c r="G20"/>
  <c r="K21" i="6" l="1"/>
  <c r="M22"/>
  <c r="B23"/>
  <c r="H22"/>
  <c r="J22" s="1"/>
  <c r="L22" s="1"/>
  <c r="K22"/>
  <c r="B22" i="5"/>
  <c r="F21"/>
  <c r="H21"/>
  <c r="G21"/>
  <c r="D21"/>
  <c r="E21" s="1"/>
  <c r="B24" i="6" l="1"/>
  <c r="H23"/>
  <c r="J23" s="1"/>
  <c r="L23" s="1"/>
  <c r="M23" s="1"/>
  <c r="B23" i="5"/>
  <c r="F22"/>
  <c r="G22"/>
  <c r="H22"/>
  <c r="D22"/>
  <c r="E22" s="1"/>
  <c r="K23" i="6" l="1"/>
  <c r="B25"/>
  <c r="H24"/>
  <c r="J24" s="1"/>
  <c r="L24" s="1"/>
  <c r="M24" s="1"/>
  <c r="B24" i="5"/>
  <c r="G23"/>
  <c r="H23"/>
  <c r="D23"/>
  <c r="E23" s="1"/>
  <c r="F23"/>
  <c r="B26" i="6" l="1"/>
  <c r="H25"/>
  <c r="J25" s="1"/>
  <c r="L25" s="1"/>
  <c r="M25" s="1"/>
  <c r="K24"/>
  <c r="B25" i="5"/>
  <c r="H24"/>
  <c r="F24"/>
  <c r="G24"/>
  <c r="D24"/>
  <c r="E24" s="1"/>
  <c r="K25" i="6" l="1"/>
  <c r="B27"/>
  <c r="H26"/>
  <c r="J26" s="1"/>
  <c r="L26" s="1"/>
  <c r="M26" s="1"/>
  <c r="B26" i="5"/>
  <c r="F25"/>
  <c r="D25"/>
  <c r="E25" s="1"/>
  <c r="G25"/>
  <c r="H25"/>
  <c r="K26" i="6" l="1"/>
  <c r="B28"/>
  <c r="H27"/>
  <c r="J27" s="1"/>
  <c r="L27" s="1"/>
  <c r="M27" s="1"/>
  <c r="B27" i="5"/>
  <c r="F26"/>
  <c r="G26"/>
  <c r="H26"/>
  <c r="D26"/>
  <c r="E26" s="1"/>
  <c r="B29" i="6" l="1"/>
  <c r="H28"/>
  <c r="J28" s="1"/>
  <c r="L28" s="1"/>
  <c r="M28" s="1"/>
  <c r="K27"/>
  <c r="B28" i="5"/>
  <c r="G27"/>
  <c r="H27"/>
  <c r="D27"/>
  <c r="E27" s="1"/>
  <c r="F27"/>
  <c r="M29" i="6" l="1"/>
  <c r="K28"/>
  <c r="K29" s="1"/>
  <c r="B30"/>
  <c r="H29"/>
  <c r="J29" s="1"/>
  <c r="L29" s="1"/>
  <c r="B29" i="5"/>
  <c r="H28"/>
  <c r="D28"/>
  <c r="E28" s="1"/>
  <c r="F28"/>
  <c r="G28"/>
  <c r="M30" i="6" l="1"/>
  <c r="K30"/>
  <c r="B31"/>
  <c r="H30"/>
  <c r="J30" s="1"/>
  <c r="L30" s="1"/>
  <c r="B30" i="5"/>
  <c r="F29"/>
  <c r="H29"/>
  <c r="G29"/>
  <c r="D29"/>
  <c r="E29" s="1"/>
  <c r="B32" i="6" l="1"/>
  <c r="H31"/>
  <c r="J31" s="1"/>
  <c r="L31" s="1"/>
  <c r="M31" s="1"/>
  <c r="B31" i="5"/>
  <c r="F30"/>
  <c r="G30"/>
  <c r="H30"/>
  <c r="D30"/>
  <c r="E30" s="1"/>
  <c r="B33" i="6" l="1"/>
  <c r="H32"/>
  <c r="J32" s="1"/>
  <c r="L32" s="1"/>
  <c r="M32" s="1"/>
  <c r="K31"/>
  <c r="B32" i="5"/>
  <c r="G31"/>
  <c r="H31"/>
  <c r="D31"/>
  <c r="E31" s="1"/>
  <c r="F31"/>
  <c r="B34" i="6" l="1"/>
  <c r="H33"/>
  <c r="J33" s="1"/>
  <c r="L33" s="1"/>
  <c r="M33" s="1"/>
  <c r="K32"/>
  <c r="B33" i="5"/>
  <c r="H32"/>
  <c r="F32"/>
  <c r="D32"/>
  <c r="E32" s="1"/>
  <c r="G32"/>
  <c r="B35" i="6" l="1"/>
  <c r="H34"/>
  <c r="J34" s="1"/>
  <c r="L34" s="1"/>
  <c r="M34" s="1"/>
  <c r="K33"/>
  <c r="B34" i="5"/>
  <c r="F33"/>
  <c r="D33"/>
  <c r="E33" s="1"/>
  <c r="G33"/>
  <c r="H33"/>
  <c r="B36" i="6" l="1"/>
  <c r="H35"/>
  <c r="J35" s="1"/>
  <c r="L35" s="1"/>
  <c r="M35" s="1"/>
  <c r="K34"/>
  <c r="B35" i="5"/>
  <c r="F34"/>
  <c r="G34"/>
  <c r="H34"/>
  <c r="D34"/>
  <c r="E34" s="1"/>
  <c r="M36" i="6" l="1"/>
  <c r="B37"/>
  <c r="H36"/>
  <c r="J36" s="1"/>
  <c r="L36" s="1"/>
  <c r="K35"/>
  <c r="B36" i="5"/>
  <c r="G35"/>
  <c r="H35"/>
  <c r="D35"/>
  <c r="E35" s="1"/>
  <c r="F35"/>
  <c r="B38" i="6" l="1"/>
  <c r="H37"/>
  <c r="J37" s="1"/>
  <c r="L37" s="1"/>
  <c r="M37" s="1"/>
  <c r="K36"/>
  <c r="B37" i="5"/>
  <c r="H36"/>
  <c r="F36"/>
  <c r="D36"/>
  <c r="E36" s="1"/>
  <c r="G36"/>
  <c r="K37" i="6" l="1"/>
  <c r="M38"/>
  <c r="B39"/>
  <c r="H38"/>
  <c r="J38" s="1"/>
  <c r="L38" s="1"/>
  <c r="K38"/>
  <c r="B38" i="5"/>
  <c r="F37"/>
  <c r="G37"/>
  <c r="H37"/>
  <c r="D37"/>
  <c r="E37" s="1"/>
  <c r="M39" i="6" l="1"/>
  <c r="B40"/>
  <c r="H39"/>
  <c r="J39" s="1"/>
  <c r="L39" s="1"/>
  <c r="B39" i="5"/>
  <c r="F38"/>
  <c r="G38"/>
  <c r="H38"/>
  <c r="D38"/>
  <c r="E38" s="1"/>
  <c r="K39" i="6" l="1"/>
  <c r="M40"/>
  <c r="B41"/>
  <c r="H40"/>
  <c r="J40" s="1"/>
  <c r="L40" s="1"/>
  <c r="B40" i="5"/>
  <c r="G39"/>
  <c r="H39"/>
  <c r="D39"/>
  <c r="E39" s="1"/>
  <c r="F39"/>
  <c r="B42" i="6" l="1"/>
  <c r="H41"/>
  <c r="J41" s="1"/>
  <c r="L41" s="1"/>
  <c r="M41" s="1"/>
  <c r="K40"/>
  <c r="B41" i="5"/>
  <c r="H40"/>
  <c r="D40"/>
  <c r="E40" s="1"/>
  <c r="F40"/>
  <c r="G40"/>
  <c r="B43" i="6" l="1"/>
  <c r="H42"/>
  <c r="J42" s="1"/>
  <c r="L42" s="1"/>
  <c r="M42" s="1"/>
  <c r="K41"/>
  <c r="B42" i="5"/>
  <c r="F41"/>
  <c r="H41"/>
  <c r="G41"/>
  <c r="D41"/>
  <c r="E41" s="1"/>
  <c r="K42" i="6" l="1"/>
  <c r="M43"/>
  <c r="B44"/>
  <c r="H43"/>
  <c r="J43" s="1"/>
  <c r="L43" s="1"/>
  <c r="F42" i="5"/>
  <c r="G42"/>
  <c r="H42"/>
  <c r="D42"/>
  <c r="E42" s="1"/>
  <c r="B43"/>
  <c r="B45" i="6" l="1"/>
  <c r="H44"/>
  <c r="J44" s="1"/>
  <c r="L44" s="1"/>
  <c r="M44" s="1"/>
  <c r="K43"/>
  <c r="K44" s="1"/>
  <c r="B44" i="5"/>
  <c r="G43"/>
  <c r="H43"/>
  <c r="D43"/>
  <c r="E43" s="1"/>
  <c r="F43"/>
  <c r="M45" i="6" l="1"/>
  <c r="B46"/>
  <c r="H45"/>
  <c r="J45" s="1"/>
  <c r="L45" s="1"/>
  <c r="B45" i="5"/>
  <c r="H44"/>
  <c r="F44"/>
  <c r="G44"/>
  <c r="D44"/>
  <c r="E44" s="1"/>
  <c r="M46" i="6" l="1"/>
  <c r="B47"/>
  <c r="H46"/>
  <c r="J46" s="1"/>
  <c r="L46" s="1"/>
  <c r="K45"/>
  <c r="B46" i="5"/>
  <c r="F45"/>
  <c r="D45"/>
  <c r="E45" s="1"/>
  <c r="G45"/>
  <c r="H45"/>
  <c r="K46" i="6" l="1"/>
  <c r="M47"/>
  <c r="B48"/>
  <c r="H47"/>
  <c r="J47" s="1"/>
  <c r="L47" s="1"/>
  <c r="K47"/>
  <c r="B47" i="5"/>
  <c r="F46"/>
  <c r="G46"/>
  <c r="H46"/>
  <c r="D46"/>
  <c r="E46" s="1"/>
  <c r="B49" i="6" l="1"/>
  <c r="H48"/>
  <c r="J48" s="1"/>
  <c r="L48" s="1"/>
  <c r="M48" s="1"/>
  <c r="B48" i="5"/>
  <c r="G47"/>
  <c r="H47"/>
  <c r="D47"/>
  <c r="E47" s="1"/>
  <c r="F47"/>
  <c r="K48" i="6" l="1"/>
  <c r="K49" s="1"/>
  <c r="M49"/>
  <c r="B50"/>
  <c r="H49"/>
  <c r="J49" s="1"/>
  <c r="L49" s="1"/>
  <c r="B49" i="5"/>
  <c r="H48"/>
  <c r="F48"/>
  <c r="D48"/>
  <c r="E48" s="1"/>
  <c r="G48"/>
  <c r="M50" i="6" l="1"/>
  <c r="B51"/>
  <c r="H50"/>
  <c r="J50" s="1"/>
  <c r="L50" s="1"/>
  <c r="B50" i="5"/>
  <c r="F49"/>
  <c r="G49"/>
  <c r="H49"/>
  <c r="D49"/>
  <c r="E49" s="1"/>
  <c r="B52" i="6" l="1"/>
  <c r="H51"/>
  <c r="J51" s="1"/>
  <c r="L51" s="1"/>
  <c r="M51" s="1"/>
  <c r="K50"/>
  <c r="B51" i="5"/>
  <c r="F50"/>
  <c r="G50"/>
  <c r="H50"/>
  <c r="D50"/>
  <c r="E50" s="1"/>
  <c r="K51" i="6" l="1"/>
  <c r="M52"/>
  <c r="B53"/>
  <c r="H52"/>
  <c r="J52" s="1"/>
  <c r="L52" s="1"/>
  <c r="K52"/>
  <c r="B52" i="5"/>
  <c r="G51"/>
  <c r="H51"/>
  <c r="D51"/>
  <c r="E51" s="1"/>
  <c r="F51"/>
  <c r="M53" i="6" l="1"/>
  <c r="B54"/>
  <c r="H53"/>
  <c r="J53" s="1"/>
  <c r="L53" s="1"/>
  <c r="B53" i="5"/>
  <c r="H52"/>
  <c r="D52"/>
  <c r="E52" s="1"/>
  <c r="F52"/>
  <c r="G52"/>
  <c r="B55" i="6" l="1"/>
  <c r="H54"/>
  <c r="J54" s="1"/>
  <c r="L54" s="1"/>
  <c r="M54" s="1"/>
  <c r="K53"/>
  <c r="B54" i="5"/>
  <c r="F53"/>
  <c r="H53"/>
  <c r="D53"/>
  <c r="E53" s="1"/>
  <c r="G53"/>
  <c r="K54" i="6" l="1"/>
  <c r="M55"/>
  <c r="B56"/>
  <c r="H55"/>
  <c r="J55" s="1"/>
  <c r="L55" s="1"/>
  <c r="B55" i="5"/>
  <c r="F54"/>
  <c r="G54"/>
  <c r="H54"/>
  <c r="D54"/>
  <c r="E54" s="1"/>
  <c r="M56" i="6" l="1"/>
  <c r="B57"/>
  <c r="H56"/>
  <c r="J56" s="1"/>
  <c r="L56" s="1"/>
  <c r="K55"/>
  <c r="B56" i="5"/>
  <c r="G55"/>
  <c r="H55"/>
  <c r="D55"/>
  <c r="E55" s="1"/>
  <c r="F55"/>
  <c r="M57" i="6" l="1"/>
  <c r="B58"/>
  <c r="H57"/>
  <c r="J57" s="1"/>
  <c r="L57" s="1"/>
  <c r="K56"/>
  <c r="B57" i="5"/>
  <c r="D56"/>
  <c r="E56" s="1"/>
  <c r="F56"/>
  <c r="H56"/>
  <c r="G56"/>
  <c r="B59" i="6" l="1"/>
  <c r="H58"/>
  <c r="J58" s="1"/>
  <c r="L58" s="1"/>
  <c r="M58" s="1"/>
  <c r="K57"/>
  <c r="B58" i="5"/>
  <c r="F57"/>
  <c r="G57"/>
  <c r="H57"/>
  <c r="D57"/>
  <c r="E57" s="1"/>
  <c r="B60" i="6" l="1"/>
  <c r="H59"/>
  <c r="J59" s="1"/>
  <c r="L59" s="1"/>
  <c r="M59" s="1"/>
  <c r="K58"/>
  <c r="B59" i="5"/>
  <c r="F58"/>
  <c r="G58"/>
  <c r="H58"/>
  <c r="D58"/>
  <c r="E58" s="1"/>
  <c r="M60" i="6" l="1"/>
  <c r="B61"/>
  <c r="H60"/>
  <c r="J60" s="1"/>
  <c r="L60" s="1"/>
  <c r="K59"/>
  <c r="B60" i="5"/>
  <c r="G59"/>
  <c r="H59"/>
  <c r="D59"/>
  <c r="E59" s="1"/>
  <c r="F59"/>
  <c r="B62" i="6" l="1"/>
  <c r="H61"/>
  <c r="J61" s="1"/>
  <c r="L61" s="1"/>
  <c r="M61" s="1"/>
  <c r="K60"/>
  <c r="B61" i="5"/>
  <c r="H60"/>
  <c r="F60"/>
  <c r="G60"/>
  <c r="D60"/>
  <c r="E60" s="1"/>
  <c r="B63" i="6" l="1"/>
  <c r="H62"/>
  <c r="J62" s="1"/>
  <c r="L62" s="1"/>
  <c r="M62" s="1"/>
  <c r="K61"/>
  <c r="B62" i="5"/>
  <c r="H61"/>
  <c r="F61"/>
  <c r="D61"/>
  <c r="E61" s="1"/>
  <c r="G61"/>
  <c r="B64" i="6" l="1"/>
  <c r="H63"/>
  <c r="J63" s="1"/>
  <c r="L63" s="1"/>
  <c r="M63" s="1"/>
  <c r="K62"/>
  <c r="B63" i="5"/>
  <c r="F62"/>
  <c r="G62"/>
  <c r="D62"/>
  <c r="E62" s="1"/>
  <c r="H62"/>
  <c r="B65" i="6" l="1"/>
  <c r="H64"/>
  <c r="J64" s="1"/>
  <c r="L64" s="1"/>
  <c r="M64" s="1"/>
  <c r="K63"/>
  <c r="B64" i="5"/>
  <c r="G63"/>
  <c r="D63"/>
  <c r="E63" s="1"/>
  <c r="H63"/>
  <c r="F63"/>
  <c r="B66" i="6" l="1"/>
  <c r="H65"/>
  <c r="J65" s="1"/>
  <c r="L65" s="1"/>
  <c r="M65" s="1"/>
  <c r="K64"/>
  <c r="H64" i="5"/>
  <c r="F64"/>
  <c r="D64"/>
  <c r="E64" s="1"/>
  <c r="G64"/>
  <c r="B67" i="6" l="1"/>
  <c r="H66"/>
  <c r="J66" s="1"/>
  <c r="L66" s="1"/>
  <c r="M66" s="1"/>
  <c r="K65"/>
  <c r="M67" l="1"/>
  <c r="B68"/>
  <c r="H67"/>
  <c r="J67" s="1"/>
  <c r="L67" s="1"/>
  <c r="K66"/>
  <c r="B69" l="1"/>
  <c r="H68"/>
  <c r="J68" s="1"/>
  <c r="L68" s="1"/>
  <c r="M68" s="1"/>
  <c r="K67"/>
  <c r="M69" l="1"/>
  <c r="B70"/>
  <c r="H69"/>
  <c r="J69" s="1"/>
  <c r="L69" s="1"/>
  <c r="K68"/>
  <c r="B71" l="1"/>
  <c r="H70"/>
  <c r="J70" s="1"/>
  <c r="L70" s="1"/>
  <c r="M70" s="1"/>
  <c r="K69"/>
  <c r="B72" l="1"/>
  <c r="H71"/>
  <c r="J71" s="1"/>
  <c r="L71" s="1"/>
  <c r="M71" s="1"/>
  <c r="K70"/>
  <c r="M72" l="1"/>
  <c r="B73"/>
  <c r="H72"/>
  <c r="J72" s="1"/>
  <c r="L72" s="1"/>
  <c r="K71"/>
  <c r="B74" l="1"/>
  <c r="H73"/>
  <c r="J73" s="1"/>
  <c r="L73" s="1"/>
  <c r="M73" s="1"/>
  <c r="K72"/>
  <c r="B75" l="1"/>
  <c r="H74"/>
  <c r="J74" s="1"/>
  <c r="L74" s="1"/>
  <c r="M74" s="1"/>
  <c r="K73"/>
  <c r="B76" l="1"/>
  <c r="H75"/>
  <c r="J75" s="1"/>
  <c r="L75" s="1"/>
  <c r="M75" s="1"/>
  <c r="K74"/>
  <c r="M76" l="1"/>
  <c r="B77"/>
  <c r="H76"/>
  <c r="J76" s="1"/>
  <c r="L76" s="1"/>
  <c r="K75"/>
  <c r="B78" l="1"/>
  <c r="H77"/>
  <c r="J77" s="1"/>
  <c r="L77" s="1"/>
  <c r="M77" s="1"/>
  <c r="K76"/>
  <c r="B79" l="1"/>
  <c r="H78"/>
  <c r="J78" s="1"/>
  <c r="L78" s="1"/>
  <c r="M78" s="1"/>
  <c r="K77"/>
  <c r="M79" l="1"/>
  <c r="B80"/>
  <c r="H79"/>
  <c r="J79" s="1"/>
  <c r="L79" s="1"/>
  <c r="K78"/>
  <c r="B81" l="1"/>
  <c r="H80"/>
  <c r="J80" s="1"/>
  <c r="L80" s="1"/>
  <c r="M80" s="1"/>
  <c r="K79"/>
  <c r="B82" l="1"/>
  <c r="H81"/>
  <c r="J81" s="1"/>
  <c r="L81" s="1"/>
  <c r="M81" s="1"/>
  <c r="K80"/>
  <c r="M82" l="1"/>
  <c r="B83"/>
  <c r="H82"/>
  <c r="J82" s="1"/>
  <c r="L82" s="1"/>
  <c r="K81"/>
  <c r="B84" l="1"/>
  <c r="H83"/>
  <c r="J83" s="1"/>
  <c r="L83" s="1"/>
  <c r="M83" s="1"/>
  <c r="K82"/>
  <c r="M84" l="1"/>
  <c r="B85"/>
  <c r="H84"/>
  <c r="J84" s="1"/>
  <c r="L84" s="1"/>
  <c r="K83"/>
  <c r="B86" l="1"/>
  <c r="H85"/>
  <c r="J85" s="1"/>
  <c r="L85" s="1"/>
  <c r="M85" s="1"/>
  <c r="K84"/>
  <c r="B87" l="1"/>
  <c r="H86"/>
  <c r="J86" s="1"/>
  <c r="L86" s="1"/>
  <c r="M86" s="1"/>
  <c r="K85"/>
  <c r="M87" l="1"/>
  <c r="B88"/>
  <c r="H87"/>
  <c r="J87" s="1"/>
  <c r="L87" s="1"/>
  <c r="K86"/>
  <c r="B89" l="1"/>
  <c r="H88"/>
  <c r="J88" s="1"/>
  <c r="L88" s="1"/>
  <c r="M88" s="1"/>
  <c r="K87"/>
  <c r="B90" l="1"/>
  <c r="H89"/>
  <c r="J89" s="1"/>
  <c r="L89" s="1"/>
  <c r="M89" s="1"/>
  <c r="K88"/>
  <c r="B91" l="1"/>
  <c r="H90"/>
  <c r="J90" s="1"/>
  <c r="L90" s="1"/>
  <c r="M90" s="1"/>
  <c r="K89"/>
  <c r="M91" l="1"/>
  <c r="B92"/>
  <c r="H91"/>
  <c r="J91" s="1"/>
  <c r="L91" s="1"/>
  <c r="K90"/>
  <c r="B93" l="1"/>
  <c r="H92"/>
  <c r="J92" s="1"/>
  <c r="L92" s="1"/>
  <c r="M92" s="1"/>
  <c r="K91"/>
  <c r="M93" l="1"/>
  <c r="B94"/>
  <c r="H93"/>
  <c r="J93" s="1"/>
  <c r="L93" s="1"/>
  <c r="K92"/>
  <c r="B95" l="1"/>
  <c r="H94"/>
  <c r="J94" s="1"/>
  <c r="L94" s="1"/>
  <c r="M94" s="1"/>
  <c r="K93"/>
  <c r="B96" l="1"/>
  <c r="H95"/>
  <c r="J95" s="1"/>
  <c r="L95" s="1"/>
  <c r="M95" s="1"/>
  <c r="K94"/>
  <c r="B97" l="1"/>
  <c r="H96"/>
  <c r="J96" s="1"/>
  <c r="L96" s="1"/>
  <c r="M96" s="1"/>
  <c r="K95"/>
  <c r="M97" l="1"/>
  <c r="B98"/>
  <c r="H97"/>
  <c r="J97" s="1"/>
  <c r="L97" s="1"/>
  <c r="K96"/>
  <c r="B99" l="1"/>
  <c r="H98"/>
  <c r="J98" s="1"/>
  <c r="L98" s="1"/>
  <c r="M98" s="1"/>
  <c r="K97"/>
  <c r="M99" l="1"/>
  <c r="B100"/>
  <c r="H99"/>
  <c r="J99" s="1"/>
  <c r="L99" s="1"/>
  <c r="K98"/>
  <c r="M100" l="1"/>
  <c r="B101"/>
  <c r="H100"/>
  <c r="J100" s="1"/>
  <c r="L100" s="1"/>
  <c r="K99"/>
  <c r="B102" l="1"/>
  <c r="H101"/>
  <c r="J101" s="1"/>
  <c r="L101" s="1"/>
  <c r="M101" s="1"/>
  <c r="K100"/>
  <c r="M102" l="1"/>
  <c r="B103"/>
  <c r="H102"/>
  <c r="J102" s="1"/>
  <c r="L102" s="1"/>
  <c r="K101"/>
  <c r="B104" l="1"/>
  <c r="H103"/>
  <c r="J103" s="1"/>
  <c r="L103" s="1"/>
  <c r="M103" s="1"/>
  <c r="K102"/>
  <c r="B105" l="1"/>
  <c r="H104"/>
  <c r="J104" s="1"/>
  <c r="L104" s="1"/>
  <c r="M104" s="1"/>
  <c r="K103"/>
  <c r="B106" l="1"/>
  <c r="H105"/>
  <c r="J105" s="1"/>
  <c r="L105" s="1"/>
  <c r="M105" s="1"/>
  <c r="K104"/>
  <c r="B107" l="1"/>
  <c r="H106"/>
  <c r="J106" s="1"/>
  <c r="L106" s="1"/>
  <c r="M106" s="1"/>
  <c r="K105"/>
  <c r="M107" l="1"/>
  <c r="B108"/>
  <c r="H107"/>
  <c r="J107" s="1"/>
  <c r="L107" s="1"/>
  <c r="K106"/>
  <c r="B109" l="1"/>
  <c r="H108"/>
  <c r="J108" s="1"/>
  <c r="L108" s="1"/>
  <c r="M108" s="1"/>
  <c r="K107"/>
  <c r="B110" l="1"/>
  <c r="H109"/>
  <c r="J109" s="1"/>
  <c r="L109" s="1"/>
  <c r="M109" s="1"/>
  <c r="K108"/>
  <c r="B111" l="1"/>
  <c r="H110"/>
  <c r="J110" s="1"/>
  <c r="L110" s="1"/>
  <c r="M110" s="1"/>
  <c r="K109"/>
  <c r="B112" l="1"/>
  <c r="H111"/>
  <c r="J111" s="1"/>
  <c r="L111" s="1"/>
  <c r="M111" s="1"/>
  <c r="K110"/>
  <c r="B113" l="1"/>
  <c r="H112"/>
  <c r="J112" s="1"/>
  <c r="L112" s="1"/>
  <c r="M112" s="1"/>
  <c r="K111"/>
  <c r="B114" l="1"/>
  <c r="H113"/>
  <c r="J113" s="1"/>
  <c r="L113" s="1"/>
  <c r="M113" s="1"/>
  <c r="K112"/>
  <c r="B115" l="1"/>
  <c r="H114"/>
  <c r="J114" s="1"/>
  <c r="L114" s="1"/>
  <c r="M114" s="1"/>
  <c r="K113"/>
  <c r="M115" l="1"/>
  <c r="B116"/>
  <c r="H115"/>
  <c r="J115" s="1"/>
  <c r="L115" s="1"/>
  <c r="K114"/>
  <c r="M116" l="1"/>
  <c r="B117"/>
  <c r="H116"/>
  <c r="J116" s="1"/>
  <c r="L116" s="1"/>
  <c r="K115"/>
  <c r="B118" l="1"/>
  <c r="H117"/>
  <c r="J117" s="1"/>
  <c r="L117" s="1"/>
  <c r="M117" s="1"/>
  <c r="K116"/>
  <c r="M118" l="1"/>
  <c r="B119"/>
  <c r="H118"/>
  <c r="J118" s="1"/>
  <c r="L118" s="1"/>
  <c r="K117"/>
  <c r="B120" l="1"/>
  <c r="H119"/>
  <c r="J119" s="1"/>
  <c r="L119" s="1"/>
  <c r="M119" s="1"/>
  <c r="K118"/>
  <c r="B121" l="1"/>
  <c r="H120"/>
  <c r="J120" s="1"/>
  <c r="L120" s="1"/>
  <c r="M120" s="1"/>
  <c r="K119"/>
  <c r="B122" l="1"/>
  <c r="H121"/>
  <c r="J121" s="1"/>
  <c r="L121" s="1"/>
  <c r="M121" s="1"/>
  <c r="K120"/>
  <c r="B123" l="1"/>
  <c r="H122"/>
  <c r="J122" s="1"/>
  <c r="L122" s="1"/>
  <c r="M122" s="1"/>
  <c r="K121"/>
  <c r="M123" l="1"/>
  <c r="B124"/>
  <c r="H123"/>
  <c r="J123" s="1"/>
  <c r="L123" s="1"/>
  <c r="K122"/>
  <c r="M124" l="1"/>
  <c r="B125"/>
  <c r="H124"/>
  <c r="J124" s="1"/>
  <c r="L124" s="1"/>
  <c r="K123"/>
  <c r="B126" l="1"/>
  <c r="H125"/>
  <c r="J125" s="1"/>
  <c r="L125" s="1"/>
  <c r="M125" s="1"/>
  <c r="K124"/>
  <c r="B127" l="1"/>
  <c r="H126"/>
  <c r="J126" s="1"/>
  <c r="L126" s="1"/>
  <c r="M126" s="1"/>
  <c r="K125"/>
  <c r="M127" l="1"/>
  <c r="B128"/>
  <c r="H127"/>
  <c r="J127" s="1"/>
  <c r="L127" s="1"/>
  <c r="K126"/>
  <c r="B129" l="1"/>
  <c r="H128"/>
  <c r="J128" s="1"/>
  <c r="L128" s="1"/>
  <c r="M128" s="1"/>
  <c r="K127"/>
  <c r="M129" l="1"/>
  <c r="B130"/>
  <c r="H129"/>
  <c r="J129" s="1"/>
  <c r="L129" s="1"/>
  <c r="K128"/>
  <c r="B131" l="1"/>
  <c r="H130"/>
  <c r="J130" s="1"/>
  <c r="L130" s="1"/>
  <c r="M130" s="1"/>
  <c r="K129"/>
  <c r="M131" l="1"/>
  <c r="B132"/>
  <c r="H131"/>
  <c r="J131" s="1"/>
  <c r="L131" s="1"/>
  <c r="K130"/>
  <c r="B133" l="1"/>
  <c r="H132"/>
  <c r="J132" s="1"/>
  <c r="L132" s="1"/>
  <c r="M132" s="1"/>
  <c r="K131"/>
  <c r="M133" l="1"/>
  <c r="B134"/>
  <c r="H133"/>
  <c r="J133" s="1"/>
  <c r="L133" s="1"/>
  <c r="K132"/>
  <c r="B135" l="1"/>
  <c r="H134"/>
  <c r="J134" s="1"/>
  <c r="L134" s="1"/>
  <c r="M134" s="1"/>
  <c r="K133"/>
  <c r="M135" l="1"/>
  <c r="B136"/>
  <c r="H135"/>
  <c r="J135" s="1"/>
  <c r="L135" s="1"/>
  <c r="K134"/>
  <c r="B137" l="1"/>
  <c r="H136"/>
  <c r="J136" s="1"/>
  <c r="L136" s="1"/>
  <c r="M136" s="1"/>
  <c r="K135"/>
  <c r="B138" l="1"/>
  <c r="H137"/>
  <c r="J137" s="1"/>
  <c r="L137" s="1"/>
  <c r="M137" s="1"/>
  <c r="K136"/>
  <c r="B139" l="1"/>
  <c r="H138"/>
  <c r="J138" s="1"/>
  <c r="L138" s="1"/>
  <c r="M138" s="1"/>
  <c r="K137"/>
  <c r="B140" l="1"/>
  <c r="H139"/>
  <c r="J139" s="1"/>
  <c r="L139" s="1"/>
  <c r="M139" s="1"/>
  <c r="K138"/>
  <c r="B141" l="1"/>
  <c r="H140"/>
  <c r="J140" s="1"/>
  <c r="L140" s="1"/>
  <c r="M140" s="1"/>
  <c r="K139"/>
  <c r="B142" l="1"/>
  <c r="H141"/>
  <c r="J141" s="1"/>
  <c r="L141" s="1"/>
  <c r="M141" s="1"/>
  <c r="K140"/>
  <c r="M142" l="1"/>
  <c r="B143"/>
  <c r="H142"/>
  <c r="J142" s="1"/>
  <c r="L142" s="1"/>
  <c r="K141"/>
  <c r="K142" l="1"/>
  <c r="M143"/>
  <c r="B144"/>
  <c r="H143"/>
  <c r="J143" s="1"/>
  <c r="L143" s="1"/>
  <c r="M144" l="1"/>
  <c r="B145"/>
  <c r="H144"/>
  <c r="J144" s="1"/>
  <c r="L144" s="1"/>
  <c r="K143"/>
  <c r="K144" s="1"/>
  <c r="M145" l="1"/>
  <c r="B146"/>
  <c r="H145"/>
  <c r="J145" s="1"/>
  <c r="L145" s="1"/>
  <c r="B147" l="1"/>
  <c r="H146"/>
  <c r="J146" s="1"/>
  <c r="L146" s="1"/>
  <c r="M146" s="1"/>
  <c r="K145"/>
  <c r="M147" l="1"/>
  <c r="B148"/>
  <c r="H147"/>
  <c r="J147" s="1"/>
  <c r="L147" s="1"/>
  <c r="K146"/>
  <c r="K147" s="1"/>
  <c r="M148" l="1"/>
  <c r="B149"/>
  <c r="H148"/>
  <c r="J148" s="1"/>
  <c r="L148" s="1"/>
  <c r="M149" l="1"/>
  <c r="B150"/>
  <c r="H149"/>
  <c r="J149" s="1"/>
  <c r="L149" s="1"/>
  <c r="K148"/>
  <c r="K149" s="1"/>
  <c r="B151" l="1"/>
  <c r="H150"/>
  <c r="J150" s="1"/>
  <c r="L150" s="1"/>
  <c r="M150" s="1"/>
  <c r="M151" l="1"/>
  <c r="B152"/>
  <c r="H151"/>
  <c r="J151" s="1"/>
  <c r="L151" s="1"/>
  <c r="K150"/>
  <c r="M152" l="1"/>
  <c r="B153"/>
  <c r="H152"/>
  <c r="J152" s="1"/>
  <c r="L152" s="1"/>
  <c r="K151"/>
  <c r="K152" l="1"/>
  <c r="K153" s="1"/>
  <c r="B154"/>
  <c r="H153"/>
  <c r="J153" s="1"/>
  <c r="L153" s="1"/>
  <c r="M153" s="1"/>
  <c r="B155" l="1"/>
  <c r="H154"/>
  <c r="J154" s="1"/>
  <c r="L154" s="1"/>
  <c r="M154" s="1"/>
  <c r="M155" l="1"/>
  <c r="B156"/>
  <c r="H155"/>
  <c r="J155" s="1"/>
  <c r="L155" s="1"/>
  <c r="K154"/>
  <c r="K155" l="1"/>
  <c r="M156"/>
  <c r="B157"/>
  <c r="H156"/>
  <c r="J156" s="1"/>
  <c r="L156" s="1"/>
  <c r="B158" l="1"/>
  <c r="H157"/>
  <c r="J157" s="1"/>
  <c r="L157" s="1"/>
  <c r="M157" s="1"/>
  <c r="K156"/>
  <c r="M158" l="1"/>
  <c r="B159"/>
  <c r="H158"/>
  <c r="J158" s="1"/>
  <c r="L158" s="1"/>
  <c r="K157"/>
  <c r="K158" l="1"/>
  <c r="M159"/>
  <c r="B160"/>
  <c r="H159"/>
  <c r="J159" s="1"/>
  <c r="L159" s="1"/>
  <c r="K159"/>
  <c r="B161" l="1"/>
  <c r="H160"/>
  <c r="J160" s="1"/>
  <c r="L160" s="1"/>
  <c r="M160" s="1"/>
  <c r="B162" l="1"/>
  <c r="H161"/>
  <c r="J161" s="1"/>
  <c r="L161" s="1"/>
  <c r="M161" s="1"/>
  <c r="K160"/>
  <c r="K161" l="1"/>
  <c r="B163"/>
  <c r="H162"/>
  <c r="J162" s="1"/>
  <c r="L162" s="1"/>
  <c r="M162" s="1"/>
  <c r="M163" l="1"/>
  <c r="B164"/>
  <c r="H163"/>
  <c r="J163" s="1"/>
  <c r="L163" s="1"/>
  <c r="K162"/>
  <c r="K163" l="1"/>
  <c r="M164"/>
  <c r="B165"/>
  <c r="H164"/>
  <c r="J164" s="1"/>
  <c r="L164" s="1"/>
  <c r="B166" l="1"/>
  <c r="H165"/>
  <c r="J165" s="1"/>
  <c r="L165" s="1"/>
  <c r="M165" s="1"/>
  <c r="K164"/>
  <c r="K165" s="1"/>
  <c r="B167" l="1"/>
  <c r="H166"/>
  <c r="J166" s="1"/>
  <c r="L166" s="1"/>
  <c r="M166" s="1"/>
  <c r="M167" l="1"/>
  <c r="B168"/>
  <c r="H167"/>
  <c r="J167" s="1"/>
  <c r="L167" s="1"/>
  <c r="K166"/>
  <c r="K167" s="1"/>
  <c r="M168" l="1"/>
  <c r="B169"/>
  <c r="H168"/>
  <c r="J168" s="1"/>
  <c r="L168" s="1"/>
  <c r="K168" l="1"/>
  <c r="K169" s="1"/>
  <c r="B170"/>
  <c r="H169"/>
  <c r="J169" s="1"/>
  <c r="L169" s="1"/>
  <c r="M169" s="1"/>
  <c r="K170" l="1"/>
  <c r="B171"/>
  <c r="H170"/>
  <c r="J170" s="1"/>
  <c r="L170" s="1"/>
  <c r="M170" s="1"/>
  <c r="B172" l="1"/>
  <c r="H171"/>
  <c r="J171" s="1"/>
  <c r="L171" s="1"/>
  <c r="M171" s="1"/>
  <c r="M172" l="1"/>
  <c r="B173"/>
  <c r="H172"/>
  <c r="J172" s="1"/>
  <c r="L172" s="1"/>
  <c r="K171"/>
  <c r="M173" l="1"/>
  <c r="B174"/>
  <c r="H173"/>
  <c r="J173" s="1"/>
  <c r="L173" s="1"/>
  <c r="K172"/>
  <c r="K173" s="1"/>
  <c r="M174" l="1"/>
  <c r="B175"/>
  <c r="H174"/>
  <c r="J174" s="1"/>
  <c r="L174" s="1"/>
  <c r="B176" l="1"/>
  <c r="H175"/>
  <c r="J175" s="1"/>
  <c r="L175" s="1"/>
  <c r="M175" s="1"/>
  <c r="K174"/>
  <c r="K175" l="1"/>
  <c r="M176"/>
  <c r="B177"/>
  <c r="H176"/>
  <c r="J176" s="1"/>
  <c r="L176" s="1"/>
  <c r="M177" l="1"/>
  <c r="B178"/>
  <c r="H177"/>
  <c r="J177" s="1"/>
  <c r="L177" s="1"/>
  <c r="K176"/>
  <c r="K177" s="1"/>
  <c r="M178" l="1"/>
  <c r="B179"/>
  <c r="H178"/>
  <c r="J178" s="1"/>
  <c r="L178" s="1"/>
  <c r="M179" l="1"/>
  <c r="B180"/>
  <c r="H179"/>
  <c r="J179" s="1"/>
  <c r="L179" s="1"/>
  <c r="K178"/>
  <c r="M180" l="1"/>
  <c r="B181"/>
  <c r="H180"/>
  <c r="J180" s="1"/>
  <c r="L180" s="1"/>
  <c r="K179"/>
  <c r="B182" l="1"/>
  <c r="H181"/>
  <c r="J181" s="1"/>
  <c r="L181" s="1"/>
  <c r="M181" s="1"/>
  <c r="K180"/>
  <c r="K181" l="1"/>
  <c r="M182"/>
  <c r="B183"/>
  <c r="H182"/>
  <c r="J182" s="1"/>
  <c r="L182" s="1"/>
  <c r="K182"/>
  <c r="B184" l="1"/>
  <c r="H183"/>
  <c r="J183" s="1"/>
  <c r="L183" s="1"/>
  <c r="M183" s="1"/>
  <c r="M184" l="1"/>
  <c r="B185"/>
  <c r="H184"/>
  <c r="J184" s="1"/>
  <c r="L184" s="1"/>
  <c r="K183"/>
  <c r="K184" s="1"/>
  <c r="M185" l="1"/>
  <c r="B186"/>
  <c r="H185"/>
  <c r="J185" s="1"/>
  <c r="L185" s="1"/>
  <c r="K185" l="1"/>
  <c r="B187"/>
  <c r="H186"/>
  <c r="J186" s="1"/>
  <c r="L186" s="1"/>
  <c r="M186" s="1"/>
  <c r="M187" l="1"/>
  <c r="B188"/>
  <c r="H187"/>
  <c r="J187" s="1"/>
  <c r="L187" s="1"/>
  <c r="K186"/>
  <c r="K187" l="1"/>
  <c r="B189"/>
  <c r="H188"/>
  <c r="J188" s="1"/>
  <c r="L188" s="1"/>
  <c r="M188" s="1"/>
  <c r="B190" l="1"/>
  <c r="H189"/>
  <c r="J189" s="1"/>
  <c r="L189" s="1"/>
  <c r="M189" s="1"/>
  <c r="K188"/>
  <c r="M190" l="1"/>
  <c r="B191"/>
  <c r="H190"/>
  <c r="J190" s="1"/>
  <c r="L190" s="1"/>
  <c r="K189"/>
  <c r="B192" l="1"/>
  <c r="H191"/>
  <c r="J191" s="1"/>
  <c r="L191" s="1"/>
  <c r="M191" s="1"/>
  <c r="K190"/>
  <c r="M192" l="1"/>
  <c r="B193"/>
  <c r="H192"/>
  <c r="J192" s="1"/>
  <c r="L192" s="1"/>
  <c r="K191"/>
  <c r="K192" l="1"/>
  <c r="K193" s="1"/>
  <c r="M193"/>
  <c r="B194"/>
  <c r="H193"/>
  <c r="J193" s="1"/>
  <c r="L193" s="1"/>
  <c r="M194" l="1"/>
  <c r="B195"/>
  <c r="H194"/>
  <c r="J194" s="1"/>
  <c r="L194" s="1"/>
  <c r="M195" l="1"/>
  <c r="B196"/>
  <c r="H195"/>
  <c r="J195" s="1"/>
  <c r="L195" s="1"/>
  <c r="K194"/>
  <c r="B197" l="1"/>
  <c r="H196"/>
  <c r="J196" s="1"/>
  <c r="L196" s="1"/>
  <c r="M196" s="1"/>
  <c r="K195"/>
  <c r="K196" s="1"/>
  <c r="B198" l="1"/>
  <c r="H197"/>
  <c r="J197" s="1"/>
  <c r="L197" s="1"/>
  <c r="M197" s="1"/>
  <c r="B199" l="1"/>
  <c r="H198"/>
  <c r="J198" s="1"/>
  <c r="L198" s="1"/>
  <c r="M198" s="1"/>
  <c r="K197"/>
  <c r="K198" l="1"/>
  <c r="K199" s="1"/>
  <c r="M199"/>
  <c r="B200"/>
  <c r="H199"/>
  <c r="J199" s="1"/>
  <c r="L199" s="1"/>
  <c r="M200" l="1"/>
  <c r="B201"/>
  <c r="H200"/>
  <c r="J200" s="1"/>
  <c r="L200" s="1"/>
  <c r="K200" l="1"/>
  <c r="B202"/>
  <c r="H201"/>
  <c r="J201" s="1"/>
  <c r="L201" s="1"/>
  <c r="M201" s="1"/>
  <c r="K201" l="1"/>
  <c r="B203"/>
  <c r="H202"/>
  <c r="J202" s="1"/>
  <c r="L202" s="1"/>
  <c r="M202" s="1"/>
  <c r="K202" l="1"/>
  <c r="K203" s="1"/>
  <c r="B204"/>
  <c r="H203"/>
  <c r="J203" s="1"/>
  <c r="L203" s="1"/>
  <c r="M203" s="1"/>
  <c r="M204" l="1"/>
  <c r="B205"/>
  <c r="H204"/>
  <c r="J204" s="1"/>
  <c r="L204" s="1"/>
  <c r="K204" l="1"/>
  <c r="B206"/>
  <c r="H205"/>
  <c r="J205" s="1"/>
  <c r="L205" s="1"/>
  <c r="M205" s="1"/>
  <c r="B207" l="1"/>
  <c r="H206"/>
  <c r="J206" s="1"/>
  <c r="L206" s="1"/>
  <c r="M206" s="1"/>
  <c r="K205"/>
  <c r="K206" l="1"/>
  <c r="B208"/>
  <c r="H207"/>
  <c r="J207" s="1"/>
  <c r="L207" s="1"/>
  <c r="M207" s="1"/>
  <c r="K207" l="1"/>
  <c r="B209"/>
  <c r="H208"/>
  <c r="J208" s="1"/>
  <c r="L208" s="1"/>
  <c r="M208" s="1"/>
  <c r="K208" l="1"/>
  <c r="K209" s="1"/>
  <c r="B210"/>
  <c r="H209"/>
  <c r="J209" s="1"/>
  <c r="L209" s="1"/>
  <c r="M209" s="1"/>
  <c r="M210" l="1"/>
  <c r="B211"/>
  <c r="H210"/>
  <c r="J210" s="1"/>
  <c r="L210" s="1"/>
  <c r="K210"/>
  <c r="M211" l="1"/>
  <c r="B212"/>
  <c r="H211"/>
  <c r="J211" s="1"/>
  <c r="L211" s="1"/>
  <c r="K211"/>
  <c r="M212" l="1"/>
  <c r="B213"/>
  <c r="H212"/>
  <c r="J212" s="1"/>
  <c r="L212" s="1"/>
  <c r="M213" l="1"/>
  <c r="B214"/>
  <c r="H213"/>
  <c r="J213" s="1"/>
  <c r="L213" s="1"/>
  <c r="K212"/>
  <c r="B215" l="1"/>
  <c r="H214"/>
  <c r="J214" s="1"/>
  <c r="L214" s="1"/>
  <c r="M214" s="1"/>
  <c r="K213"/>
  <c r="B216" l="1"/>
  <c r="H215"/>
  <c r="J215" s="1"/>
  <c r="L215" s="1"/>
  <c r="M215" s="1"/>
  <c r="K214"/>
  <c r="M216" l="1"/>
  <c r="B217"/>
  <c r="H216"/>
  <c r="J216" s="1"/>
  <c r="L216" s="1"/>
  <c r="K215"/>
  <c r="B218" l="1"/>
  <c r="H217"/>
  <c r="J217" s="1"/>
  <c r="L217" s="1"/>
  <c r="M217" s="1"/>
  <c r="K216"/>
  <c r="B219" l="1"/>
  <c r="H218"/>
  <c r="J218" s="1"/>
  <c r="L218" s="1"/>
  <c r="M218" s="1"/>
  <c r="K217"/>
  <c r="M219" l="1"/>
  <c r="B220"/>
  <c r="H219"/>
  <c r="J219" s="1"/>
  <c r="L219" s="1"/>
  <c r="K218"/>
  <c r="B221" l="1"/>
  <c r="H220"/>
  <c r="J220" s="1"/>
  <c r="L220" s="1"/>
  <c r="M220" s="1"/>
  <c r="K219"/>
  <c r="M221" l="1"/>
  <c r="B222"/>
  <c r="H221"/>
  <c r="J221" s="1"/>
  <c r="L221" s="1"/>
  <c r="K220"/>
  <c r="B223" l="1"/>
  <c r="H222"/>
  <c r="J222" s="1"/>
  <c r="L222" s="1"/>
  <c r="M222" s="1"/>
  <c r="K221"/>
  <c r="M223" l="1"/>
  <c r="B224"/>
  <c r="H223"/>
  <c r="J223" s="1"/>
  <c r="L223" s="1"/>
  <c r="K222"/>
  <c r="B225" l="1"/>
  <c r="H224"/>
  <c r="J224" s="1"/>
  <c r="L224" s="1"/>
  <c r="M224" s="1"/>
  <c r="K223"/>
  <c r="M225" l="1"/>
  <c r="B226"/>
  <c r="H225"/>
  <c r="J225" s="1"/>
  <c r="L225" s="1"/>
  <c r="K224"/>
  <c r="K225" l="1"/>
  <c r="M226"/>
  <c r="B227"/>
  <c r="H226"/>
  <c r="J226" s="1"/>
  <c r="L226" s="1"/>
  <c r="K226"/>
  <c r="M227" l="1"/>
  <c r="B228"/>
  <c r="H227"/>
  <c r="J227" s="1"/>
  <c r="L227" s="1"/>
  <c r="K227" l="1"/>
  <c r="B229"/>
  <c r="H228"/>
  <c r="J228" s="1"/>
  <c r="L228" s="1"/>
  <c r="M228" s="1"/>
  <c r="K228" l="1"/>
  <c r="M229"/>
  <c r="B230"/>
  <c r="H229"/>
  <c r="J229" s="1"/>
  <c r="L229" s="1"/>
  <c r="M230" l="1"/>
  <c r="B231"/>
  <c r="H230"/>
  <c r="J230" s="1"/>
  <c r="L230" s="1"/>
  <c r="K229"/>
  <c r="K230" s="1"/>
  <c r="B232" l="1"/>
  <c r="H231"/>
  <c r="J231" s="1"/>
  <c r="L231" s="1"/>
  <c r="M231" s="1"/>
  <c r="M232" l="1"/>
  <c r="B233"/>
  <c r="H232"/>
  <c r="J232" s="1"/>
  <c r="L232" s="1"/>
  <c r="K231"/>
  <c r="K232" s="1"/>
  <c r="B234" l="1"/>
  <c r="H233"/>
  <c r="J233" s="1"/>
  <c r="L233" s="1"/>
  <c r="M233" s="1"/>
  <c r="B235" l="1"/>
  <c r="H234"/>
  <c r="J234" s="1"/>
  <c r="L234" s="1"/>
  <c r="M234" s="1"/>
  <c r="K233"/>
  <c r="B236" l="1"/>
  <c r="H235"/>
  <c r="J235" s="1"/>
  <c r="L235" s="1"/>
  <c r="M235" s="1"/>
  <c r="K234"/>
  <c r="M236" l="1"/>
  <c r="B237"/>
  <c r="H236"/>
  <c r="J236" s="1"/>
  <c r="L236" s="1"/>
  <c r="K235"/>
  <c r="K236" s="1"/>
  <c r="M237" l="1"/>
  <c r="B238"/>
  <c r="H237"/>
  <c r="J237" s="1"/>
  <c r="L237" s="1"/>
  <c r="B239" l="1"/>
  <c r="H238"/>
  <c r="J238" s="1"/>
  <c r="L238" s="1"/>
  <c r="M238" s="1"/>
  <c r="K237"/>
  <c r="K238" l="1"/>
  <c r="B240"/>
  <c r="H239"/>
  <c r="J239" s="1"/>
  <c r="L239" s="1"/>
  <c r="M239" s="1"/>
  <c r="M240" l="1"/>
  <c r="B241"/>
  <c r="H240"/>
  <c r="J240" s="1"/>
  <c r="L240" s="1"/>
  <c r="K239"/>
  <c r="K240" s="1"/>
  <c r="M241" l="1"/>
  <c r="B242"/>
  <c r="H241"/>
  <c r="J241" s="1"/>
  <c r="L241" s="1"/>
  <c r="K241"/>
  <c r="M242" l="1"/>
  <c r="B243"/>
  <c r="H242"/>
  <c r="J242" s="1"/>
  <c r="L242" s="1"/>
  <c r="K242" l="1"/>
  <c r="M243"/>
  <c r="B244"/>
  <c r="H243"/>
  <c r="J243" s="1"/>
  <c r="L243" s="1"/>
  <c r="K243"/>
  <c r="B245" l="1"/>
  <c r="H244"/>
  <c r="J244" s="1"/>
  <c r="L244" s="1"/>
  <c r="M244" s="1"/>
  <c r="K244" l="1"/>
  <c r="M245"/>
  <c r="B246"/>
  <c r="H245"/>
  <c r="J245" s="1"/>
  <c r="L245" s="1"/>
  <c r="K245"/>
  <c r="B247" l="1"/>
  <c r="H246"/>
  <c r="J246" s="1"/>
  <c r="L246" s="1"/>
  <c r="M246" s="1"/>
  <c r="B248" l="1"/>
  <c r="H247"/>
  <c r="J247" s="1"/>
  <c r="L247" s="1"/>
  <c r="M247" s="1"/>
  <c r="K246"/>
  <c r="M248" l="1"/>
  <c r="B249"/>
  <c r="H248"/>
  <c r="J248" s="1"/>
  <c r="L248" s="1"/>
  <c r="K247"/>
  <c r="B250" l="1"/>
  <c r="H249"/>
  <c r="J249" s="1"/>
  <c r="L249" s="1"/>
  <c r="M249" s="1"/>
  <c r="K248"/>
  <c r="M250" l="1"/>
  <c r="B251"/>
  <c r="H250"/>
  <c r="J250" s="1"/>
  <c r="L250" s="1"/>
  <c r="K249"/>
  <c r="B252" l="1"/>
  <c r="H251"/>
  <c r="J251" s="1"/>
  <c r="L251" s="1"/>
  <c r="M251" s="1"/>
  <c r="K250"/>
  <c r="B253" l="1"/>
  <c r="H252"/>
  <c r="J252" s="1"/>
  <c r="L252" s="1"/>
  <c r="M252" s="1"/>
  <c r="K251"/>
  <c r="M253" l="1"/>
  <c r="B254"/>
  <c r="H253"/>
  <c r="J253" s="1"/>
  <c r="L253" s="1"/>
  <c r="K252"/>
  <c r="B255" l="1"/>
  <c r="H254"/>
  <c r="J254" s="1"/>
  <c r="L254" s="1"/>
  <c r="M254" s="1"/>
  <c r="K253"/>
  <c r="B256" l="1"/>
  <c r="H255"/>
  <c r="J255" s="1"/>
  <c r="L255" s="1"/>
  <c r="M255" s="1"/>
  <c r="K254"/>
  <c r="B257" l="1"/>
  <c r="H256"/>
  <c r="J256" s="1"/>
  <c r="L256" s="1"/>
  <c r="M256" s="1"/>
  <c r="K255"/>
  <c r="B258" l="1"/>
  <c r="H257"/>
  <c r="J257" s="1"/>
  <c r="L257" s="1"/>
  <c r="M257" s="1"/>
  <c r="K256"/>
  <c r="B259" l="1"/>
  <c r="H258"/>
  <c r="J258" s="1"/>
  <c r="L258" s="1"/>
  <c r="M258" s="1"/>
  <c r="K257"/>
  <c r="M259" l="1"/>
  <c r="B260"/>
  <c r="H259"/>
  <c r="J259" s="1"/>
  <c r="L259" s="1"/>
  <c r="K258"/>
  <c r="B261" l="1"/>
  <c r="H260"/>
  <c r="J260" s="1"/>
  <c r="L260" s="1"/>
  <c r="M260" s="1"/>
  <c r="K259"/>
  <c r="M261" l="1"/>
  <c r="B262"/>
  <c r="H261"/>
  <c r="J261" s="1"/>
  <c r="L261" s="1"/>
  <c r="K260"/>
  <c r="B263" l="1"/>
  <c r="H262"/>
  <c r="J262" s="1"/>
  <c r="L262" s="1"/>
  <c r="M262" s="1"/>
  <c r="K261"/>
  <c r="M263" l="1"/>
  <c r="B264"/>
  <c r="H263"/>
  <c r="J263" s="1"/>
  <c r="L263" s="1"/>
  <c r="K262"/>
  <c r="M264" l="1"/>
  <c r="B265"/>
  <c r="H264"/>
  <c r="J264" s="1"/>
  <c r="L264" s="1"/>
  <c r="K263"/>
  <c r="B266" l="1"/>
  <c r="H265"/>
  <c r="J265" s="1"/>
  <c r="L265" s="1"/>
  <c r="M265" s="1"/>
  <c r="K264"/>
  <c r="M266" l="1"/>
  <c r="B267"/>
  <c r="H266"/>
  <c r="J266" s="1"/>
  <c r="L266" s="1"/>
  <c r="K265"/>
  <c r="M267" l="1"/>
  <c r="B268"/>
  <c r="H267"/>
  <c r="J267" s="1"/>
  <c r="L267" s="1"/>
  <c r="K266"/>
  <c r="B269" l="1"/>
  <c r="H268"/>
  <c r="J268" s="1"/>
  <c r="L268" s="1"/>
  <c r="M268" s="1"/>
  <c r="K267"/>
  <c r="M269" l="1"/>
  <c r="B270"/>
  <c r="H269"/>
  <c r="J269" s="1"/>
  <c r="L269" s="1"/>
  <c r="K268"/>
  <c r="K269" l="1"/>
  <c r="B271"/>
  <c r="H270"/>
  <c r="J270" s="1"/>
  <c r="L270" s="1"/>
  <c r="M270" s="1"/>
  <c r="M271" l="1"/>
  <c r="B272"/>
  <c r="H271"/>
  <c r="J271" s="1"/>
  <c r="L271" s="1"/>
  <c r="K270"/>
  <c r="B273" l="1"/>
  <c r="H272"/>
  <c r="J272" s="1"/>
  <c r="L272" s="1"/>
  <c r="M272" s="1"/>
  <c r="K271"/>
  <c r="B274" l="1"/>
  <c r="H273"/>
  <c r="J273" s="1"/>
  <c r="L273" s="1"/>
  <c r="M273" s="1"/>
  <c r="K272"/>
  <c r="B275" l="1"/>
  <c r="H274"/>
  <c r="J274" s="1"/>
  <c r="L274" s="1"/>
  <c r="M274" s="1"/>
  <c r="K273"/>
  <c r="B276" l="1"/>
  <c r="H275"/>
  <c r="J275" s="1"/>
  <c r="L275" s="1"/>
  <c r="M275" s="1"/>
  <c r="K274"/>
  <c r="B277" l="1"/>
  <c r="H276"/>
  <c r="J276" s="1"/>
  <c r="L276" s="1"/>
  <c r="M276" s="1"/>
  <c r="K275"/>
  <c r="B278" l="1"/>
  <c r="H277"/>
  <c r="J277" s="1"/>
  <c r="L277" s="1"/>
  <c r="M277" s="1"/>
  <c r="K276"/>
  <c r="M278" l="1"/>
  <c r="B279"/>
  <c r="H278"/>
  <c r="J278" s="1"/>
  <c r="L278" s="1"/>
  <c r="K277"/>
  <c r="M279" l="1"/>
  <c r="B280"/>
  <c r="H279"/>
  <c r="J279" s="1"/>
  <c r="L279" s="1"/>
  <c r="K278"/>
  <c r="B281" l="1"/>
  <c r="H280"/>
  <c r="J280" s="1"/>
  <c r="L280" s="1"/>
  <c r="M280" s="1"/>
  <c r="K279"/>
  <c r="K280" l="1"/>
  <c r="B282"/>
  <c r="H281"/>
  <c r="J281" s="1"/>
  <c r="L281" s="1"/>
  <c r="M281" s="1"/>
  <c r="K281" l="1"/>
  <c r="K282" s="1"/>
  <c r="M282"/>
  <c r="B283"/>
  <c r="H282"/>
  <c r="J282" s="1"/>
  <c r="L282" s="1"/>
  <c r="M283" l="1"/>
  <c r="B284"/>
  <c r="H283"/>
  <c r="J283" s="1"/>
  <c r="L283" s="1"/>
  <c r="B285" l="1"/>
  <c r="H284"/>
  <c r="J284" s="1"/>
  <c r="L284" s="1"/>
  <c r="M284" s="1"/>
  <c r="K283"/>
  <c r="M285" l="1"/>
  <c r="B286"/>
  <c r="H285"/>
  <c r="J285" s="1"/>
  <c r="L285" s="1"/>
  <c r="K284"/>
  <c r="K285" s="1"/>
  <c r="M286" l="1"/>
  <c r="B287"/>
  <c r="H286"/>
  <c r="J286" s="1"/>
  <c r="L286" s="1"/>
  <c r="B288" l="1"/>
  <c r="H287"/>
  <c r="J287" s="1"/>
  <c r="L287" s="1"/>
  <c r="M287" s="1"/>
  <c r="K286"/>
  <c r="B289" l="1"/>
  <c r="H288"/>
  <c r="J288" s="1"/>
  <c r="L288" s="1"/>
  <c r="M288" s="1"/>
  <c r="K287"/>
  <c r="B290" l="1"/>
  <c r="H289"/>
  <c r="J289" s="1"/>
  <c r="L289" s="1"/>
  <c r="M289" s="1"/>
  <c r="K288"/>
  <c r="M290" l="1"/>
  <c r="B291"/>
  <c r="H290"/>
  <c r="J290" s="1"/>
  <c r="L290" s="1"/>
  <c r="K289"/>
  <c r="M291" l="1"/>
  <c r="B292"/>
  <c r="H291"/>
  <c r="J291" s="1"/>
  <c r="L291" s="1"/>
  <c r="K290"/>
  <c r="B293" l="1"/>
  <c r="H292"/>
  <c r="J292" s="1"/>
  <c r="L292" s="1"/>
  <c r="M292" s="1"/>
  <c r="K291"/>
  <c r="B294" l="1"/>
  <c r="H293"/>
  <c r="J293" s="1"/>
  <c r="L293" s="1"/>
  <c r="M293" s="1"/>
  <c r="K292"/>
  <c r="B295" l="1"/>
  <c r="H294"/>
  <c r="J294" s="1"/>
  <c r="L294" s="1"/>
  <c r="M294" s="1"/>
  <c r="K293"/>
  <c r="M295" l="1"/>
  <c r="B296"/>
  <c r="H295"/>
  <c r="J295" s="1"/>
  <c r="L295" s="1"/>
  <c r="K294"/>
  <c r="B297" l="1"/>
  <c r="H296"/>
  <c r="J296" s="1"/>
  <c r="L296" s="1"/>
  <c r="M296" s="1"/>
  <c r="K295"/>
  <c r="B298" l="1"/>
  <c r="H297"/>
  <c r="J297" s="1"/>
  <c r="L297" s="1"/>
  <c r="M297" s="1"/>
  <c r="K296"/>
  <c r="B299" l="1"/>
  <c r="H298"/>
  <c r="J298" s="1"/>
  <c r="L298" s="1"/>
  <c r="M298" s="1"/>
  <c r="K297"/>
  <c r="B300" l="1"/>
  <c r="H299"/>
  <c r="J299" s="1"/>
  <c r="L299" s="1"/>
  <c r="M299" s="1"/>
  <c r="K298"/>
  <c r="M300" l="1"/>
  <c r="B301"/>
  <c r="H300"/>
  <c r="J300" s="1"/>
  <c r="L300" s="1"/>
  <c r="K299"/>
  <c r="M301" l="1"/>
  <c r="B302"/>
  <c r="H301"/>
  <c r="J301" s="1"/>
  <c r="L301" s="1"/>
  <c r="K300"/>
  <c r="B303" l="1"/>
  <c r="H302"/>
  <c r="J302" s="1"/>
  <c r="L302" s="1"/>
  <c r="M302" s="1"/>
  <c r="K301"/>
  <c r="K302" l="1"/>
  <c r="B304"/>
  <c r="H303"/>
  <c r="J303" s="1"/>
  <c r="L303" s="1"/>
  <c r="M303" s="1"/>
  <c r="K303" l="1"/>
  <c r="M304"/>
  <c r="B305"/>
  <c r="H304"/>
  <c r="J304" s="1"/>
  <c r="L304" s="1"/>
  <c r="B306" l="1"/>
  <c r="H305"/>
  <c r="J305" s="1"/>
  <c r="L305" s="1"/>
  <c r="M305" s="1"/>
  <c r="K304"/>
  <c r="K305" l="1"/>
  <c r="B307"/>
  <c r="H306"/>
  <c r="J306" s="1"/>
  <c r="L306" s="1"/>
  <c r="M306" s="1"/>
  <c r="B308" l="1"/>
  <c r="H307"/>
  <c r="J307" s="1"/>
  <c r="L307" s="1"/>
  <c r="M307" s="1"/>
  <c r="K306"/>
  <c r="K307" l="1"/>
  <c r="B309"/>
  <c r="H308"/>
  <c r="J308" s="1"/>
  <c r="L308" s="1"/>
  <c r="M308" s="1"/>
  <c r="B310" l="1"/>
  <c r="H309"/>
  <c r="J309" s="1"/>
  <c r="L309" s="1"/>
  <c r="M309" s="1"/>
  <c r="K308"/>
  <c r="M310" l="1"/>
  <c r="B311"/>
  <c r="H310"/>
  <c r="J310" s="1"/>
  <c r="L310" s="1"/>
  <c r="K309"/>
  <c r="B312" l="1"/>
  <c r="H311"/>
  <c r="J311" s="1"/>
  <c r="L311" s="1"/>
  <c r="M311" s="1"/>
  <c r="K310"/>
  <c r="B313" l="1"/>
  <c r="H312"/>
  <c r="J312" s="1"/>
  <c r="L312" s="1"/>
  <c r="M312" s="1"/>
  <c r="K311"/>
  <c r="M313" l="1"/>
  <c r="B314"/>
  <c r="H313"/>
  <c r="J313" s="1"/>
  <c r="L313" s="1"/>
  <c r="K312"/>
  <c r="B315" l="1"/>
  <c r="H314"/>
  <c r="J314" s="1"/>
  <c r="L314" s="1"/>
  <c r="M314" s="1"/>
  <c r="K313"/>
  <c r="M315" l="1"/>
  <c r="B316"/>
  <c r="H315"/>
  <c r="J315" s="1"/>
  <c r="L315" s="1"/>
  <c r="K314"/>
  <c r="B317" l="1"/>
  <c r="H316"/>
  <c r="J316" s="1"/>
  <c r="L316" s="1"/>
  <c r="M316" s="1"/>
  <c r="K315"/>
  <c r="M317" l="1"/>
  <c r="B318"/>
  <c r="H318" s="1"/>
  <c r="J318" s="1"/>
  <c r="H317"/>
  <c r="J317" s="1"/>
  <c r="L317" s="1"/>
  <c r="K316"/>
  <c r="L318" l="1"/>
  <c r="P4" s="1"/>
  <c r="P5" s="1"/>
  <c r="P6" s="1"/>
  <c r="P7" s="1"/>
  <c r="P3"/>
  <c r="K317"/>
  <c r="K318" s="1"/>
  <c r="M318" l="1"/>
  <c r="I6" i="4"/>
  <c r="J6" s="1"/>
  <c r="I7"/>
  <c r="J7" s="1"/>
  <c r="I8"/>
  <c r="J8" s="1"/>
  <c r="I9"/>
  <c r="J9" s="1"/>
  <c r="I10"/>
  <c r="J10" s="1"/>
  <c r="I11"/>
  <c r="J11" s="1"/>
  <c r="I12"/>
  <c r="J12" s="1"/>
  <c r="I13"/>
  <c r="J13" s="1"/>
  <c r="I14"/>
  <c r="J14" s="1"/>
  <c r="I15"/>
  <c r="J15" s="1"/>
  <c r="I16"/>
  <c r="J16" s="1"/>
  <c r="I17"/>
  <c r="J17" s="1"/>
  <c r="I18"/>
  <c r="J18" s="1"/>
  <c r="I19"/>
  <c r="J19" s="1"/>
  <c r="I20"/>
  <c r="J20" s="1"/>
  <c r="I21"/>
  <c r="J21" s="1"/>
  <c r="I22"/>
  <c r="J22" s="1"/>
  <c r="I23"/>
  <c r="J23" s="1"/>
  <c r="I24"/>
  <c r="J24" s="1"/>
  <c r="I25"/>
  <c r="J25" s="1"/>
  <c r="I26"/>
  <c r="J26" s="1"/>
  <c r="I27"/>
  <c r="J27" s="1"/>
  <c r="I28"/>
  <c r="J28" s="1"/>
  <c r="I29"/>
  <c r="J29" s="1"/>
  <c r="I30"/>
  <c r="J30" s="1"/>
  <c r="I31"/>
  <c r="J31" s="1"/>
  <c r="I32"/>
  <c r="J32" s="1"/>
  <c r="I33"/>
  <c r="J33" s="1"/>
  <c r="I34"/>
  <c r="J34" s="1"/>
  <c r="I35"/>
  <c r="J35" s="1"/>
  <c r="I36"/>
  <c r="J36" s="1"/>
  <c r="I37"/>
  <c r="J37" s="1"/>
  <c r="I38"/>
  <c r="J38" s="1"/>
  <c r="I39"/>
  <c r="J39" s="1"/>
  <c r="I40"/>
  <c r="J40" s="1"/>
  <c r="I41"/>
  <c r="J41" s="1"/>
  <c r="I42"/>
  <c r="J42" s="1"/>
  <c r="I43"/>
  <c r="J43" s="1"/>
  <c r="I44"/>
  <c r="J44" s="1"/>
  <c r="I45"/>
  <c r="J45" s="1"/>
  <c r="I46"/>
  <c r="J46" s="1"/>
  <c r="I47"/>
  <c r="J47" s="1"/>
  <c r="I48"/>
  <c r="J48" s="1"/>
  <c r="I49"/>
  <c r="J49" s="1"/>
  <c r="I50"/>
  <c r="J50" s="1"/>
  <c r="I51"/>
  <c r="J51" s="1"/>
  <c r="I52"/>
  <c r="J52" s="1"/>
  <c r="I53"/>
  <c r="J53" s="1"/>
  <c r="I54"/>
  <c r="J54" s="1"/>
  <c r="I55"/>
  <c r="J55" s="1"/>
  <c r="I56"/>
  <c r="J56" s="1"/>
  <c r="I57"/>
  <c r="J57" s="1"/>
  <c r="I58"/>
  <c r="J58" s="1"/>
  <c r="I59"/>
  <c r="J59" s="1"/>
  <c r="I60"/>
  <c r="J60" s="1"/>
  <c r="I61"/>
  <c r="J61" s="1"/>
  <c r="I62"/>
  <c r="J62" s="1"/>
  <c r="I63"/>
  <c r="J63" s="1"/>
  <c r="I64"/>
  <c r="J64" s="1"/>
  <c r="I65"/>
  <c r="J65" s="1"/>
  <c r="I66"/>
  <c r="J66" s="1"/>
  <c r="I67"/>
  <c r="J67" s="1"/>
  <c r="I68"/>
  <c r="J68" s="1"/>
  <c r="I69"/>
  <c r="J69" s="1"/>
  <c r="I70"/>
  <c r="J70" s="1"/>
  <c r="I71"/>
  <c r="J71" s="1"/>
  <c r="I72"/>
  <c r="J72" s="1"/>
  <c r="I73"/>
  <c r="J73" s="1"/>
  <c r="I74"/>
  <c r="J74" s="1"/>
  <c r="I75"/>
  <c r="J75" s="1"/>
  <c r="I76"/>
  <c r="J76" s="1"/>
  <c r="I77"/>
  <c r="J77" s="1"/>
  <c r="I78"/>
  <c r="J78" s="1"/>
  <c r="I79"/>
  <c r="J79" s="1"/>
  <c r="I80"/>
  <c r="J80" s="1"/>
  <c r="I81"/>
  <c r="J81" s="1"/>
  <c r="I82"/>
  <c r="J82" s="1"/>
  <c r="I83"/>
  <c r="J83" s="1"/>
  <c r="I84"/>
  <c r="J84" s="1"/>
  <c r="I85"/>
  <c r="J85" s="1"/>
  <c r="I86"/>
  <c r="J86" s="1"/>
  <c r="I87"/>
  <c r="J87" s="1"/>
  <c r="I88"/>
  <c r="J88" s="1"/>
  <c r="I89"/>
  <c r="J89" s="1"/>
  <c r="I90"/>
  <c r="J90" s="1"/>
  <c r="I91"/>
  <c r="J91" s="1"/>
  <c r="I92"/>
  <c r="J92" s="1"/>
  <c r="I93"/>
  <c r="J93" s="1"/>
  <c r="I94"/>
  <c r="J94" s="1"/>
  <c r="I95"/>
  <c r="J95" s="1"/>
  <c r="I96"/>
  <c r="J96" s="1"/>
  <c r="I97"/>
  <c r="J97" s="1"/>
  <c r="I98"/>
  <c r="J98" s="1"/>
  <c r="I99"/>
  <c r="J99" s="1"/>
  <c r="I100"/>
  <c r="J100" s="1"/>
  <c r="I101"/>
  <c r="J101" s="1"/>
  <c r="I102"/>
  <c r="J102" s="1"/>
  <c r="I103"/>
  <c r="J103" s="1"/>
  <c r="I104"/>
  <c r="J104" s="1"/>
  <c r="I105"/>
  <c r="J105" s="1"/>
  <c r="I106"/>
  <c r="J106" s="1"/>
  <c r="I107"/>
  <c r="J107" s="1"/>
  <c r="I108"/>
  <c r="J108" s="1"/>
  <c r="I109"/>
  <c r="J109" s="1"/>
  <c r="I110"/>
  <c r="J110" s="1"/>
  <c r="I111"/>
  <c r="J111" s="1"/>
  <c r="I112"/>
  <c r="J112" s="1"/>
  <c r="I113"/>
  <c r="J113" s="1"/>
  <c r="I114"/>
  <c r="J114" s="1"/>
  <c r="I115"/>
  <c r="J115" s="1"/>
  <c r="I116"/>
  <c r="J116" s="1"/>
  <c r="I117"/>
  <c r="J117" s="1"/>
  <c r="I118"/>
  <c r="J118" s="1"/>
  <c r="I119"/>
  <c r="J119" s="1"/>
  <c r="I120"/>
  <c r="J120" s="1"/>
  <c r="I121"/>
  <c r="J121" s="1"/>
  <c r="I122"/>
  <c r="J122" s="1"/>
  <c r="I123"/>
  <c r="J123" s="1"/>
  <c r="I124"/>
  <c r="J124" s="1"/>
  <c r="I125"/>
  <c r="J125" s="1"/>
  <c r="I126"/>
  <c r="J126" s="1"/>
  <c r="I127"/>
  <c r="J127" s="1"/>
  <c r="I128"/>
  <c r="J128" s="1"/>
  <c r="I129"/>
  <c r="J129" s="1"/>
  <c r="I130"/>
  <c r="J130" s="1"/>
  <c r="I131"/>
  <c r="J131" s="1"/>
  <c r="I132"/>
  <c r="J132" s="1"/>
  <c r="I133"/>
  <c r="J133" s="1"/>
  <c r="I134"/>
  <c r="J134" s="1"/>
  <c r="I135"/>
  <c r="J135" s="1"/>
  <c r="I136"/>
  <c r="J136" s="1"/>
  <c r="I137"/>
  <c r="J137" s="1"/>
  <c r="I138"/>
  <c r="J138" s="1"/>
  <c r="I139"/>
  <c r="J139" s="1"/>
  <c r="I140"/>
  <c r="J140" s="1"/>
  <c r="I141"/>
  <c r="J141" s="1"/>
  <c r="I142"/>
  <c r="J142" s="1"/>
  <c r="I143"/>
  <c r="J143" s="1"/>
  <c r="I144"/>
  <c r="J144" s="1"/>
  <c r="I145"/>
  <c r="J145" s="1"/>
  <c r="I146"/>
  <c r="J146" s="1"/>
  <c r="I147"/>
  <c r="J147" s="1"/>
  <c r="I148"/>
  <c r="J148" s="1"/>
  <c r="I149"/>
  <c r="J149" s="1"/>
  <c r="I150"/>
  <c r="J150" s="1"/>
  <c r="I151"/>
  <c r="J151" s="1"/>
  <c r="I152"/>
  <c r="J152" s="1"/>
  <c r="I153"/>
  <c r="J153" s="1"/>
  <c r="I154"/>
  <c r="J154" s="1"/>
  <c r="I155"/>
  <c r="J155" s="1"/>
  <c r="I156"/>
  <c r="J156" s="1"/>
  <c r="I157"/>
  <c r="J157" s="1"/>
  <c r="I158"/>
  <c r="J158" s="1"/>
  <c r="I159"/>
  <c r="J159" s="1"/>
  <c r="I160"/>
  <c r="J160" s="1"/>
  <c r="I161"/>
  <c r="J161" s="1"/>
  <c r="I162"/>
  <c r="J162" s="1"/>
  <c r="I163"/>
  <c r="J163" s="1"/>
  <c r="I164"/>
  <c r="J164" s="1"/>
  <c r="I165"/>
  <c r="J165" s="1"/>
  <c r="I166"/>
  <c r="J166" s="1"/>
  <c r="I167"/>
  <c r="J167" s="1"/>
  <c r="I168"/>
  <c r="J168" s="1"/>
  <c r="I169"/>
  <c r="J169" s="1"/>
  <c r="I170"/>
  <c r="J170" s="1"/>
  <c r="I171"/>
  <c r="J171" s="1"/>
  <c r="I172"/>
  <c r="J172" s="1"/>
  <c r="I173"/>
  <c r="J173" s="1"/>
  <c r="I174"/>
  <c r="J174" s="1"/>
  <c r="I175"/>
  <c r="J175" s="1"/>
  <c r="I176"/>
  <c r="J176" s="1"/>
  <c r="I177"/>
  <c r="J177" s="1"/>
  <c r="I178"/>
  <c r="J178" s="1"/>
  <c r="I179"/>
  <c r="J179" s="1"/>
  <c r="I180"/>
  <c r="J180" s="1"/>
  <c r="I181"/>
  <c r="J181" s="1"/>
  <c r="I182"/>
  <c r="J182" s="1"/>
  <c r="I183"/>
  <c r="J183" s="1"/>
  <c r="I184"/>
  <c r="J184" s="1"/>
  <c r="I185"/>
  <c r="J185" s="1"/>
  <c r="I186"/>
  <c r="J186" s="1"/>
  <c r="I187"/>
  <c r="J187" s="1"/>
  <c r="I188"/>
  <c r="J188" s="1"/>
  <c r="I189"/>
  <c r="J189" s="1"/>
  <c r="I190"/>
  <c r="J190" s="1"/>
  <c r="I191"/>
  <c r="J191" s="1"/>
  <c r="I192"/>
  <c r="J192" s="1"/>
  <c r="I193"/>
  <c r="J193" s="1"/>
  <c r="I194"/>
  <c r="J194" s="1"/>
  <c r="I195"/>
  <c r="J195" s="1"/>
  <c r="I196"/>
  <c r="J196" s="1"/>
  <c r="I197"/>
  <c r="J197" s="1"/>
  <c r="I198"/>
  <c r="J198" s="1"/>
  <c r="I199"/>
  <c r="J199" s="1"/>
  <c r="I200"/>
  <c r="J200" s="1"/>
  <c r="I201"/>
  <c r="J201" s="1"/>
  <c r="I202"/>
  <c r="J202" s="1"/>
  <c r="I203"/>
  <c r="J203" s="1"/>
  <c r="I204"/>
  <c r="J204" s="1"/>
  <c r="I205"/>
  <c r="J205" s="1"/>
  <c r="I206"/>
  <c r="J206" s="1"/>
  <c r="I207"/>
  <c r="J207" s="1"/>
  <c r="I208"/>
  <c r="J208" s="1"/>
  <c r="I209"/>
  <c r="J209" s="1"/>
  <c r="I210"/>
  <c r="J210" s="1"/>
  <c r="I211"/>
  <c r="J211" s="1"/>
  <c r="I212"/>
  <c r="J212" s="1"/>
  <c r="I213"/>
  <c r="J213" s="1"/>
  <c r="I214"/>
  <c r="J214" s="1"/>
  <c r="I215"/>
  <c r="J215" s="1"/>
  <c r="I216"/>
  <c r="J216" s="1"/>
  <c r="I217"/>
  <c r="J217" s="1"/>
  <c r="I218"/>
  <c r="J218" s="1"/>
  <c r="I219"/>
  <c r="J219" s="1"/>
  <c r="I220"/>
  <c r="J220" s="1"/>
  <c r="I221"/>
  <c r="J221" s="1"/>
  <c r="I222"/>
  <c r="J222" s="1"/>
  <c r="I223"/>
  <c r="J223" s="1"/>
  <c r="I224"/>
  <c r="J224" s="1"/>
  <c r="I225"/>
  <c r="J225" s="1"/>
  <c r="I226"/>
  <c r="J226" s="1"/>
  <c r="I227"/>
  <c r="J227" s="1"/>
  <c r="I228"/>
  <c r="J228" s="1"/>
  <c r="I229"/>
  <c r="J229" s="1"/>
  <c r="I230"/>
  <c r="J230" s="1"/>
  <c r="I231"/>
  <c r="J231" s="1"/>
  <c r="I232"/>
  <c r="J232" s="1"/>
  <c r="I233"/>
  <c r="J233" s="1"/>
  <c r="I234"/>
  <c r="J234" s="1"/>
  <c r="I235"/>
  <c r="J235" s="1"/>
  <c r="I236"/>
  <c r="J236" s="1"/>
  <c r="I237"/>
  <c r="J237" s="1"/>
  <c r="I238"/>
  <c r="J238" s="1"/>
  <c r="I239"/>
  <c r="J239" s="1"/>
  <c r="I240"/>
  <c r="J240" s="1"/>
  <c r="I241"/>
  <c r="J241" s="1"/>
  <c r="I242"/>
  <c r="J242" s="1"/>
  <c r="I243"/>
  <c r="J243" s="1"/>
  <c r="I244"/>
  <c r="J244" s="1"/>
  <c r="I245"/>
  <c r="J245" s="1"/>
  <c r="I246"/>
  <c r="J246" s="1"/>
  <c r="I247"/>
  <c r="J247" s="1"/>
  <c r="I248"/>
  <c r="J248" s="1"/>
  <c r="I249"/>
  <c r="J249" s="1"/>
  <c r="I250"/>
  <c r="J250" s="1"/>
  <c r="I251"/>
  <c r="J251" s="1"/>
  <c r="I252"/>
  <c r="J252" s="1"/>
  <c r="I253"/>
  <c r="J253" s="1"/>
  <c r="I254"/>
  <c r="J254" s="1"/>
  <c r="I255"/>
  <c r="J255" s="1"/>
  <c r="I256"/>
  <c r="J256" s="1"/>
  <c r="I257"/>
  <c r="J257" s="1"/>
  <c r="I258"/>
  <c r="J258" s="1"/>
  <c r="I259"/>
  <c r="J259" s="1"/>
  <c r="I260"/>
  <c r="J260" s="1"/>
  <c r="I261"/>
  <c r="J261" s="1"/>
  <c r="I262"/>
  <c r="J262" s="1"/>
  <c r="I263"/>
  <c r="J263" s="1"/>
  <c r="I264"/>
  <c r="J264" s="1"/>
  <c r="I265"/>
  <c r="J265" s="1"/>
  <c r="I266"/>
  <c r="J266" s="1"/>
  <c r="I267"/>
  <c r="J267" s="1"/>
  <c r="I268"/>
  <c r="J268" s="1"/>
  <c r="I269"/>
  <c r="J269" s="1"/>
  <c r="I270"/>
  <c r="J270" s="1"/>
  <c r="I271"/>
  <c r="J271" s="1"/>
  <c r="I272"/>
  <c r="J272" s="1"/>
  <c r="I273"/>
  <c r="J273" s="1"/>
  <c r="I274"/>
  <c r="J274" s="1"/>
  <c r="I275"/>
  <c r="J275" s="1"/>
  <c r="I276"/>
  <c r="J276" s="1"/>
  <c r="I277"/>
  <c r="J277" s="1"/>
  <c r="I278"/>
  <c r="J278" s="1"/>
  <c r="I279"/>
  <c r="J279" s="1"/>
  <c r="I280"/>
  <c r="J280" s="1"/>
  <c r="I281"/>
  <c r="J281" s="1"/>
  <c r="I282"/>
  <c r="J282" s="1"/>
  <c r="I283"/>
  <c r="J283" s="1"/>
  <c r="I284"/>
  <c r="J284" s="1"/>
  <c r="I285"/>
  <c r="J285" s="1"/>
  <c r="I286"/>
  <c r="J286" s="1"/>
  <c r="I287"/>
  <c r="J287" s="1"/>
  <c r="I288"/>
  <c r="J288" s="1"/>
  <c r="I289"/>
  <c r="J289" s="1"/>
  <c r="I290"/>
  <c r="J290" s="1"/>
  <c r="I291"/>
  <c r="J291" s="1"/>
  <c r="I292"/>
  <c r="J292" s="1"/>
  <c r="I293"/>
  <c r="J293" s="1"/>
  <c r="I294"/>
  <c r="J294" s="1"/>
  <c r="I295"/>
  <c r="J295" s="1"/>
  <c r="I296"/>
  <c r="J296" s="1"/>
  <c r="I297"/>
  <c r="J297" s="1"/>
  <c r="I298"/>
  <c r="J298" s="1"/>
  <c r="I299"/>
  <c r="J299" s="1"/>
  <c r="I300"/>
  <c r="J300" s="1"/>
  <c r="I301"/>
  <c r="J301" s="1"/>
  <c r="I302"/>
  <c r="J302" s="1"/>
  <c r="I303"/>
  <c r="J303" s="1"/>
  <c r="I304"/>
  <c r="J304" s="1"/>
  <c r="I305"/>
  <c r="J305" s="1"/>
  <c r="I306"/>
  <c r="J306" s="1"/>
  <c r="I307"/>
  <c r="J307" s="1"/>
  <c r="I308"/>
  <c r="J308" s="1"/>
  <c r="I309"/>
  <c r="J309" s="1"/>
  <c r="I310"/>
  <c r="J310" s="1"/>
  <c r="I311"/>
  <c r="J311" s="1"/>
  <c r="I312"/>
  <c r="J312" s="1"/>
  <c r="I313"/>
  <c r="J313" s="1"/>
  <c r="I314"/>
  <c r="J314" s="1"/>
  <c r="I315"/>
  <c r="J315" s="1"/>
  <c r="I316"/>
  <c r="J316" s="1"/>
  <c r="I317"/>
  <c r="J317" s="1"/>
  <c r="I318"/>
  <c r="J318" s="1"/>
  <c r="I319"/>
  <c r="J319" s="1"/>
  <c r="I5"/>
  <c r="J5" s="1"/>
  <c r="I25" i="1"/>
  <c r="I26"/>
  <c r="I24"/>
  <c r="E25"/>
  <c r="E26"/>
  <c r="E24"/>
  <c r="I15"/>
  <c r="I16"/>
  <c r="I14"/>
  <c r="H15"/>
  <c r="H16"/>
  <c r="H14"/>
  <c r="L9" i="8" s="1"/>
  <c r="G15" i="1"/>
  <c r="G16"/>
  <c r="G14"/>
  <c r="I10" i="8" s="1"/>
  <c r="L23" i="2" s="1"/>
  <c r="F15" i="1"/>
  <c r="F16"/>
  <c r="F14"/>
  <c r="F10" i="8" s="1"/>
  <c r="E15" i="1"/>
  <c r="E16"/>
  <c r="E8" i="8" s="1"/>
  <c r="H21" i="2" s="1"/>
  <c r="E14" i="1"/>
  <c r="D36" i="4"/>
  <c r="E8"/>
  <c r="N6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59" s="1"/>
  <c r="N60" s="1"/>
  <c r="N61" s="1"/>
  <c r="N62" s="1"/>
  <c r="N63" s="1"/>
  <c r="N64" s="1"/>
  <c r="N65" s="1"/>
  <c r="N66" s="1"/>
  <c r="N67" s="1"/>
  <c r="N68" s="1"/>
  <c r="N69" s="1"/>
  <c r="N70" s="1"/>
  <c r="N71" s="1"/>
  <c r="N72" s="1"/>
  <c r="N73" s="1"/>
  <c r="N74" s="1"/>
  <c r="N75" s="1"/>
  <c r="N76" s="1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102" s="1"/>
  <c r="N103" s="1"/>
  <c r="N104" s="1"/>
  <c r="N105" s="1"/>
  <c r="N106" s="1"/>
  <c r="N107" s="1"/>
  <c r="N108" s="1"/>
  <c r="N109" s="1"/>
  <c r="N110" s="1"/>
  <c r="N111" s="1"/>
  <c r="N112" s="1"/>
  <c r="N113" s="1"/>
  <c r="N114" s="1"/>
  <c r="N115" s="1"/>
  <c r="N116" s="1"/>
  <c r="N117" s="1"/>
  <c r="N118" s="1"/>
  <c r="N119" s="1"/>
  <c r="N120" s="1"/>
  <c r="N121" s="1"/>
  <c r="N122" s="1"/>
  <c r="N123" s="1"/>
  <c r="N124" s="1"/>
  <c r="N125" s="1"/>
  <c r="N126" s="1"/>
  <c r="N127" s="1"/>
  <c r="N128" s="1"/>
  <c r="N129" s="1"/>
  <c r="N130" s="1"/>
  <c r="N131" s="1"/>
  <c r="N132" s="1"/>
  <c r="N133" s="1"/>
  <c r="N134" s="1"/>
  <c r="N135" s="1"/>
  <c r="N136" s="1"/>
  <c r="N137" s="1"/>
  <c r="N138" s="1"/>
  <c r="N139" s="1"/>
  <c r="N140" s="1"/>
  <c r="N141" s="1"/>
  <c r="N142" s="1"/>
  <c r="N143" s="1"/>
  <c r="N144" s="1"/>
  <c r="N145" s="1"/>
  <c r="N146" s="1"/>
  <c r="N147" s="1"/>
  <c r="N148" s="1"/>
  <c r="N149" s="1"/>
  <c r="N150" s="1"/>
  <c r="N151" s="1"/>
  <c r="N152" s="1"/>
  <c r="N153" s="1"/>
  <c r="N154" s="1"/>
  <c r="N155" s="1"/>
  <c r="N156" s="1"/>
  <c r="N157" s="1"/>
  <c r="N158" s="1"/>
  <c r="N159" s="1"/>
  <c r="N160" s="1"/>
  <c r="N161" s="1"/>
  <c r="N162" s="1"/>
  <c r="N163" s="1"/>
  <c r="N164" s="1"/>
  <c r="N165" s="1"/>
  <c r="N166" s="1"/>
  <c r="N167" s="1"/>
  <c r="N168" s="1"/>
  <c r="N169" s="1"/>
  <c r="N170" s="1"/>
  <c r="N171" s="1"/>
  <c r="N172" s="1"/>
  <c r="N173" s="1"/>
  <c r="N174" s="1"/>
  <c r="N175" s="1"/>
  <c r="N176" s="1"/>
  <c r="N177" s="1"/>
  <c r="N178" s="1"/>
  <c r="N179" s="1"/>
  <c r="N180" s="1"/>
  <c r="N181" s="1"/>
  <c r="N182" s="1"/>
  <c r="N183" s="1"/>
  <c r="N184" s="1"/>
  <c r="N185" s="1"/>
  <c r="N186" s="1"/>
  <c r="N187" s="1"/>
  <c r="N188" s="1"/>
  <c r="N189" s="1"/>
  <c r="N190" s="1"/>
  <c r="N191" s="1"/>
  <c r="N192" s="1"/>
  <c r="N193" s="1"/>
  <c r="N194" s="1"/>
  <c r="N195" s="1"/>
  <c r="N196" s="1"/>
  <c r="N197" s="1"/>
  <c r="N198" s="1"/>
  <c r="N199" s="1"/>
  <c r="N200" s="1"/>
  <c r="N201" s="1"/>
  <c r="N202" s="1"/>
  <c r="N203" s="1"/>
  <c r="N204" s="1"/>
  <c r="N205" s="1"/>
  <c r="N206" s="1"/>
  <c r="N207" s="1"/>
  <c r="N208" s="1"/>
  <c r="N209" s="1"/>
  <c r="N210" s="1"/>
  <c r="N211" s="1"/>
  <c r="N212" s="1"/>
  <c r="N213" s="1"/>
  <c r="N214" s="1"/>
  <c r="N215" s="1"/>
  <c r="N216" s="1"/>
  <c r="N217" s="1"/>
  <c r="N218" s="1"/>
  <c r="N219" s="1"/>
  <c r="N220" s="1"/>
  <c r="N221" s="1"/>
  <c r="N222" s="1"/>
  <c r="N223" s="1"/>
  <c r="N224" s="1"/>
  <c r="N225" s="1"/>
  <c r="N226" s="1"/>
  <c r="N227" s="1"/>
  <c r="N228" s="1"/>
  <c r="N229" s="1"/>
  <c r="N230" s="1"/>
  <c r="N231" s="1"/>
  <c r="N232" s="1"/>
  <c r="N233" s="1"/>
  <c r="N234" s="1"/>
  <c r="N235" s="1"/>
  <c r="N236" s="1"/>
  <c r="N237" s="1"/>
  <c r="N238" s="1"/>
  <c r="N239" s="1"/>
  <c r="N240" s="1"/>
  <c r="N241" s="1"/>
  <c r="N242" s="1"/>
  <c r="N243" s="1"/>
  <c r="N244" s="1"/>
  <c r="N245" s="1"/>
  <c r="N246" s="1"/>
  <c r="N247" s="1"/>
  <c r="N248" s="1"/>
  <c r="N249" s="1"/>
  <c r="N250" s="1"/>
  <c r="N251" s="1"/>
  <c r="N252" s="1"/>
  <c r="N253" s="1"/>
  <c r="N254" s="1"/>
  <c r="N255" s="1"/>
  <c r="N256" s="1"/>
  <c r="N257" s="1"/>
  <c r="N258" s="1"/>
  <c r="N259" s="1"/>
  <c r="N260" s="1"/>
  <c r="N261" s="1"/>
  <c r="N262" s="1"/>
  <c r="N263" s="1"/>
  <c r="N264" s="1"/>
  <c r="N265" s="1"/>
  <c r="N266" s="1"/>
  <c r="N267" s="1"/>
  <c r="N268" s="1"/>
  <c r="N269" s="1"/>
  <c r="N270" s="1"/>
  <c r="N271" s="1"/>
  <c r="N272" s="1"/>
  <c r="N273" s="1"/>
  <c r="N274" s="1"/>
  <c r="N275" s="1"/>
  <c r="N276" s="1"/>
  <c r="N277" s="1"/>
  <c r="N278" s="1"/>
  <c r="N279" s="1"/>
  <c r="N280" s="1"/>
  <c r="N281" s="1"/>
  <c r="N282" s="1"/>
  <c r="N283" s="1"/>
  <c r="N284" s="1"/>
  <c r="N285" s="1"/>
  <c r="N286" s="1"/>
  <c r="N287" s="1"/>
  <c r="N288" s="1"/>
  <c r="N289" s="1"/>
  <c r="N290" s="1"/>
  <c r="N291" s="1"/>
  <c r="N292" s="1"/>
  <c r="N293" s="1"/>
  <c r="N294" s="1"/>
  <c r="N295" s="1"/>
  <c r="N296" s="1"/>
  <c r="N297" s="1"/>
  <c r="N298" s="1"/>
  <c r="N299" s="1"/>
  <c r="N300" s="1"/>
  <c r="N301" s="1"/>
  <c r="N302" s="1"/>
  <c r="N303" s="1"/>
  <c r="N304" s="1"/>
  <c r="N305" s="1"/>
  <c r="N306" s="1"/>
  <c r="N307" s="1"/>
  <c r="N308" s="1"/>
  <c r="N309" s="1"/>
  <c r="N310" s="1"/>
  <c r="N311" s="1"/>
  <c r="N312" s="1"/>
  <c r="N313" s="1"/>
  <c r="N314" s="1"/>
  <c r="N315" s="1"/>
  <c r="N316" s="1"/>
  <c r="N317" s="1"/>
  <c r="N318" s="1"/>
  <c r="N319" s="1"/>
  <c r="B25" i="8"/>
  <c r="B26" s="1"/>
  <c r="B27" s="1"/>
  <c r="B28" s="1"/>
  <c r="B29" s="1"/>
  <c r="B30" s="1"/>
  <c r="B31" s="1"/>
  <c r="B32" s="1"/>
  <c r="B33" s="1"/>
  <c r="B34" s="1"/>
  <c r="B35" s="1"/>
  <c r="Q7"/>
  <c r="T20" i="2" s="1"/>
  <c r="Q8" i="8"/>
  <c r="T21" i="2" s="1"/>
  <c r="Q9" i="8"/>
  <c r="T22" i="2" s="1"/>
  <c r="Q10" i="8"/>
  <c r="T23" i="2" s="1"/>
  <c r="Q11" i="8"/>
  <c r="T24" i="2" s="1"/>
  <c r="Q12" i="8"/>
  <c r="T25" i="2" s="1"/>
  <c r="Q13" i="8"/>
  <c r="T26" i="2" s="1"/>
  <c r="Q14" i="8"/>
  <c r="T27" i="2" s="1"/>
  <c r="Q15" i="8"/>
  <c r="T28" i="2" s="1"/>
  <c r="Q16" i="8"/>
  <c r="T29" i="2" s="1"/>
  <c r="Q17" i="8"/>
  <c r="T30" i="2" s="1"/>
  <c r="Q6" i="8"/>
  <c r="T19" i="2" s="1"/>
  <c r="P7" i="8"/>
  <c r="S20" i="2" s="1"/>
  <c r="P8" i="8"/>
  <c r="S21" i="2" s="1"/>
  <c r="P9" i="8"/>
  <c r="S22" i="2" s="1"/>
  <c r="P10" i="8"/>
  <c r="S23" i="2" s="1"/>
  <c r="P11" i="8"/>
  <c r="S24" i="2" s="1"/>
  <c r="P12" i="8"/>
  <c r="S25" i="2" s="1"/>
  <c r="P13" i="8"/>
  <c r="S26" i="2" s="1"/>
  <c r="P14" i="8"/>
  <c r="S27" i="2" s="1"/>
  <c r="P15" i="8"/>
  <c r="S28" i="2" s="1"/>
  <c r="P16" i="8"/>
  <c r="S29" i="2" s="1"/>
  <c r="P17" i="8"/>
  <c r="S30" i="2" s="1"/>
  <c r="P6" i="8"/>
  <c r="S19" i="2" s="1"/>
  <c r="O17" i="8"/>
  <c r="R30" i="2" s="1"/>
  <c r="N7" i="8"/>
  <c r="N8"/>
  <c r="N9"/>
  <c r="N10"/>
  <c r="N11"/>
  <c r="N12"/>
  <c r="N13"/>
  <c r="N14"/>
  <c r="N15"/>
  <c r="N16"/>
  <c r="N17"/>
  <c r="N6"/>
  <c r="M7"/>
  <c r="M8"/>
  <c r="M9"/>
  <c r="M10"/>
  <c r="M11"/>
  <c r="M12"/>
  <c r="M13"/>
  <c r="M14"/>
  <c r="M15"/>
  <c r="M16"/>
  <c r="M17"/>
  <c r="M6"/>
  <c r="L10"/>
  <c r="L14"/>
  <c r="L6"/>
  <c r="K7"/>
  <c r="N20" i="2" s="1"/>
  <c r="K8" i="8"/>
  <c r="N21" i="2" s="1"/>
  <c r="K9" i="8"/>
  <c r="N22" i="2" s="1"/>
  <c r="K10" i="8"/>
  <c r="N23" i="2" s="1"/>
  <c r="K11" i="8"/>
  <c r="N24" i="2" s="1"/>
  <c r="K12" i="8"/>
  <c r="N25" i="2" s="1"/>
  <c r="K13" i="8"/>
  <c r="N26" i="2" s="1"/>
  <c r="K14" i="8"/>
  <c r="N27" i="2" s="1"/>
  <c r="K15" i="8"/>
  <c r="N28" i="2" s="1"/>
  <c r="K16" i="8"/>
  <c r="N29" i="2" s="1"/>
  <c r="K17" i="8"/>
  <c r="N30" i="2" s="1"/>
  <c r="K6" i="8"/>
  <c r="N19" i="2" s="1"/>
  <c r="J7" i="8"/>
  <c r="M20" i="2" s="1"/>
  <c r="J8" i="8"/>
  <c r="M21" i="2" s="1"/>
  <c r="J9" i="8"/>
  <c r="M22" i="2" s="1"/>
  <c r="J10" i="8"/>
  <c r="M23" i="2" s="1"/>
  <c r="J11" i="8"/>
  <c r="M24" i="2" s="1"/>
  <c r="J12" i="8"/>
  <c r="M25" i="2" s="1"/>
  <c r="J13" i="8"/>
  <c r="M26" i="2" s="1"/>
  <c r="J14" i="8"/>
  <c r="M27" i="2" s="1"/>
  <c r="J15" i="8"/>
  <c r="M28" i="2" s="1"/>
  <c r="J16" i="8"/>
  <c r="M29" i="2" s="1"/>
  <c r="J17" i="8"/>
  <c r="M30" i="2" s="1"/>
  <c r="J6" i="8"/>
  <c r="M19" i="2" s="1"/>
  <c r="I7" i="8"/>
  <c r="L20" i="2" s="1"/>
  <c r="I11" i="8"/>
  <c r="L24" i="2" s="1"/>
  <c r="I15" i="8"/>
  <c r="L28" i="2" s="1"/>
  <c r="H7" i="8"/>
  <c r="H8"/>
  <c r="H9"/>
  <c r="H10"/>
  <c r="H11"/>
  <c r="H12"/>
  <c r="H13"/>
  <c r="H14"/>
  <c r="H15"/>
  <c r="H16"/>
  <c r="H17"/>
  <c r="H6"/>
  <c r="G7"/>
  <c r="G8"/>
  <c r="G9"/>
  <c r="G10"/>
  <c r="G11"/>
  <c r="G12"/>
  <c r="G13"/>
  <c r="G14"/>
  <c r="G15"/>
  <c r="G16"/>
  <c r="G17"/>
  <c r="G6"/>
  <c r="F7"/>
  <c r="F11"/>
  <c r="F15"/>
  <c r="E7"/>
  <c r="H20" i="2" s="1"/>
  <c r="E9" i="8"/>
  <c r="H22" i="2" s="1"/>
  <c r="E11" i="8"/>
  <c r="H24" i="2" s="1"/>
  <c r="E13" i="8"/>
  <c r="H26" i="2" s="1"/>
  <c r="E15" i="8"/>
  <c r="H28" i="2" s="1"/>
  <c r="E17" i="8"/>
  <c r="H30" i="2" s="1"/>
  <c r="D7" i="8"/>
  <c r="G20" i="2" s="1"/>
  <c r="D8" i="8"/>
  <c r="G21" i="2" s="1"/>
  <c r="D9" i="8"/>
  <c r="G22" i="2" s="1"/>
  <c r="D10" i="8"/>
  <c r="G23" i="2" s="1"/>
  <c r="D11" i="8"/>
  <c r="G24" i="2" s="1"/>
  <c r="D12" i="8"/>
  <c r="G25" i="2" s="1"/>
  <c r="D13" i="8"/>
  <c r="G26" i="2" s="1"/>
  <c r="D14" i="8"/>
  <c r="G27" i="2" s="1"/>
  <c r="D15" i="8"/>
  <c r="G28" i="2" s="1"/>
  <c r="D16" i="8"/>
  <c r="G29" i="2" s="1"/>
  <c r="D17" i="8"/>
  <c r="G30" i="2" s="1"/>
  <c r="D6" i="8"/>
  <c r="G19" i="2" s="1"/>
  <c r="H20" i="1"/>
  <c r="H21"/>
  <c r="F20"/>
  <c r="F21"/>
  <c r="E20"/>
  <c r="E21"/>
  <c r="H19"/>
  <c r="F19"/>
  <c r="E19"/>
  <c r="B7" i="8"/>
  <c r="B8" s="1"/>
  <c r="B9" s="1"/>
  <c r="B10" s="1"/>
  <c r="B11" s="1"/>
  <c r="B12" s="1"/>
  <c r="B13" s="1"/>
  <c r="B14" s="1"/>
  <c r="B15" s="1"/>
  <c r="B16" s="1"/>
  <c r="B17" s="1"/>
  <c r="B7" i="3"/>
  <c r="B8" s="1"/>
  <c r="B9" s="1"/>
  <c r="B10" s="1"/>
  <c r="B11" s="1"/>
  <c r="B12" s="1"/>
  <c r="B13" s="1"/>
  <c r="B14" s="1"/>
  <c r="B15" s="1"/>
  <c r="B16" s="1"/>
  <c r="B17" s="1"/>
  <c r="B20" i="2"/>
  <c r="B21" s="1"/>
  <c r="B22" s="1"/>
  <c r="B23" s="1"/>
  <c r="B24" s="1"/>
  <c r="B25" s="1"/>
  <c r="B26" s="1"/>
  <c r="B27" s="1"/>
  <c r="B28" s="1"/>
  <c r="B29" s="1"/>
  <c r="B30" s="1"/>
  <c r="E4"/>
  <c r="D5"/>
  <c r="D6"/>
  <c r="D7"/>
  <c r="D8"/>
  <c r="D9"/>
  <c r="D10"/>
  <c r="D11"/>
  <c r="D12"/>
  <c r="D13"/>
  <c r="D14"/>
  <c r="D15"/>
  <c r="D4"/>
  <c r="B9" i="1"/>
  <c r="B10" s="1"/>
  <c r="B5" i="2"/>
  <c r="B15" i="1"/>
  <c r="G35" s="1"/>
  <c r="B14"/>
  <c r="G34" s="1"/>
  <c r="B52"/>
  <c r="B51"/>
  <c r="B50"/>
  <c r="G11"/>
  <c r="G10"/>
  <c r="G9"/>
  <c r="G8"/>
  <c r="G7"/>
  <c r="B44" s="1"/>
  <c r="B40"/>
  <c r="Q30" i="2" l="1"/>
  <c r="N35" i="8"/>
  <c r="Q26" i="2"/>
  <c r="N31" i="8"/>
  <c r="Q22" i="2"/>
  <c r="N27" i="8"/>
  <c r="Q27" i="2"/>
  <c r="N32" i="8"/>
  <c r="Q23" i="2"/>
  <c r="N28" i="8"/>
  <c r="Q28" i="2"/>
  <c r="N33" i="8"/>
  <c r="Q24" i="2"/>
  <c r="N29" i="8"/>
  <c r="Q20" i="2"/>
  <c r="N25" i="8"/>
  <c r="Q29" i="2"/>
  <c r="N34" i="8"/>
  <c r="Q25" i="2"/>
  <c r="N30" i="8"/>
  <c r="Q21" i="2"/>
  <c r="N26" i="8"/>
  <c r="Q19" i="2"/>
  <c r="N24" i="8"/>
  <c r="P30" i="2"/>
  <c r="M35" i="8"/>
  <c r="P26" i="2"/>
  <c r="M31" i="8"/>
  <c r="P22" i="2"/>
  <c r="M27" i="8"/>
  <c r="P27" i="2"/>
  <c r="M32" i="8"/>
  <c r="P23" i="2"/>
  <c r="M28" i="8"/>
  <c r="P28" i="2"/>
  <c r="M33" i="8"/>
  <c r="P24" i="2"/>
  <c r="M29" i="8"/>
  <c r="P20" i="2"/>
  <c r="M25" i="8"/>
  <c r="P29" i="2"/>
  <c r="M34" i="8"/>
  <c r="P25" i="2"/>
  <c r="M30" i="8"/>
  <c r="P21" i="2"/>
  <c r="M26" i="8"/>
  <c r="P19" i="2"/>
  <c r="M24" i="8"/>
  <c r="L32"/>
  <c r="O27" i="2" s="1"/>
  <c r="O23"/>
  <c r="L28" i="8"/>
  <c r="O22" i="2"/>
  <c r="L27" i="8"/>
  <c r="O19" i="2"/>
  <c r="L24" i="8"/>
  <c r="K28" i="2"/>
  <c r="H33" i="8"/>
  <c r="K24" i="2"/>
  <c r="H29" i="8"/>
  <c r="K20" i="2"/>
  <c r="H25" i="8"/>
  <c r="K29" i="2"/>
  <c r="H34" i="8"/>
  <c r="K25" i="2"/>
  <c r="H30" i="8"/>
  <c r="K21" i="2"/>
  <c r="H26" i="8"/>
  <c r="K30" i="2"/>
  <c r="H35" i="8"/>
  <c r="K26" i="2"/>
  <c r="H31" i="8"/>
  <c r="K22" i="2"/>
  <c r="H27" i="8"/>
  <c r="K27" i="2"/>
  <c r="H32" i="8"/>
  <c r="K23" i="2"/>
  <c r="H28" i="8"/>
  <c r="K19" i="2"/>
  <c r="H24" i="8"/>
  <c r="J28" i="2"/>
  <c r="G33" i="8"/>
  <c r="J24" i="2"/>
  <c r="G29" i="8"/>
  <c r="J20" i="2"/>
  <c r="G25" i="8"/>
  <c r="J29" i="2"/>
  <c r="G34" i="8"/>
  <c r="J25" i="2"/>
  <c r="G30" i="8"/>
  <c r="J21" i="2"/>
  <c r="G26" i="8"/>
  <c r="J30" i="2"/>
  <c r="G35" i="8"/>
  <c r="J26" i="2"/>
  <c r="G31" i="8"/>
  <c r="J22" i="2"/>
  <c r="G27" i="8"/>
  <c r="J27" i="2"/>
  <c r="G32" i="8"/>
  <c r="J23" i="2"/>
  <c r="G28" i="8"/>
  <c r="J19" i="2"/>
  <c r="G24" i="8"/>
  <c r="F25"/>
  <c r="I20" i="2" s="1"/>
  <c r="I24"/>
  <c r="F29" i="8"/>
  <c r="F28"/>
  <c r="I23" i="2" s="1"/>
  <c r="I28"/>
  <c r="F33" i="8"/>
  <c r="O9"/>
  <c r="R22" i="2" s="1"/>
  <c r="O8" i="8"/>
  <c r="R21" i="2" s="1"/>
  <c r="O13" i="8"/>
  <c r="R26" i="2" s="1"/>
  <c r="C9" i="8"/>
  <c r="F22" i="2" s="1"/>
  <c r="C17" i="8"/>
  <c r="F30" i="2" s="1"/>
  <c r="O6" i="8"/>
  <c r="O10"/>
  <c r="R23" i="2" s="1"/>
  <c r="O15" i="8"/>
  <c r="R28" i="2" s="1"/>
  <c r="O11" i="8"/>
  <c r="R24" i="2" s="1"/>
  <c r="O7" i="8"/>
  <c r="R20" i="2" s="1"/>
  <c r="O14" i="8"/>
  <c r="R27" i="2" s="1"/>
  <c r="O16" i="8"/>
  <c r="R29" i="2" s="1"/>
  <c r="O12" i="8"/>
  <c r="R25" i="2" s="1"/>
  <c r="L15" i="8"/>
  <c r="L11"/>
  <c r="L7"/>
  <c r="L16"/>
  <c r="L12"/>
  <c r="L8"/>
  <c r="L17"/>
  <c r="L13"/>
  <c r="I16"/>
  <c r="L29" i="2" s="1"/>
  <c r="I12" i="8"/>
  <c r="L25" i="2" s="1"/>
  <c r="I8" i="8"/>
  <c r="L21" i="2" s="1"/>
  <c r="I17" i="8"/>
  <c r="L30" i="2" s="1"/>
  <c r="I13" i="8"/>
  <c r="L26" i="2" s="1"/>
  <c r="I9" i="8"/>
  <c r="L22" i="2" s="1"/>
  <c r="I6" i="8"/>
  <c r="L19" i="2" s="1"/>
  <c r="I14" i="8"/>
  <c r="L27" i="2" s="1"/>
  <c r="F16" i="8"/>
  <c r="F12"/>
  <c r="F8"/>
  <c r="F17"/>
  <c r="F13"/>
  <c r="F9"/>
  <c r="F6"/>
  <c r="F14"/>
  <c r="E6"/>
  <c r="H19" i="2" s="1"/>
  <c r="E14" i="8"/>
  <c r="H27" i="2" s="1"/>
  <c r="E10" i="8"/>
  <c r="H23" i="2" s="1"/>
  <c r="E16" i="8"/>
  <c r="H29" i="2" s="1"/>
  <c r="E12" i="8"/>
  <c r="H25" i="2" s="1"/>
  <c r="C13" i="8"/>
  <c r="F26" i="2" s="1"/>
  <c r="C8" i="8"/>
  <c r="F21" i="2" s="1"/>
  <c r="C6" i="8"/>
  <c r="F19" i="2" s="1"/>
  <c r="C14" i="8"/>
  <c r="F27" i="2" s="1"/>
  <c r="C10" i="8"/>
  <c r="F23" i="2" s="1"/>
  <c r="C15" i="8"/>
  <c r="F28" i="2" s="1"/>
  <c r="C11" i="8"/>
  <c r="F24" i="2" s="1"/>
  <c r="C7" i="8"/>
  <c r="F20" i="2" s="1"/>
  <c r="C16" i="8"/>
  <c r="F29" i="2" s="1"/>
  <c r="C12" i="8"/>
  <c r="F25" i="2" s="1"/>
  <c r="H40" i="1"/>
  <c r="G39"/>
  <c r="G40"/>
  <c r="G37"/>
  <c r="G38"/>
  <c r="H38"/>
  <c r="H39"/>
  <c r="I39"/>
  <c r="I40"/>
  <c r="I38"/>
  <c r="B6" i="2"/>
  <c r="B7" s="1"/>
  <c r="B8" s="1"/>
  <c r="B9" s="1"/>
  <c r="B10" s="1"/>
  <c r="B11" s="1"/>
  <c r="B12" s="1"/>
  <c r="B13" s="1"/>
  <c r="B14" s="1"/>
  <c r="B15" s="1"/>
  <c r="E5"/>
  <c r="B54" i="1"/>
  <c r="E35" s="1"/>
  <c r="B45"/>
  <c r="B46" s="1"/>
  <c r="B47" s="1"/>
  <c r="B19"/>
  <c r="B53"/>
  <c r="E34" s="1"/>
  <c r="H8"/>
  <c r="G5" i="2" s="1"/>
  <c r="H7" i="1"/>
  <c r="F5" i="2" s="1"/>
  <c r="H9" i="1"/>
  <c r="O21" i="2" l="1"/>
  <c r="L26" i="8"/>
  <c r="O24" i="2"/>
  <c r="L29" i="8"/>
  <c r="O30" i="2"/>
  <c r="L35" i="8"/>
  <c r="O20" i="2"/>
  <c r="L25" i="8"/>
  <c r="O26" i="2"/>
  <c r="L31" i="8"/>
  <c r="O29" i="2"/>
  <c r="L34" i="8"/>
  <c r="O25" i="2"/>
  <c r="L30" i="8"/>
  <c r="O28" i="2"/>
  <c r="L33" i="8"/>
  <c r="F35"/>
  <c r="I30" i="2" s="1"/>
  <c r="I27"/>
  <c r="F32" i="8"/>
  <c r="F31"/>
  <c r="I26" i="2" s="1"/>
  <c r="I29"/>
  <c r="F34" i="8"/>
  <c r="F27"/>
  <c r="I22" i="2" s="1"/>
  <c r="I25"/>
  <c r="F30" i="8"/>
  <c r="F26"/>
  <c r="I21" i="2" s="1"/>
  <c r="I19"/>
  <c r="F24" i="8"/>
  <c r="I7" i="3"/>
  <c r="O7"/>
  <c r="P7"/>
  <c r="J7"/>
  <c r="I9" i="1"/>
  <c r="H4" i="2"/>
  <c r="H5"/>
  <c r="I7" i="1"/>
  <c r="J7" s="1"/>
  <c r="F4" i="2"/>
  <c r="H15"/>
  <c r="I8" i="1"/>
  <c r="J8" s="1"/>
  <c r="G4" i="2"/>
  <c r="I5"/>
  <c r="C7" i="3"/>
  <c r="J5" i="2"/>
  <c r="D7" i="3"/>
  <c r="G10" i="2"/>
  <c r="H10"/>
  <c r="H6"/>
  <c r="H13"/>
  <c r="E9"/>
  <c r="F14"/>
  <c r="G6"/>
  <c r="F10"/>
  <c r="H9"/>
  <c r="G13"/>
  <c r="H8"/>
  <c r="F8"/>
  <c r="H11"/>
  <c r="E7"/>
  <c r="H12"/>
  <c r="F12"/>
  <c r="G7"/>
  <c r="H14"/>
  <c r="F6"/>
  <c r="E10"/>
  <c r="G9"/>
  <c r="F13"/>
  <c r="E12"/>
  <c r="G12"/>
  <c r="H7"/>
  <c r="F11"/>
  <c r="G14"/>
  <c r="E6"/>
  <c r="F9"/>
  <c r="E13"/>
  <c r="G8"/>
  <c r="E8"/>
  <c r="F7"/>
  <c r="G11"/>
  <c r="E15"/>
  <c r="G15"/>
  <c r="E11"/>
  <c r="F15"/>
  <c r="E14"/>
  <c r="J9" i="1"/>
  <c r="B56"/>
  <c r="B58"/>
  <c r="B57"/>
  <c r="B39"/>
  <c r="J17" i="3" l="1"/>
  <c r="P17"/>
  <c r="I9"/>
  <c r="O9"/>
  <c r="I11"/>
  <c r="O11"/>
  <c r="K9"/>
  <c r="Q9"/>
  <c r="P11"/>
  <c r="J11"/>
  <c r="J9"/>
  <c r="P9"/>
  <c r="K13"/>
  <c r="Q13"/>
  <c r="K11"/>
  <c r="Q11"/>
  <c r="P12"/>
  <c r="J12"/>
  <c r="I6"/>
  <c r="O6"/>
  <c r="I21" i="1"/>
  <c r="G21"/>
  <c r="O17" i="3"/>
  <c r="I17"/>
  <c r="I13"/>
  <c r="O13"/>
  <c r="I15"/>
  <c r="O15"/>
  <c r="K16"/>
  <c r="Q16"/>
  <c r="P15"/>
  <c r="J15"/>
  <c r="I16"/>
  <c r="O16"/>
  <c r="K12"/>
  <c r="Q12"/>
  <c r="E17"/>
  <c r="E30" i="2" s="1"/>
  <c r="K17" i="3"/>
  <c r="Q17"/>
  <c r="Q6"/>
  <c r="K6"/>
  <c r="J13"/>
  <c r="P13"/>
  <c r="P10"/>
  <c r="J10"/>
  <c r="P16"/>
  <c r="J16"/>
  <c r="I8"/>
  <c r="O8"/>
  <c r="K14"/>
  <c r="Q14"/>
  <c r="K10"/>
  <c r="Q10"/>
  <c r="P8"/>
  <c r="J8"/>
  <c r="K8"/>
  <c r="Q8"/>
  <c r="G20" i="1"/>
  <c r="I20"/>
  <c r="K7" i="3"/>
  <c r="Q7"/>
  <c r="P14"/>
  <c r="J14"/>
  <c r="I14"/>
  <c r="O14"/>
  <c r="I10"/>
  <c r="O10"/>
  <c r="I12"/>
  <c r="O12"/>
  <c r="K15"/>
  <c r="Q15"/>
  <c r="J6"/>
  <c r="P6"/>
  <c r="I19" i="1"/>
  <c r="G19"/>
  <c r="I4" i="2"/>
  <c r="L4" s="1"/>
  <c r="O4" s="1"/>
  <c r="C6" i="3"/>
  <c r="M5" i="2"/>
  <c r="P5" s="1"/>
  <c r="K15"/>
  <c r="N15" s="1"/>
  <c r="Q15" s="1"/>
  <c r="L5"/>
  <c r="O5" s="1"/>
  <c r="K4"/>
  <c r="N4" s="1"/>
  <c r="Q4" s="1"/>
  <c r="E6" i="3"/>
  <c r="E19" i="2" s="1"/>
  <c r="C20"/>
  <c r="K5"/>
  <c r="N5" s="1"/>
  <c r="Q5" s="1"/>
  <c r="E7" i="3"/>
  <c r="E20" i="2" s="1"/>
  <c r="D20"/>
  <c r="J4"/>
  <c r="M4" s="1"/>
  <c r="P4" s="1"/>
  <c r="D6" i="3"/>
  <c r="D19" i="2" s="1"/>
  <c r="I7"/>
  <c r="L7" s="1"/>
  <c r="O7" s="1"/>
  <c r="C9" i="3"/>
  <c r="I9" i="2"/>
  <c r="L9" s="1"/>
  <c r="O9" s="1"/>
  <c r="C11" i="3"/>
  <c r="K7" i="2"/>
  <c r="N7" s="1"/>
  <c r="Q7" s="1"/>
  <c r="E9" i="3"/>
  <c r="E22" i="2" s="1"/>
  <c r="J9"/>
  <c r="M9" s="1"/>
  <c r="P9" s="1"/>
  <c r="D11" i="3"/>
  <c r="D24" i="2" s="1"/>
  <c r="J7"/>
  <c r="M7" s="1"/>
  <c r="P7" s="1"/>
  <c r="D9" i="3"/>
  <c r="D22" i="2" s="1"/>
  <c r="K11"/>
  <c r="N11" s="1"/>
  <c r="Q11" s="1"/>
  <c r="E13" i="3"/>
  <c r="E26" i="2" s="1"/>
  <c r="K9"/>
  <c r="N9" s="1"/>
  <c r="Q9" s="1"/>
  <c r="E11" i="3"/>
  <c r="E24" i="2" s="1"/>
  <c r="J10"/>
  <c r="M10" s="1"/>
  <c r="P10" s="1"/>
  <c r="D12" i="3"/>
  <c r="D25" i="2" s="1"/>
  <c r="I15"/>
  <c r="L15" s="1"/>
  <c r="O15" s="1"/>
  <c r="C17" i="3"/>
  <c r="J11" i="2"/>
  <c r="M11" s="1"/>
  <c r="P11" s="1"/>
  <c r="D13" i="3"/>
  <c r="D26" i="2" s="1"/>
  <c r="I11"/>
  <c r="L11" s="1"/>
  <c r="O11" s="1"/>
  <c r="C13" i="3"/>
  <c r="I13" i="2"/>
  <c r="L13" s="1"/>
  <c r="O13" s="1"/>
  <c r="C15" i="3"/>
  <c r="K14" i="2"/>
  <c r="N14" s="1"/>
  <c r="Q14" s="1"/>
  <c r="E16" i="3"/>
  <c r="E29" i="2" s="1"/>
  <c r="J13"/>
  <c r="M13" s="1"/>
  <c r="P13" s="1"/>
  <c r="D15" i="3"/>
  <c r="D28" i="2" s="1"/>
  <c r="I14"/>
  <c r="L14" s="1"/>
  <c r="O14" s="1"/>
  <c r="C16" i="3"/>
  <c r="K10" i="2"/>
  <c r="N10" s="1"/>
  <c r="Q10" s="1"/>
  <c r="E12" i="3"/>
  <c r="E25" i="2" s="1"/>
  <c r="J8"/>
  <c r="M8" s="1"/>
  <c r="P8" s="1"/>
  <c r="D10" i="3"/>
  <c r="D23" i="2" s="1"/>
  <c r="J14"/>
  <c r="M14" s="1"/>
  <c r="P14" s="1"/>
  <c r="D16" i="3"/>
  <c r="D29" i="2" s="1"/>
  <c r="I6"/>
  <c r="L6" s="1"/>
  <c r="O6" s="1"/>
  <c r="C8" i="3"/>
  <c r="K12" i="2"/>
  <c r="N12" s="1"/>
  <c r="Q12" s="1"/>
  <c r="E14" i="3"/>
  <c r="E27" i="2" s="1"/>
  <c r="K8"/>
  <c r="N8" s="1"/>
  <c r="Q8" s="1"/>
  <c r="E10" i="3"/>
  <c r="E23" i="2" s="1"/>
  <c r="J6"/>
  <c r="M6" s="1"/>
  <c r="P6" s="1"/>
  <c r="D8" i="3"/>
  <c r="D21" i="2" s="1"/>
  <c r="K6"/>
  <c r="N6" s="1"/>
  <c r="Q6" s="1"/>
  <c r="E8" i="3"/>
  <c r="E21" i="2" s="1"/>
  <c r="J15"/>
  <c r="M15" s="1"/>
  <c r="P15" s="1"/>
  <c r="D17" i="3"/>
  <c r="D30" i="2" s="1"/>
  <c r="J12"/>
  <c r="M12" s="1"/>
  <c r="P12" s="1"/>
  <c r="D14" i="3"/>
  <c r="D27" i="2" s="1"/>
  <c r="I12"/>
  <c r="L12" s="1"/>
  <c r="O12" s="1"/>
  <c r="C14" i="3"/>
  <c r="I8" i="2"/>
  <c r="L8" s="1"/>
  <c r="O8" s="1"/>
  <c r="C10" i="3"/>
  <c r="I10" i="2"/>
  <c r="L10" s="1"/>
  <c r="O10" s="1"/>
  <c r="C12" i="3"/>
  <c r="K13" i="2"/>
  <c r="N13" s="1"/>
  <c r="Q13" s="1"/>
  <c r="E15" i="3"/>
  <c r="E28" i="2" s="1"/>
  <c r="E31" i="1"/>
  <c r="C30" i="2" l="1"/>
  <c r="C22"/>
  <c r="C25"/>
  <c r="C21"/>
  <c r="C29"/>
  <c r="C26"/>
  <c r="C19"/>
  <c r="C24"/>
  <c r="C23"/>
  <c r="C27"/>
  <c r="C28"/>
  <c r="I30" i="1"/>
  <c r="E30"/>
  <c r="I31"/>
  <c r="I29"/>
  <c r="F31"/>
  <c r="G31"/>
  <c r="H31"/>
  <c r="F29"/>
  <c r="H29"/>
  <c r="G29"/>
  <c r="F30"/>
  <c r="H30"/>
  <c r="G30"/>
  <c r="E29"/>
  <c r="P5" i="4"/>
  <c r="L5"/>
  <c r="U5" s="1"/>
  <c r="X5"/>
  <c r="S5"/>
  <c r="V5" l="1"/>
  <c r="Y5"/>
  <c r="Z5" s="1"/>
  <c r="T5"/>
  <c r="W5" l="1"/>
  <c r="R5"/>
  <c r="Q6" s="1"/>
  <c r="L6" l="1"/>
  <c r="X6"/>
  <c r="O6"/>
  <c r="P6"/>
  <c r="S6"/>
  <c r="T6" l="1"/>
  <c r="Y6"/>
  <c r="U6"/>
  <c r="V6" l="1"/>
  <c r="W6" l="1"/>
  <c r="R6"/>
  <c r="Q7" s="1"/>
  <c r="O7" s="1"/>
  <c r="X7" l="1"/>
  <c r="L7"/>
  <c r="S7"/>
  <c r="P7"/>
  <c r="U7" l="1"/>
  <c r="T7"/>
  <c r="Y7"/>
  <c r="V7" l="1"/>
  <c r="W7" l="1"/>
  <c r="R7"/>
  <c r="Q8" s="1"/>
  <c r="L8" l="1"/>
  <c r="S8"/>
  <c r="P8"/>
  <c r="X8"/>
  <c r="O8"/>
  <c r="U8" l="1"/>
  <c r="Y8"/>
  <c r="T8"/>
  <c r="V8" l="1"/>
  <c r="R8" l="1"/>
  <c r="Q9" s="1"/>
  <c r="W8"/>
  <c r="P9" l="1"/>
  <c r="L9"/>
  <c r="X9"/>
  <c r="S9"/>
  <c r="O9"/>
  <c r="U9" l="1"/>
  <c r="Y9"/>
  <c r="T9"/>
  <c r="V9" l="1"/>
  <c r="R9" l="1"/>
  <c r="Q10" s="1"/>
  <c r="W9"/>
  <c r="L10" l="1"/>
  <c r="X10"/>
  <c r="P10"/>
  <c r="S10"/>
  <c r="O10"/>
  <c r="V10" l="1"/>
  <c r="Y10"/>
  <c r="T10"/>
  <c r="U10"/>
  <c r="W10" l="1"/>
  <c r="R10"/>
  <c r="Q11" s="1"/>
  <c r="P11" l="1"/>
  <c r="X11"/>
  <c r="L11"/>
  <c r="S11"/>
  <c r="O11"/>
  <c r="U11" l="1"/>
  <c r="V11" s="1"/>
  <c r="T11"/>
  <c r="Y11"/>
  <c r="R11" l="1"/>
  <c r="Q12" s="1"/>
  <c r="W11"/>
  <c r="X12" l="1"/>
  <c r="L12"/>
  <c r="P12"/>
  <c r="S12"/>
  <c r="O12"/>
  <c r="Y12" l="1"/>
  <c r="T12"/>
  <c r="V12" s="1"/>
  <c r="U12"/>
  <c r="R12" l="1"/>
  <c r="Q13" s="1"/>
  <c r="W12"/>
  <c r="P13" l="1"/>
  <c r="S13"/>
  <c r="X13"/>
  <c r="L13"/>
  <c r="O13"/>
  <c r="T13" l="1"/>
  <c r="Y13"/>
  <c r="U13"/>
  <c r="V13" l="1"/>
  <c r="R13" l="1"/>
  <c r="Q14" s="1"/>
  <c r="W13"/>
  <c r="X14" l="1"/>
  <c r="P14"/>
  <c r="L14"/>
  <c r="S14"/>
  <c r="O14"/>
  <c r="U14" l="1"/>
  <c r="T14"/>
  <c r="Y14"/>
  <c r="V14" l="1"/>
  <c r="W14" l="1"/>
  <c r="R14"/>
  <c r="Q15" s="1"/>
  <c r="L15" l="1"/>
  <c r="P15"/>
  <c r="X15"/>
  <c r="S15"/>
  <c r="O15"/>
  <c r="U15" l="1"/>
  <c r="Y15"/>
  <c r="T15"/>
  <c r="V15" s="1"/>
  <c r="R15" l="1"/>
  <c r="Q16" s="1"/>
  <c r="W15"/>
  <c r="P16" l="1"/>
  <c r="L16"/>
  <c r="X16"/>
  <c r="S16"/>
  <c r="O16"/>
  <c r="T16" l="1"/>
  <c r="V16" s="1"/>
  <c r="Y16"/>
  <c r="U16"/>
  <c r="R16" l="1"/>
  <c r="Q17" s="1"/>
  <c r="W16"/>
  <c r="X17" l="1"/>
  <c r="S17"/>
  <c r="P17"/>
  <c r="L17"/>
  <c r="O17"/>
  <c r="T17" l="1"/>
  <c r="U17"/>
  <c r="Y17"/>
  <c r="V17"/>
  <c r="R17" l="1"/>
  <c r="Q18" s="1"/>
  <c r="W17"/>
  <c r="S18" l="1"/>
  <c r="L18"/>
  <c r="P18"/>
  <c r="X18"/>
  <c r="O18"/>
  <c r="U18" l="1"/>
  <c r="V18" s="1"/>
  <c r="Y18"/>
  <c r="T18"/>
  <c r="R18" l="1"/>
  <c r="Q19" s="1"/>
  <c r="W18"/>
  <c r="X19" l="1"/>
  <c r="S19"/>
  <c r="P19"/>
  <c r="L19"/>
  <c r="O19"/>
  <c r="U19" l="1"/>
  <c r="V19" s="1"/>
  <c r="Y19"/>
  <c r="T19"/>
  <c r="R19" l="1"/>
  <c r="Q20" s="1"/>
  <c r="W19"/>
  <c r="S20" l="1"/>
  <c r="P20"/>
  <c r="L20"/>
  <c r="X20"/>
  <c r="O20"/>
  <c r="U20" l="1"/>
  <c r="T20"/>
  <c r="V20" s="1"/>
  <c r="Y20"/>
  <c r="W20" l="1"/>
  <c r="R20"/>
  <c r="Q21" s="1"/>
  <c r="L21" l="1"/>
  <c r="X21"/>
  <c r="P21"/>
  <c r="S21"/>
  <c r="O21"/>
  <c r="T21" l="1"/>
  <c r="V21" s="1"/>
  <c r="U21"/>
  <c r="Y21"/>
  <c r="R21" l="1"/>
  <c r="Q22" s="1"/>
  <c r="W21"/>
  <c r="S22" l="1"/>
  <c r="L22"/>
  <c r="P22"/>
  <c r="X22"/>
  <c r="O22"/>
  <c r="U22" l="1"/>
  <c r="T22"/>
  <c r="V22" s="1"/>
  <c r="Y22"/>
  <c r="R22" l="1"/>
  <c r="Q23" s="1"/>
  <c r="W22"/>
  <c r="S23" l="1"/>
  <c r="P23"/>
  <c r="L23"/>
  <c r="X23"/>
  <c r="O23"/>
  <c r="T23" l="1"/>
  <c r="V23" s="1"/>
  <c r="U23"/>
  <c r="Y23"/>
  <c r="R23" l="1"/>
  <c r="Q24" s="1"/>
  <c r="W23"/>
  <c r="X24" l="1"/>
  <c r="P24"/>
  <c r="S24"/>
  <c r="L24"/>
  <c r="O24"/>
  <c r="U24" l="1"/>
  <c r="T24"/>
  <c r="V24" s="1"/>
  <c r="Y24"/>
  <c r="R24" l="1"/>
  <c r="Q25" s="1"/>
  <c r="W24"/>
  <c r="L25" l="1"/>
  <c r="X25"/>
  <c r="P25"/>
  <c r="S25"/>
  <c r="O25"/>
  <c r="U25" l="1"/>
  <c r="T25"/>
  <c r="V25" s="1"/>
  <c r="Y25"/>
  <c r="W25" l="1"/>
  <c r="R25"/>
  <c r="Q26" s="1"/>
  <c r="S26" l="1"/>
  <c r="P26"/>
  <c r="X26"/>
  <c r="O26"/>
  <c r="L26"/>
  <c r="Y26" l="1"/>
  <c r="U26"/>
  <c r="T26"/>
  <c r="V26" l="1"/>
  <c r="R26" l="1"/>
  <c r="Q27" s="1"/>
  <c r="W26"/>
  <c r="P27" l="1"/>
  <c r="O27"/>
  <c r="S27"/>
  <c r="L27"/>
  <c r="X27"/>
  <c r="T27" l="1"/>
  <c r="V27" s="1"/>
  <c r="U27"/>
  <c r="Y27"/>
  <c r="W27" l="1"/>
  <c r="R27"/>
  <c r="Q28" s="1"/>
  <c r="X28" l="1"/>
  <c r="P28"/>
  <c r="L28"/>
  <c r="O28"/>
  <c r="S28"/>
  <c r="V28" l="1"/>
  <c r="U28"/>
  <c r="T28"/>
  <c r="Y28"/>
  <c r="Q29" l="1"/>
  <c r="W28"/>
  <c r="R28"/>
  <c r="P29" l="1"/>
  <c r="S29"/>
  <c r="L29"/>
  <c r="X29"/>
  <c r="O29"/>
  <c r="T29" l="1"/>
  <c r="V29" s="1"/>
  <c r="Y29"/>
  <c r="U29"/>
  <c r="W29" l="1"/>
  <c r="R29"/>
  <c r="Q30" s="1"/>
  <c r="O30" l="1"/>
  <c r="X30"/>
  <c r="L30"/>
  <c r="S30"/>
  <c r="P30"/>
  <c r="Y30" l="1"/>
  <c r="U30"/>
  <c r="T30"/>
  <c r="V30" s="1"/>
  <c r="R30" l="1"/>
  <c r="Q31" s="1"/>
  <c r="W30"/>
  <c r="P31" l="1"/>
  <c r="S31"/>
  <c r="O31"/>
  <c r="X31"/>
  <c r="L31"/>
  <c r="U31" l="1"/>
  <c r="Y31"/>
  <c r="T31"/>
  <c r="V31" l="1"/>
  <c r="R31" l="1"/>
  <c r="Q32" s="1"/>
  <c r="W31"/>
  <c r="O32" l="1"/>
  <c r="X32"/>
  <c r="S32"/>
  <c r="P32"/>
  <c r="L32"/>
  <c r="T32" l="1"/>
  <c r="V32" s="1"/>
  <c r="R32" s="1"/>
  <c r="Q33" s="1"/>
  <c r="Y32"/>
  <c r="U32"/>
  <c r="W32" l="1"/>
  <c r="L33"/>
  <c r="X33"/>
  <c r="P33"/>
  <c r="O33"/>
  <c r="S33"/>
  <c r="Y33" l="1"/>
  <c r="T33"/>
  <c r="U33"/>
  <c r="V33" l="1"/>
  <c r="R33" s="1"/>
  <c r="Q34" s="1"/>
  <c r="W33" l="1"/>
  <c r="L34"/>
  <c r="P34"/>
  <c r="X34"/>
  <c r="S34"/>
  <c r="O34"/>
  <c r="U34" l="1"/>
  <c r="V34" s="1"/>
  <c r="R34" s="1"/>
  <c r="Y34"/>
  <c r="T34"/>
  <c r="W34" l="1"/>
  <c r="Q35"/>
  <c r="X35" l="1"/>
  <c r="P35"/>
  <c r="S35"/>
  <c r="L35"/>
  <c r="O35"/>
  <c r="T35" l="1"/>
  <c r="U35"/>
  <c r="Y35"/>
  <c r="V35" l="1"/>
  <c r="W35" l="1"/>
  <c r="R35"/>
  <c r="Q36" s="1"/>
  <c r="L36" l="1"/>
  <c r="T36" s="1"/>
  <c r="P36"/>
  <c r="O36"/>
  <c r="X36"/>
  <c r="S36"/>
  <c r="Y36" l="1"/>
  <c r="U36"/>
  <c r="V36" s="1"/>
  <c r="W36" l="1"/>
  <c r="R36"/>
  <c r="Q37" s="1"/>
  <c r="O37" l="1"/>
  <c r="L37"/>
  <c r="T37" s="1"/>
  <c r="P37"/>
  <c r="S37"/>
  <c r="X37"/>
  <c r="U37" l="1"/>
  <c r="V37" s="1"/>
  <c r="Y37"/>
  <c r="W37" l="1"/>
  <c r="R37"/>
  <c r="Q38" s="1"/>
  <c r="L38" l="1"/>
  <c r="Y38" s="1"/>
  <c r="P38"/>
  <c r="S38"/>
  <c r="X38"/>
  <c r="O38"/>
  <c r="U38" l="1"/>
  <c r="T38"/>
  <c r="V38" l="1"/>
  <c r="R38" s="1"/>
  <c r="Q39" s="1"/>
  <c r="W38" l="1"/>
  <c r="X39"/>
  <c r="L39"/>
  <c r="T39" s="1"/>
  <c r="O39"/>
  <c r="P39"/>
  <c r="S39"/>
  <c r="Y39" l="1"/>
  <c r="U39"/>
  <c r="V39" s="1"/>
  <c r="R39" s="1"/>
  <c r="Q40" l="1"/>
  <c r="W39"/>
  <c r="S40" l="1"/>
  <c r="X40"/>
  <c r="L40"/>
  <c r="U40" s="1"/>
  <c r="O40"/>
  <c r="P40"/>
  <c r="Y40"/>
  <c r="T40"/>
  <c r="V40" l="1"/>
  <c r="R40" s="1"/>
  <c r="W40" l="1"/>
  <c r="Q41"/>
  <c r="P41" l="1"/>
  <c r="X41"/>
  <c r="L41"/>
  <c r="S41"/>
  <c r="O41"/>
  <c r="Y41" l="1"/>
  <c r="T41"/>
  <c r="U41"/>
  <c r="V41" l="1"/>
  <c r="Q42" l="1"/>
  <c r="R41"/>
  <c r="W41"/>
  <c r="S42" l="1"/>
  <c r="L42"/>
  <c r="U42" s="1"/>
  <c r="X42"/>
  <c r="O42"/>
  <c r="P42"/>
  <c r="Y42" l="1"/>
  <c r="T42"/>
  <c r="V42" s="1"/>
  <c r="R42" s="1"/>
  <c r="Q43" l="1"/>
  <c r="W42"/>
  <c r="P43" l="1"/>
  <c r="S43"/>
  <c r="X43"/>
  <c r="L43"/>
  <c r="O43"/>
  <c r="Y43" l="1"/>
  <c r="U43"/>
  <c r="T43"/>
  <c r="V43" l="1"/>
  <c r="Q44" l="1"/>
  <c r="R43"/>
  <c r="W43"/>
  <c r="X44" l="1"/>
  <c r="S44"/>
  <c r="L44"/>
  <c r="O44"/>
  <c r="P44"/>
  <c r="Y44"/>
  <c r="T44"/>
  <c r="U44"/>
  <c r="V44" l="1"/>
  <c r="R44" s="1"/>
  <c r="W44" l="1"/>
  <c r="Q45"/>
  <c r="P45" l="1"/>
  <c r="X45"/>
  <c r="L45"/>
  <c r="S45"/>
  <c r="O45"/>
  <c r="Y45" l="1"/>
  <c r="U45"/>
  <c r="T45"/>
  <c r="V45" l="1"/>
  <c r="R45" s="1"/>
  <c r="W45" l="1"/>
  <c r="Q46"/>
  <c r="P46" l="1"/>
  <c r="L46"/>
  <c r="S46"/>
  <c r="X46"/>
  <c r="O46"/>
  <c r="T46" l="1"/>
  <c r="U46"/>
  <c r="Y46"/>
  <c r="V46" l="1"/>
  <c r="R46" s="1"/>
  <c r="Q47" l="1"/>
  <c r="W46"/>
  <c r="P47" l="1"/>
  <c r="S47"/>
  <c r="X47"/>
  <c r="L47"/>
  <c r="O47"/>
  <c r="Y47" l="1"/>
  <c r="U47"/>
  <c r="T47"/>
  <c r="V47" l="1"/>
  <c r="R47" l="1"/>
  <c r="Q48" s="1"/>
  <c r="W47"/>
  <c r="P48" l="1"/>
  <c r="L48"/>
  <c r="U48" s="1"/>
  <c r="O48"/>
  <c r="X48"/>
  <c r="S48"/>
  <c r="Y48"/>
  <c r="T48"/>
  <c r="V48" l="1"/>
  <c r="R48" s="1"/>
  <c r="W48" l="1"/>
  <c r="Q49"/>
  <c r="P49" l="1"/>
  <c r="X49"/>
  <c r="L49"/>
  <c r="S49"/>
  <c r="O49"/>
  <c r="Y49" l="1"/>
  <c r="U49"/>
  <c r="T49"/>
  <c r="V49" l="1"/>
  <c r="R49" l="1"/>
  <c r="Q50" s="1"/>
  <c r="W49"/>
  <c r="P50" l="1"/>
  <c r="O50"/>
  <c r="X50"/>
  <c r="S50"/>
  <c r="L50"/>
  <c r="U50" s="1"/>
  <c r="Y50" l="1"/>
  <c r="T50"/>
  <c r="V50" s="1"/>
  <c r="R50" s="1"/>
  <c r="Q51" l="1"/>
  <c r="W50"/>
  <c r="P51" l="1"/>
  <c r="S51"/>
  <c r="X51"/>
  <c r="L51"/>
  <c r="O51"/>
  <c r="Y51" l="1"/>
  <c r="U51"/>
  <c r="T51"/>
  <c r="V51" l="1"/>
  <c r="R51" s="1"/>
  <c r="W51" l="1"/>
  <c r="Q52"/>
  <c r="P52" l="1"/>
  <c r="S52"/>
  <c r="X52"/>
  <c r="L52"/>
  <c r="O52"/>
  <c r="Y52" l="1"/>
  <c r="T52"/>
  <c r="U52"/>
  <c r="V52" l="1"/>
  <c r="R52" l="1"/>
  <c r="Q53" s="1"/>
  <c r="W52"/>
  <c r="P53" l="1"/>
  <c r="O53"/>
  <c r="S53"/>
  <c r="L53"/>
  <c r="U53" s="1"/>
  <c r="X53"/>
  <c r="T53" l="1"/>
  <c r="V53" s="1"/>
  <c r="R53" s="1"/>
  <c r="Y53"/>
  <c r="W53" l="1"/>
  <c r="Q54"/>
  <c r="P54" l="1"/>
  <c r="L54"/>
  <c r="S54"/>
  <c r="X54"/>
  <c r="O54"/>
  <c r="T54" l="1"/>
  <c r="U54"/>
  <c r="Y54"/>
  <c r="V54" l="1"/>
  <c r="R54" s="1"/>
  <c r="Q55" l="1"/>
  <c r="W54"/>
  <c r="P55" l="1"/>
  <c r="S55"/>
  <c r="X55"/>
  <c r="L55"/>
  <c r="O55"/>
  <c r="Y55" l="1"/>
  <c r="U55"/>
  <c r="T55"/>
  <c r="V55" l="1"/>
  <c r="R55" s="1"/>
  <c r="W55" l="1"/>
  <c r="Q56"/>
  <c r="P56" l="1"/>
  <c r="S56"/>
  <c r="X56"/>
  <c r="L56"/>
  <c r="O56"/>
  <c r="Y56" l="1"/>
  <c r="T56"/>
  <c r="V56" s="1"/>
  <c r="R56" s="1"/>
  <c r="U56"/>
  <c r="W56" l="1"/>
  <c r="Q57"/>
  <c r="P57" l="1"/>
  <c r="X57"/>
  <c r="L57"/>
  <c r="S57"/>
  <c r="O57"/>
  <c r="Y57" l="1"/>
  <c r="T57"/>
  <c r="V57" s="1"/>
  <c r="R57" s="1"/>
  <c r="U57"/>
  <c r="W57" l="1"/>
  <c r="Q58"/>
  <c r="P58" l="1"/>
  <c r="L58"/>
  <c r="S58"/>
  <c r="X58"/>
  <c r="O58"/>
  <c r="T58" l="1"/>
  <c r="Y58"/>
  <c r="U58"/>
  <c r="V58" l="1"/>
  <c r="R58" s="1"/>
  <c r="Q59" l="1"/>
  <c r="W58"/>
  <c r="P59" l="1"/>
  <c r="S59"/>
  <c r="X59"/>
  <c r="L59"/>
  <c r="O59"/>
  <c r="Y59" l="1"/>
  <c r="U59"/>
  <c r="T59"/>
  <c r="V59" l="1"/>
  <c r="R59" s="1"/>
  <c r="W59" l="1"/>
  <c r="Q60"/>
  <c r="P60" l="1"/>
  <c r="S60"/>
  <c r="X60"/>
  <c r="L60"/>
  <c r="O60"/>
  <c r="Y60" l="1"/>
  <c r="T60"/>
  <c r="U60"/>
  <c r="V60" l="1"/>
  <c r="R60" l="1"/>
  <c r="Q61" s="1"/>
  <c r="W60"/>
  <c r="P61" l="1"/>
  <c r="O61"/>
  <c r="S61"/>
  <c r="L61"/>
  <c r="U61" s="1"/>
  <c r="X61"/>
  <c r="T61" l="1"/>
  <c r="V61" s="1"/>
  <c r="Y61"/>
  <c r="R61" l="1"/>
  <c r="Q62" s="1"/>
  <c r="W61"/>
  <c r="P62" l="1"/>
  <c r="O62"/>
  <c r="S62"/>
  <c r="X62"/>
  <c r="L62"/>
  <c r="Y62" s="1"/>
  <c r="U62"/>
  <c r="T62" l="1"/>
  <c r="V62" s="1"/>
  <c r="R62" s="1"/>
  <c r="Q63" l="1"/>
  <c r="W62"/>
  <c r="P63" l="1"/>
  <c r="S63"/>
  <c r="X63"/>
  <c r="L63"/>
  <c r="O63"/>
  <c r="Y63" l="1"/>
  <c r="U63"/>
  <c r="T63"/>
  <c r="V63" l="1"/>
  <c r="R63" s="1"/>
  <c r="W63" l="1"/>
  <c r="Q64"/>
  <c r="P64" l="1"/>
  <c r="S64"/>
  <c r="X64"/>
  <c r="L64"/>
  <c r="O64"/>
  <c r="Y64" l="1"/>
  <c r="U64"/>
  <c r="T64"/>
  <c r="V64" l="1"/>
  <c r="Q65" l="1"/>
  <c r="R64"/>
  <c r="W64"/>
  <c r="X65" l="1"/>
  <c r="L65"/>
  <c r="U65" s="1"/>
  <c r="S65"/>
  <c r="O65"/>
  <c r="P65"/>
  <c r="T65" l="1"/>
  <c r="V65" s="1"/>
  <c r="R65" s="1"/>
  <c r="Y65"/>
  <c r="W65" l="1"/>
  <c r="Q66"/>
  <c r="P66" l="1"/>
  <c r="L66"/>
  <c r="S66"/>
  <c r="X66"/>
  <c r="O66"/>
  <c r="U66" l="1"/>
  <c r="Y66"/>
  <c r="T66"/>
  <c r="V66" l="1"/>
  <c r="W66" l="1"/>
  <c r="Q67"/>
  <c r="Q68" l="1"/>
  <c r="X67"/>
  <c r="S67"/>
  <c r="P67"/>
  <c r="O67"/>
  <c r="L67"/>
  <c r="O68" l="1"/>
  <c r="Q69"/>
  <c r="L68"/>
  <c r="X68"/>
  <c r="S68"/>
  <c r="P68"/>
  <c r="T67"/>
  <c r="Y67"/>
  <c r="U67"/>
  <c r="O69"/>
  <c r="V67" l="1"/>
  <c r="W67" s="1"/>
  <c r="Q70"/>
  <c r="O70" s="1"/>
  <c r="S69"/>
  <c r="L69"/>
  <c r="X69"/>
  <c r="P69"/>
  <c r="U68"/>
  <c r="Y68"/>
  <c r="T68"/>
  <c r="V68" l="1"/>
  <c r="W68" s="1"/>
  <c r="P70"/>
  <c r="S70"/>
  <c r="X70"/>
  <c r="L70"/>
  <c r="T69"/>
  <c r="V69" s="1"/>
  <c r="W69" s="1"/>
  <c r="Y69"/>
  <c r="U69"/>
  <c r="U70" l="1"/>
  <c r="Y70"/>
  <c r="T70"/>
  <c r="V70" l="1"/>
  <c r="W70" s="1"/>
  <c r="R70" l="1"/>
  <c r="Q71" s="1"/>
  <c r="X71" s="1"/>
  <c r="S71" l="1"/>
  <c r="P71"/>
  <c r="O71"/>
  <c r="L71"/>
  <c r="U71" s="1"/>
  <c r="Y71" l="1"/>
  <c r="T71"/>
  <c r="V71" s="1"/>
  <c r="R71" s="1"/>
  <c r="Q72" s="1"/>
  <c r="W71" l="1"/>
  <c r="L72"/>
  <c r="O72"/>
  <c r="P72"/>
  <c r="S72"/>
  <c r="X72"/>
  <c r="U72" l="1"/>
  <c r="T72"/>
  <c r="V72" s="1"/>
  <c r="Y72"/>
  <c r="R72" l="1"/>
  <c r="Q73" s="1"/>
  <c r="W72"/>
  <c r="P73" l="1"/>
  <c r="O73"/>
  <c r="S73"/>
  <c r="L73"/>
  <c r="X73"/>
  <c r="T73" l="1"/>
  <c r="V73" s="1"/>
  <c r="R73" s="1"/>
  <c r="Q74" s="1"/>
  <c r="U73"/>
  <c r="Y73"/>
  <c r="W73" l="1"/>
  <c r="S74"/>
  <c r="L74"/>
  <c r="X74"/>
  <c r="P74"/>
  <c r="O74"/>
  <c r="T74" l="1"/>
  <c r="U74"/>
  <c r="Y74"/>
  <c r="V74" l="1"/>
  <c r="W74" s="1"/>
  <c r="R74" l="1"/>
  <c r="Q75" s="1"/>
  <c r="P75" s="1"/>
  <c r="X75" l="1"/>
  <c r="O75"/>
  <c r="S75"/>
  <c r="L75"/>
  <c r="T75" s="1"/>
  <c r="U75"/>
  <c r="Y75" l="1"/>
  <c r="V75"/>
  <c r="R75" l="1"/>
  <c r="Q76" s="1"/>
  <c r="L76" s="1"/>
  <c r="W75"/>
  <c r="X76" l="1"/>
  <c r="P76"/>
  <c r="O76"/>
  <c r="S76"/>
  <c r="T76"/>
  <c r="Y76"/>
  <c r="U76"/>
  <c r="V76" l="1"/>
  <c r="W76" s="1"/>
  <c r="R76" l="1"/>
  <c r="Q77" s="1"/>
  <c r="S77" s="1"/>
  <c r="X77" l="1"/>
  <c r="O77"/>
  <c r="L77"/>
  <c r="P77"/>
  <c r="Y77"/>
  <c r="T77"/>
  <c r="V77" s="1"/>
  <c r="U77"/>
  <c r="R77" l="1"/>
  <c r="Q78" s="1"/>
  <c r="W77"/>
  <c r="X78" l="1"/>
  <c r="S78"/>
  <c r="P78"/>
  <c r="L78"/>
  <c r="O78"/>
  <c r="T78" l="1"/>
  <c r="U78"/>
  <c r="Y78"/>
  <c r="V78" l="1"/>
  <c r="W78" s="1"/>
  <c r="R78" l="1"/>
  <c r="Q79" s="1"/>
  <c r="S79" s="1"/>
  <c r="X79" l="1"/>
  <c r="O79"/>
  <c r="L79"/>
  <c r="U79" s="1"/>
  <c r="P79"/>
  <c r="Y79"/>
  <c r="T79"/>
  <c r="V79" l="1"/>
  <c r="W79" s="1"/>
  <c r="R79" l="1"/>
  <c r="Q80" s="1"/>
  <c r="S80" s="1"/>
  <c r="L80" l="1"/>
  <c r="T80" s="1"/>
  <c r="P80"/>
  <c r="O80"/>
  <c r="X80"/>
  <c r="Y80" l="1"/>
  <c r="U80"/>
  <c r="V80" s="1"/>
  <c r="W80" s="1"/>
  <c r="R80" l="1"/>
  <c r="Q81" s="1"/>
  <c r="P81" s="1"/>
  <c r="O81" l="1"/>
  <c r="X81"/>
  <c r="S81"/>
  <c r="L81"/>
  <c r="Y81" s="1"/>
  <c r="U81" l="1"/>
  <c r="T81"/>
  <c r="V81" s="1"/>
  <c r="W81" s="1"/>
  <c r="R81" l="1"/>
  <c r="Q82" s="1"/>
  <c r="L82" s="1"/>
  <c r="S82" l="1"/>
  <c r="O82"/>
  <c r="X82"/>
  <c r="P82"/>
  <c r="U82"/>
  <c r="Y82"/>
  <c r="T82"/>
  <c r="V82" l="1"/>
  <c r="R82" l="1"/>
  <c r="Q83" s="1"/>
  <c r="W82"/>
  <c r="S83" l="1"/>
  <c r="L83"/>
  <c r="X83"/>
  <c r="P83"/>
  <c r="O83"/>
  <c r="U83" l="1"/>
  <c r="Y83"/>
  <c r="T83"/>
  <c r="V83" l="1"/>
  <c r="R83" l="1"/>
  <c r="Q84" s="1"/>
  <c r="W83"/>
  <c r="L84" l="1"/>
  <c r="P84"/>
  <c r="S84"/>
  <c r="X84"/>
  <c r="O84"/>
  <c r="T84" l="1"/>
  <c r="V84" s="1"/>
  <c r="Y84"/>
  <c r="U84"/>
  <c r="R84" l="1"/>
  <c r="Q85" s="1"/>
  <c r="W84"/>
  <c r="X85" l="1"/>
  <c r="S85"/>
  <c r="P85"/>
  <c r="L85"/>
  <c r="O85"/>
  <c r="U85" l="1"/>
  <c r="Y85"/>
  <c r="T85"/>
  <c r="V85" l="1"/>
  <c r="R85" l="1"/>
  <c r="Q86" s="1"/>
  <c r="W85"/>
  <c r="P86" l="1"/>
  <c r="L86"/>
  <c r="S86"/>
  <c r="X86"/>
  <c r="O86"/>
  <c r="T86" l="1"/>
  <c r="U86"/>
  <c r="Y86"/>
  <c r="V86" l="1"/>
  <c r="R86" s="1"/>
  <c r="Q87" s="1"/>
  <c r="W86" l="1"/>
  <c r="P87"/>
  <c r="X87"/>
  <c r="S87"/>
  <c r="L87"/>
  <c r="O87"/>
  <c r="T87" l="1"/>
  <c r="V87" s="1"/>
  <c r="Y87"/>
  <c r="U87"/>
  <c r="W87" l="1"/>
  <c r="R87"/>
  <c r="Q88" s="1"/>
  <c r="P88" l="1"/>
  <c r="X88"/>
  <c r="S88"/>
  <c r="L88"/>
  <c r="O88"/>
  <c r="Y88" l="1"/>
  <c r="U88"/>
  <c r="T88"/>
  <c r="V88" l="1"/>
  <c r="W88" s="1"/>
  <c r="R88" l="1"/>
  <c r="Q89" s="1"/>
  <c r="X89" s="1"/>
  <c r="P89" l="1"/>
  <c r="O89"/>
  <c r="S89"/>
  <c r="L89"/>
  <c r="T89" s="1"/>
  <c r="U89"/>
  <c r="Y89"/>
  <c r="V89" l="1"/>
  <c r="R89" l="1"/>
  <c r="Q90" s="1"/>
  <c r="W89"/>
  <c r="X90" l="1"/>
  <c r="S90"/>
  <c r="P90"/>
  <c r="L90"/>
  <c r="O90"/>
  <c r="U90" l="1"/>
  <c r="Y90"/>
  <c r="T90"/>
  <c r="V90" l="1"/>
  <c r="W90" s="1"/>
  <c r="R90" l="1"/>
  <c r="Q91" s="1"/>
  <c r="L91" s="1"/>
  <c r="P91" l="1"/>
  <c r="O91"/>
  <c r="S91"/>
  <c r="X91"/>
  <c r="Y91"/>
  <c r="T91"/>
  <c r="U91"/>
  <c r="V91" l="1"/>
  <c r="W91" s="1"/>
  <c r="R91" l="1"/>
  <c r="Q92" s="1"/>
  <c r="X92" s="1"/>
  <c r="S92" l="1"/>
  <c r="O92"/>
  <c r="P92"/>
  <c r="L92"/>
  <c r="Y92" s="1"/>
  <c r="U92"/>
  <c r="T92"/>
  <c r="V92" l="1"/>
  <c r="W92" s="1"/>
  <c r="R92" l="1"/>
  <c r="Q93" s="1"/>
  <c r="X93" s="1"/>
  <c r="S93" l="1"/>
  <c r="O93"/>
  <c r="P93"/>
  <c r="L93"/>
  <c r="T93" s="1"/>
  <c r="Y93" l="1"/>
  <c r="U93"/>
  <c r="V93" s="1"/>
  <c r="W93" s="1"/>
  <c r="R93" l="1"/>
  <c r="Q94" s="1"/>
  <c r="L94" s="1"/>
  <c r="S94" l="1"/>
  <c r="O94"/>
  <c r="P94"/>
  <c r="X94"/>
  <c r="U94"/>
  <c r="Y94"/>
  <c r="T94"/>
  <c r="V94" l="1"/>
  <c r="R94" l="1"/>
  <c r="Q95" s="1"/>
  <c r="W94"/>
  <c r="X95" l="1"/>
  <c r="S95"/>
  <c r="L95"/>
  <c r="P95"/>
  <c r="O95"/>
  <c r="Y95" l="1"/>
  <c r="T95"/>
  <c r="V95" s="1"/>
  <c r="U95"/>
  <c r="R95" l="1"/>
  <c r="Q96" s="1"/>
  <c r="W95"/>
  <c r="S96" l="1"/>
  <c r="X96"/>
  <c r="L96"/>
  <c r="P96"/>
  <c r="O96"/>
  <c r="Y96" l="1"/>
  <c r="T96"/>
  <c r="V96" s="1"/>
  <c r="U96"/>
  <c r="R96" l="1"/>
  <c r="Q97" s="1"/>
  <c r="W96"/>
  <c r="P97" l="1"/>
  <c r="L97"/>
  <c r="S97"/>
  <c r="X97"/>
  <c r="O97"/>
  <c r="T97" l="1"/>
  <c r="V97" s="1"/>
  <c r="Y97"/>
  <c r="U97"/>
  <c r="R97" l="1"/>
  <c r="Q98" s="1"/>
  <c r="W97"/>
  <c r="P98" l="1"/>
  <c r="X98"/>
  <c r="S98"/>
  <c r="L98"/>
  <c r="O98"/>
  <c r="U98" l="1"/>
  <c r="Y98"/>
  <c r="T98"/>
  <c r="V98" l="1"/>
  <c r="W98" s="1"/>
  <c r="R98" l="1"/>
  <c r="Q99" s="1"/>
  <c r="L99" s="1"/>
  <c r="P99" l="1"/>
  <c r="O99"/>
  <c r="S99"/>
  <c r="X99"/>
  <c r="U99"/>
  <c r="Y99"/>
  <c r="T99"/>
  <c r="V99" l="1"/>
  <c r="W99" s="1"/>
  <c r="R99" l="1"/>
  <c r="Q100" s="1"/>
  <c r="X100" s="1"/>
  <c r="P100" l="1"/>
  <c r="O100"/>
  <c r="L100"/>
  <c r="U100" s="1"/>
  <c r="S100"/>
  <c r="T100" l="1"/>
  <c r="V100" s="1"/>
  <c r="Y100"/>
  <c r="W100" l="1"/>
  <c r="R100"/>
  <c r="Q101" s="1"/>
  <c r="L101" s="1"/>
  <c r="S101" l="1"/>
  <c r="O101"/>
  <c r="P101"/>
  <c r="X101"/>
  <c r="T101"/>
  <c r="V101" s="1"/>
  <c r="U101"/>
  <c r="Y101"/>
  <c r="R101" l="1"/>
  <c r="Q102" s="1"/>
  <c r="W101"/>
  <c r="L102" l="1"/>
  <c r="X102"/>
  <c r="P102"/>
  <c r="S102"/>
  <c r="O102"/>
  <c r="Y102" l="1"/>
  <c r="U102"/>
  <c r="T102"/>
  <c r="V102" l="1"/>
  <c r="W102" s="1"/>
  <c r="R102" l="1"/>
  <c r="Q103" s="1"/>
  <c r="S103" s="1"/>
  <c r="P103" l="1"/>
  <c r="O103"/>
  <c r="X103"/>
  <c r="L103"/>
  <c r="T103" s="1"/>
  <c r="U103" l="1"/>
  <c r="V103" s="1"/>
  <c r="W103" s="1"/>
  <c r="Y103"/>
  <c r="R103" l="1"/>
  <c r="Q104" s="1"/>
  <c r="S104" s="1"/>
  <c r="O104" l="1"/>
  <c r="P104"/>
  <c r="L104"/>
  <c r="Y104" s="1"/>
  <c r="X104"/>
  <c r="U104" l="1"/>
  <c r="T104"/>
  <c r="V104" l="1"/>
  <c r="W104" s="1"/>
  <c r="R104" l="1"/>
  <c r="Q105" s="1"/>
  <c r="L105" s="1"/>
  <c r="T105" s="1"/>
  <c r="S105" l="1"/>
  <c r="U105"/>
  <c r="P105"/>
  <c r="Y105"/>
  <c r="O105"/>
  <c r="X105"/>
  <c r="V105" l="1"/>
  <c r="W105" s="1"/>
  <c r="R105" l="1"/>
  <c r="Q106" s="1"/>
  <c r="S106" s="1"/>
  <c r="P106" l="1"/>
  <c r="L106"/>
  <c r="T106" s="1"/>
  <c r="O106"/>
  <c r="X106"/>
  <c r="U106" l="1"/>
  <c r="V106" s="1"/>
  <c r="Y106"/>
  <c r="W106" l="1"/>
  <c r="R106"/>
  <c r="Q107" s="1"/>
  <c r="L107" s="1"/>
  <c r="T107" s="1"/>
  <c r="X107" l="1"/>
  <c r="Y107"/>
  <c r="O107"/>
  <c r="U107"/>
  <c r="P107"/>
  <c r="S107"/>
  <c r="V107" l="1"/>
  <c r="R107" s="1"/>
  <c r="Q108" s="1"/>
  <c r="L108" s="1"/>
  <c r="W107" l="1"/>
  <c r="S108"/>
  <c r="O108"/>
  <c r="P108"/>
  <c r="X108"/>
  <c r="U108"/>
  <c r="T108"/>
  <c r="Y108"/>
  <c r="V108" l="1"/>
  <c r="W108" s="1"/>
  <c r="R108" l="1"/>
  <c r="Q109" s="1"/>
  <c r="P109" s="1"/>
  <c r="S109" l="1"/>
  <c r="O109"/>
  <c r="X109"/>
  <c r="L109"/>
  <c r="Y109" s="1"/>
  <c r="T109" l="1"/>
  <c r="V109" s="1"/>
  <c r="U109"/>
  <c r="R109" l="1"/>
  <c r="Q110" s="1"/>
  <c r="W109"/>
  <c r="P110" l="1"/>
  <c r="L110"/>
  <c r="X110"/>
  <c r="S110"/>
  <c r="O110"/>
  <c r="Y110" l="1"/>
  <c r="T110"/>
  <c r="V110" s="1"/>
  <c r="U110"/>
  <c r="R110" l="1"/>
  <c r="Q111" s="1"/>
  <c r="W110"/>
  <c r="L111" l="1"/>
  <c r="P111"/>
  <c r="S111"/>
  <c r="X111"/>
  <c r="O111"/>
  <c r="U111" l="1"/>
  <c r="T111"/>
  <c r="Y111"/>
  <c r="V111" l="1"/>
  <c r="R111" l="1"/>
  <c r="Q112" s="1"/>
  <c r="W111"/>
  <c r="P112" l="1"/>
  <c r="S112"/>
  <c r="L112"/>
  <c r="X112"/>
  <c r="O112"/>
  <c r="T112" l="1"/>
  <c r="V112" s="1"/>
  <c r="Y112"/>
  <c r="U112"/>
  <c r="R112" l="1"/>
  <c r="Q113" s="1"/>
  <c r="W112"/>
  <c r="P113" l="1"/>
  <c r="X113"/>
  <c r="L113"/>
  <c r="S113"/>
  <c r="O113"/>
  <c r="Y113" l="1"/>
  <c r="U113"/>
  <c r="T113"/>
  <c r="V113" l="1"/>
  <c r="W113" s="1"/>
  <c r="R113" l="1"/>
  <c r="Q114" s="1"/>
  <c r="P114" s="1"/>
  <c r="S114" l="1"/>
  <c r="O114"/>
  <c r="L114"/>
  <c r="Y114" s="1"/>
  <c r="X114"/>
  <c r="T114"/>
  <c r="U114" l="1"/>
  <c r="V114" s="1"/>
  <c r="W114" s="1"/>
  <c r="R114" l="1"/>
  <c r="Q115" s="1"/>
  <c r="X115" s="1"/>
  <c r="L115" l="1"/>
  <c r="U115" s="1"/>
  <c r="O115"/>
  <c r="S115"/>
  <c r="P115"/>
  <c r="Y115" l="1"/>
  <c r="T115"/>
  <c r="V115" s="1"/>
  <c r="W115" l="1"/>
  <c r="R115"/>
  <c r="Q116" s="1"/>
  <c r="L116" s="1"/>
  <c r="X116" l="1"/>
  <c r="O116"/>
  <c r="S116"/>
  <c r="P116"/>
  <c r="U116"/>
  <c r="T116"/>
  <c r="Y116"/>
  <c r="V116" l="1"/>
  <c r="W116" s="1"/>
  <c r="R116" l="1"/>
  <c r="Q117" s="1"/>
  <c r="S117" s="1"/>
  <c r="L117" l="1"/>
  <c r="T117" s="1"/>
  <c r="O117"/>
  <c r="P117"/>
  <c r="X117"/>
  <c r="U117" l="1"/>
  <c r="V117" s="1"/>
  <c r="W117" s="1"/>
  <c r="Y117"/>
  <c r="R117" l="1"/>
  <c r="Q118" s="1"/>
  <c r="L118" s="1"/>
  <c r="S118" l="1"/>
  <c r="X118"/>
  <c r="O118"/>
  <c r="P118"/>
  <c r="U118"/>
  <c r="Y118"/>
  <c r="T118"/>
  <c r="V118" l="1"/>
  <c r="R118" s="1"/>
  <c r="Q119" s="1"/>
  <c r="W118" l="1"/>
  <c r="X119"/>
  <c r="P119"/>
  <c r="S119"/>
  <c r="L119"/>
  <c r="O119"/>
  <c r="Y119" l="1"/>
  <c r="T119"/>
  <c r="V119" s="1"/>
  <c r="U119"/>
  <c r="R119" l="1"/>
  <c r="Q120" s="1"/>
  <c r="W119"/>
  <c r="L120" l="1"/>
  <c r="X120"/>
  <c r="P120"/>
  <c r="S120"/>
  <c r="O120"/>
  <c r="T120" l="1"/>
  <c r="V120" s="1"/>
  <c r="Y120"/>
  <c r="U120"/>
  <c r="R120" l="1"/>
  <c r="Q121" s="1"/>
  <c r="W120"/>
  <c r="X121" l="1"/>
  <c r="P121"/>
  <c r="S121"/>
  <c r="L121"/>
  <c r="O121"/>
  <c r="U121" l="1"/>
  <c r="Y121"/>
  <c r="T121"/>
  <c r="V121" l="1"/>
  <c r="W121" s="1"/>
  <c r="R121" l="1"/>
  <c r="Q122" s="1"/>
  <c r="P122" s="1"/>
  <c r="X122" l="1"/>
  <c r="O122"/>
  <c r="S122"/>
  <c r="L122"/>
  <c r="U122" s="1"/>
  <c r="Y122" l="1"/>
  <c r="T122"/>
  <c r="V122" s="1"/>
  <c r="W122" l="1"/>
  <c r="R122"/>
  <c r="Q123" s="1"/>
  <c r="L123" s="1"/>
  <c r="P123" l="1"/>
  <c r="O123"/>
  <c r="X123"/>
  <c r="S123"/>
  <c r="T123"/>
  <c r="V123" s="1"/>
  <c r="Y123"/>
  <c r="U123"/>
  <c r="W123" l="1"/>
  <c r="R123"/>
  <c r="Q124" s="1"/>
  <c r="L124" l="1"/>
  <c r="X124"/>
  <c r="P124"/>
  <c r="S124"/>
  <c r="O124"/>
  <c r="Y124" l="1"/>
  <c r="U124"/>
  <c r="T124"/>
  <c r="V124" l="1"/>
  <c r="W124" s="1"/>
  <c r="R124" l="1"/>
  <c r="Q125" s="1"/>
  <c r="L125" s="1"/>
  <c r="P125" l="1"/>
  <c r="O125"/>
  <c r="X125"/>
  <c r="S125"/>
  <c r="T125"/>
  <c r="V125" s="1"/>
  <c r="U125"/>
  <c r="Y125"/>
  <c r="W125" l="1"/>
  <c r="R125"/>
  <c r="Q126" s="1"/>
  <c r="S126" l="1"/>
  <c r="P126"/>
  <c r="X126"/>
  <c r="L126"/>
  <c r="O126"/>
  <c r="T126" l="1"/>
  <c r="V126" s="1"/>
  <c r="Y126"/>
  <c r="U126"/>
  <c r="R126" l="1"/>
  <c r="Q127" s="1"/>
  <c r="W126"/>
  <c r="P127" l="1"/>
  <c r="S127"/>
  <c r="X127"/>
  <c r="L127"/>
  <c r="O127"/>
  <c r="U127" l="1"/>
  <c r="Y127"/>
  <c r="T127"/>
  <c r="V127" l="1"/>
  <c r="R127" s="1"/>
  <c r="Q128" s="1"/>
  <c r="W127" l="1"/>
  <c r="P128"/>
  <c r="L128"/>
  <c r="X128"/>
  <c r="S128"/>
  <c r="O128"/>
  <c r="U128" l="1"/>
  <c r="T128"/>
  <c r="Y128"/>
  <c r="V128" l="1"/>
  <c r="W128" s="1"/>
  <c r="R128" l="1"/>
  <c r="Q129" s="1"/>
  <c r="X129" s="1"/>
  <c r="L129" l="1"/>
  <c r="U129" s="1"/>
  <c r="P129"/>
  <c r="O129"/>
  <c r="S129"/>
  <c r="T129" l="1"/>
  <c r="V129" s="1"/>
  <c r="W129" s="1"/>
  <c r="Y129"/>
  <c r="R129" l="1"/>
  <c r="Q130" s="1"/>
  <c r="L130" s="1"/>
  <c r="P130" l="1"/>
  <c r="X130"/>
  <c r="O130"/>
  <c r="S130"/>
  <c r="Y130"/>
  <c r="T130"/>
  <c r="V130" s="1"/>
  <c r="U130"/>
  <c r="R130" l="1"/>
  <c r="Q131" s="1"/>
  <c r="W130"/>
  <c r="L131" l="1"/>
  <c r="P131"/>
  <c r="X131"/>
  <c r="S131"/>
  <c r="O131"/>
  <c r="T131" l="1"/>
  <c r="V131" s="1"/>
  <c r="U131"/>
  <c r="Y131"/>
  <c r="R131" l="1"/>
  <c r="Q132" s="1"/>
  <c r="W131"/>
  <c r="X132" l="1"/>
  <c r="L132"/>
  <c r="P132"/>
  <c r="S132"/>
  <c r="O132"/>
  <c r="T132" l="1"/>
  <c r="V132" s="1"/>
  <c r="U132"/>
  <c r="Y132"/>
  <c r="W132" l="1"/>
  <c r="R132"/>
  <c r="Q133" s="1"/>
  <c r="P133" l="1"/>
  <c r="X133"/>
  <c r="S133"/>
  <c r="L133"/>
  <c r="O133"/>
  <c r="U133" l="1"/>
  <c r="Y133"/>
  <c r="T133"/>
  <c r="V133" l="1"/>
  <c r="W133" s="1"/>
  <c r="R133" l="1"/>
  <c r="Q134" s="1"/>
  <c r="X134" s="1"/>
  <c r="P134" l="1"/>
  <c r="O134"/>
  <c r="S134"/>
  <c r="L134"/>
  <c r="Y134" s="1"/>
  <c r="T134" l="1"/>
  <c r="V134" s="1"/>
  <c r="R134" s="1"/>
  <c r="Q135" s="1"/>
  <c r="U134"/>
  <c r="W134" l="1"/>
  <c r="L135"/>
  <c r="X135"/>
  <c r="S135"/>
  <c r="P135"/>
  <c r="O135"/>
  <c r="U135" l="1"/>
  <c r="T135"/>
  <c r="V135" s="1"/>
  <c r="Y135"/>
  <c r="W135" l="1"/>
  <c r="R135"/>
  <c r="Q136" s="1"/>
  <c r="X136" l="1"/>
  <c r="P136"/>
  <c r="S136"/>
  <c r="L136"/>
  <c r="O136"/>
  <c r="T136" l="1"/>
  <c r="V136" s="1"/>
  <c r="Y136"/>
  <c r="U136"/>
  <c r="R136" l="1"/>
  <c r="Q137" s="1"/>
  <c r="W136"/>
  <c r="S137" l="1"/>
  <c r="X137"/>
  <c r="L137"/>
  <c r="P137"/>
  <c r="O137"/>
  <c r="T137" l="1"/>
  <c r="V137" s="1"/>
  <c r="U137"/>
  <c r="Y137"/>
  <c r="R137" l="1"/>
  <c r="Q138" s="1"/>
  <c r="W137"/>
  <c r="L138" l="1"/>
  <c r="X138"/>
  <c r="S138"/>
  <c r="P138"/>
  <c r="O138"/>
  <c r="U138" l="1"/>
  <c r="Y138"/>
  <c r="T138"/>
  <c r="V138" l="1"/>
  <c r="W138" s="1"/>
  <c r="R138" l="1"/>
  <c r="Q139" s="1"/>
  <c r="L139" s="1"/>
  <c r="X139" l="1"/>
  <c r="O139"/>
  <c r="P139"/>
  <c r="S139"/>
  <c r="U139"/>
  <c r="Y139"/>
  <c r="T139"/>
  <c r="V139" l="1"/>
  <c r="W139" s="1"/>
  <c r="R139" l="1"/>
  <c r="Q140" s="1"/>
  <c r="L140" s="1"/>
  <c r="X140" l="1"/>
  <c r="O140"/>
  <c r="P140"/>
  <c r="S140"/>
  <c r="T140"/>
  <c r="V140" s="1"/>
  <c r="Y140"/>
  <c r="U140"/>
  <c r="W140" l="1"/>
  <c r="R140"/>
  <c r="Q141" s="1"/>
  <c r="P141" l="1"/>
  <c r="X141"/>
  <c r="L141"/>
  <c r="S141"/>
  <c r="O141"/>
  <c r="T141" l="1"/>
  <c r="V141" s="1"/>
  <c r="U141"/>
  <c r="Y141"/>
  <c r="R141" l="1"/>
  <c r="Q142" s="1"/>
  <c r="W141"/>
  <c r="L142" l="1"/>
  <c r="X142"/>
  <c r="P142"/>
  <c r="S142"/>
  <c r="O142"/>
  <c r="T142" l="1"/>
  <c r="U142"/>
  <c r="Y142"/>
  <c r="V142" l="1"/>
  <c r="W142" s="1"/>
  <c r="R142" l="1"/>
  <c r="Q143" s="1"/>
  <c r="L143" s="1"/>
  <c r="S143" l="1"/>
  <c r="O143"/>
  <c r="P143"/>
  <c r="X143"/>
  <c r="T143"/>
  <c r="V143" s="1"/>
  <c r="U143"/>
  <c r="Y143"/>
  <c r="R143" l="1"/>
  <c r="Q144" s="1"/>
  <c r="W143"/>
  <c r="P144" l="1"/>
  <c r="X144"/>
  <c r="S144"/>
  <c r="L144"/>
  <c r="O144"/>
  <c r="U144" l="1"/>
  <c r="T144"/>
  <c r="Y144"/>
  <c r="V144" l="1"/>
  <c r="R144" s="1"/>
  <c r="Q145" s="1"/>
  <c r="W144" l="1"/>
  <c r="P145"/>
  <c r="X145"/>
  <c r="S145"/>
  <c r="L145"/>
  <c r="O145"/>
  <c r="Y145" l="1"/>
  <c r="U145"/>
  <c r="T145"/>
  <c r="V145" l="1"/>
  <c r="W145" s="1"/>
  <c r="R145" l="1"/>
  <c r="Q146" s="1"/>
  <c r="X146" s="1"/>
  <c r="P146" l="1"/>
  <c r="O146"/>
  <c r="S146"/>
  <c r="L146"/>
  <c r="Y146" s="1"/>
  <c r="U146" l="1"/>
  <c r="T146"/>
  <c r="V146" s="1"/>
  <c r="W146" s="1"/>
  <c r="R146" l="1"/>
  <c r="Q147" s="1"/>
  <c r="L147" s="1"/>
  <c r="P147" l="1"/>
  <c r="O147"/>
  <c r="X147"/>
  <c r="S147"/>
  <c r="Y147"/>
  <c r="T147"/>
  <c r="V147" s="1"/>
  <c r="U147"/>
  <c r="R147" l="1"/>
  <c r="Q148" s="1"/>
  <c r="W147"/>
  <c r="L148" l="1"/>
  <c r="P148"/>
  <c r="X148"/>
  <c r="S148"/>
  <c r="O148"/>
  <c r="T148" l="1"/>
  <c r="V148" s="1"/>
  <c r="Y148"/>
  <c r="U148"/>
  <c r="R148" l="1"/>
  <c r="Q149" s="1"/>
  <c r="W148"/>
  <c r="L149" l="1"/>
  <c r="P149"/>
  <c r="X149"/>
  <c r="S149"/>
  <c r="O149"/>
  <c r="T149" l="1"/>
  <c r="V149" s="1"/>
  <c r="U149"/>
  <c r="Y149"/>
  <c r="R149" l="1"/>
  <c r="Q150" s="1"/>
  <c r="W149"/>
  <c r="L150" l="1"/>
  <c r="S150"/>
  <c r="P150"/>
  <c r="X150"/>
  <c r="O150"/>
  <c r="Y150" l="1"/>
  <c r="U150"/>
  <c r="T150"/>
  <c r="V150" l="1"/>
  <c r="W150" s="1"/>
  <c r="R150" l="1"/>
  <c r="Q151" s="1"/>
  <c r="S151" s="1"/>
  <c r="L151" l="1"/>
  <c r="T151" s="1"/>
  <c r="P151"/>
  <c r="O151"/>
  <c r="X151"/>
  <c r="U151" l="1"/>
  <c r="V151" s="1"/>
  <c r="Y151"/>
  <c r="R151" l="1"/>
  <c r="Q152" s="1"/>
  <c r="X152" s="1"/>
  <c r="W151"/>
  <c r="S152" l="1"/>
  <c r="L152"/>
  <c r="U152" s="1"/>
  <c r="O152"/>
  <c r="P152"/>
  <c r="Y152" l="1"/>
  <c r="T152"/>
  <c r="V152" s="1"/>
  <c r="W152" l="1"/>
  <c r="R152"/>
  <c r="Q153" s="1"/>
  <c r="L153" s="1"/>
  <c r="P153" l="1"/>
  <c r="O153"/>
  <c r="X153"/>
  <c r="S153"/>
  <c r="U153"/>
  <c r="T153"/>
  <c r="V153" s="1"/>
  <c r="Y153"/>
  <c r="R153" l="1"/>
  <c r="Q154" s="1"/>
  <c r="W153"/>
  <c r="X154" l="1"/>
  <c r="S154"/>
  <c r="P154"/>
  <c r="L154"/>
  <c r="O154"/>
  <c r="T154" l="1"/>
  <c r="V154" s="1"/>
  <c r="U154"/>
  <c r="Y154"/>
  <c r="R154" l="1"/>
  <c r="Q155" s="1"/>
  <c r="W154"/>
  <c r="X155" l="1"/>
  <c r="S155"/>
  <c r="P155"/>
  <c r="L155"/>
  <c r="O155"/>
  <c r="Y155" l="1"/>
  <c r="T155"/>
  <c r="V155" s="1"/>
  <c r="U155"/>
  <c r="R155" l="1"/>
  <c r="Q156" s="1"/>
  <c r="W155"/>
  <c r="P156" l="1"/>
  <c r="L156"/>
  <c r="X156"/>
  <c r="S156"/>
  <c r="O156"/>
  <c r="Y156" l="1"/>
  <c r="T156"/>
  <c r="V156" s="1"/>
  <c r="U156"/>
  <c r="R156" l="1"/>
  <c r="Q157" s="1"/>
  <c r="W156"/>
  <c r="S157" l="1"/>
  <c r="P157"/>
  <c r="X157"/>
  <c r="L157"/>
  <c r="O157"/>
  <c r="U157" l="1"/>
  <c r="Y157"/>
  <c r="T157"/>
  <c r="V157" l="1"/>
  <c r="R157" s="1"/>
  <c r="Q158" s="1"/>
  <c r="W157" l="1"/>
  <c r="P158"/>
  <c r="L158"/>
  <c r="X158"/>
  <c r="S158"/>
  <c r="O158"/>
  <c r="Y158" l="1"/>
  <c r="T158"/>
  <c r="V158" s="1"/>
  <c r="U158"/>
  <c r="R158" l="1"/>
  <c r="Q159" s="1"/>
  <c r="W158"/>
  <c r="P159" l="1"/>
  <c r="X159"/>
  <c r="L159"/>
  <c r="S159"/>
  <c r="O159"/>
  <c r="T159" l="1"/>
  <c r="V159" s="1"/>
  <c r="Y159"/>
  <c r="U159"/>
  <c r="R159" l="1"/>
  <c r="Q160" s="1"/>
  <c r="W159"/>
  <c r="X160" l="1"/>
  <c r="L160"/>
  <c r="S160"/>
  <c r="P160"/>
  <c r="O160"/>
  <c r="Y160" l="1"/>
  <c r="T160"/>
  <c r="U160"/>
  <c r="V160" l="1"/>
  <c r="R160" s="1"/>
  <c r="Q161" s="1"/>
  <c r="W160" l="1"/>
  <c r="X161"/>
  <c r="S161"/>
  <c r="L161"/>
  <c r="P161"/>
  <c r="O161"/>
  <c r="T161" l="1"/>
  <c r="V161" s="1"/>
  <c r="Y161"/>
  <c r="U161"/>
  <c r="R161" l="1"/>
  <c r="Q162" s="1"/>
  <c r="W161"/>
  <c r="S162" l="1"/>
  <c r="P162"/>
  <c r="L162"/>
  <c r="X162"/>
  <c r="O162"/>
  <c r="T162" l="1"/>
  <c r="V162" s="1"/>
  <c r="U162"/>
  <c r="Y162"/>
  <c r="R162" l="1"/>
  <c r="Q163" s="1"/>
  <c r="W162"/>
  <c r="L163" l="1"/>
  <c r="P163"/>
  <c r="S163"/>
  <c r="X163"/>
  <c r="O163"/>
  <c r="U163" l="1"/>
  <c r="Y163"/>
  <c r="T163"/>
  <c r="V163" l="1"/>
  <c r="W163" s="1"/>
  <c r="R163" l="1"/>
  <c r="Q164" s="1"/>
  <c r="P164" s="1"/>
  <c r="X164" l="1"/>
  <c r="O164"/>
  <c r="S164"/>
  <c r="L164"/>
  <c r="Y164" s="1"/>
  <c r="T164" l="1"/>
  <c r="V164" s="1"/>
  <c r="W164" s="1"/>
  <c r="U164"/>
  <c r="R164" l="1"/>
  <c r="Q165" s="1"/>
  <c r="S165" s="1"/>
  <c r="L165" l="1"/>
  <c r="T165" s="1"/>
  <c r="O165"/>
  <c r="P165"/>
  <c r="X165"/>
  <c r="Y165" l="1"/>
  <c r="U165"/>
  <c r="V165" s="1"/>
  <c r="R165" l="1"/>
  <c r="Q166" s="1"/>
  <c r="L166" s="1"/>
  <c r="W165"/>
  <c r="X166" l="1"/>
  <c r="S166"/>
  <c r="O166"/>
  <c r="P166"/>
  <c r="U166"/>
  <c r="T166"/>
  <c r="Y166"/>
  <c r="V166" l="1"/>
  <c r="W166" s="1"/>
  <c r="R166" l="1"/>
  <c r="Q167" s="1"/>
  <c r="S167" s="1"/>
  <c r="L167" l="1"/>
  <c r="U167" s="1"/>
  <c r="X167"/>
  <c r="O167"/>
  <c r="P167"/>
  <c r="T167" l="1"/>
  <c r="V167" s="1"/>
  <c r="W167" s="1"/>
  <c r="Y167"/>
  <c r="R167" l="1"/>
  <c r="Q168" s="1"/>
  <c r="S168" s="1"/>
  <c r="X168" l="1"/>
  <c r="O168"/>
  <c r="L168"/>
  <c r="U168" s="1"/>
  <c r="P168"/>
  <c r="T168"/>
  <c r="Y168"/>
  <c r="V168" l="1"/>
  <c r="W168" s="1"/>
  <c r="R168" l="1"/>
  <c r="Q169" s="1"/>
  <c r="S169" s="1"/>
  <c r="P169" l="1"/>
  <c r="O169"/>
  <c r="X169"/>
  <c r="L169"/>
  <c r="U169"/>
  <c r="Y169"/>
  <c r="T169"/>
  <c r="V169" l="1"/>
  <c r="W169" s="1"/>
  <c r="R169" l="1"/>
  <c r="Q170" s="1"/>
  <c r="L170" s="1"/>
  <c r="X170" l="1"/>
  <c r="O170"/>
  <c r="S170"/>
  <c r="P170"/>
  <c r="T170"/>
  <c r="V170" s="1"/>
  <c r="Y170"/>
  <c r="U170"/>
  <c r="R170" l="1"/>
  <c r="Q171" s="1"/>
  <c r="W170"/>
  <c r="P171" l="1"/>
  <c r="X171"/>
  <c r="S171"/>
  <c r="L171"/>
  <c r="O171"/>
  <c r="Y171" l="1"/>
  <c r="T171"/>
  <c r="V171" s="1"/>
  <c r="U171"/>
  <c r="R171" l="1"/>
  <c r="Q172" s="1"/>
  <c r="W171"/>
  <c r="S172" l="1"/>
  <c r="X172"/>
  <c r="L172"/>
  <c r="P172"/>
  <c r="O172"/>
  <c r="T172" l="1"/>
  <c r="V172" s="1"/>
  <c r="U172"/>
  <c r="Y172"/>
  <c r="R172" l="1"/>
  <c r="Q173" s="1"/>
  <c r="W172"/>
  <c r="L173" l="1"/>
  <c r="P173"/>
  <c r="X173"/>
  <c r="S173"/>
  <c r="O173"/>
  <c r="U173" l="1"/>
  <c r="T173"/>
  <c r="Y173"/>
  <c r="V173" l="1"/>
  <c r="W173" s="1"/>
  <c r="R173" l="1"/>
  <c r="Q174" s="1"/>
  <c r="X174" s="1"/>
  <c r="O174" l="1"/>
  <c r="P174"/>
  <c r="S174"/>
  <c r="L174"/>
  <c r="Y174" s="1"/>
  <c r="U174" l="1"/>
  <c r="T174"/>
  <c r="V174" l="1"/>
  <c r="W174" s="1"/>
  <c r="R174" l="1"/>
  <c r="Q175" s="1"/>
  <c r="S175" s="1"/>
  <c r="X175" l="1"/>
  <c r="L175"/>
  <c r="Y175" s="1"/>
  <c r="O175"/>
  <c r="P175"/>
  <c r="U175" l="1"/>
  <c r="T175"/>
  <c r="V175" l="1"/>
  <c r="W175" s="1"/>
  <c r="R175" l="1"/>
  <c r="Q176" s="1"/>
  <c r="S176" s="1"/>
  <c r="P176" l="1"/>
  <c r="X176"/>
  <c r="L176"/>
  <c r="T176" s="1"/>
  <c r="O176"/>
  <c r="U176" l="1"/>
  <c r="V176" s="1"/>
  <c r="Y176"/>
  <c r="R176" l="1"/>
  <c r="Q177" s="1"/>
  <c r="W176"/>
  <c r="X177" l="1"/>
  <c r="L177"/>
  <c r="S177"/>
  <c r="P177"/>
  <c r="O177"/>
  <c r="T177" l="1"/>
  <c r="U177"/>
  <c r="Y177"/>
  <c r="V177" l="1"/>
  <c r="R177" l="1"/>
  <c r="Q178" s="1"/>
  <c r="W177"/>
  <c r="P178" l="1"/>
  <c r="X178"/>
  <c r="O178"/>
  <c r="S178"/>
  <c r="L178"/>
  <c r="Y178" l="1"/>
  <c r="U178"/>
  <c r="T178"/>
  <c r="V178" l="1"/>
  <c r="W178" l="1"/>
  <c r="R178"/>
  <c r="Q179" s="1"/>
  <c r="L179" l="1"/>
  <c r="O179"/>
  <c r="P179"/>
  <c r="S179"/>
  <c r="X179"/>
  <c r="Y179" l="1"/>
  <c r="T179"/>
  <c r="V179" s="1"/>
  <c r="U179"/>
  <c r="R179" l="1"/>
  <c r="Q180" s="1"/>
  <c r="W179"/>
  <c r="S180" l="1"/>
  <c r="O180"/>
  <c r="P180"/>
  <c r="X180"/>
  <c r="L180"/>
  <c r="U180" l="1"/>
  <c r="Y180"/>
  <c r="T180"/>
  <c r="V180" s="1"/>
  <c r="W180" l="1"/>
  <c r="R180"/>
  <c r="Q181" s="1"/>
  <c r="L181" l="1"/>
  <c r="P181"/>
  <c r="S181"/>
  <c r="X181"/>
  <c r="O181"/>
  <c r="T181" l="1"/>
  <c r="V181" s="1"/>
  <c r="Y181"/>
  <c r="U181"/>
  <c r="W181" l="1"/>
  <c r="R181"/>
  <c r="Q182" s="1"/>
  <c r="S182" l="1"/>
  <c r="O182"/>
  <c r="P182"/>
  <c r="L182"/>
  <c r="X182"/>
  <c r="Y182" l="1"/>
  <c r="U182"/>
  <c r="T182"/>
  <c r="V182" l="1"/>
  <c r="W182" l="1"/>
  <c r="R182"/>
  <c r="Q183" s="1"/>
  <c r="P183" l="1"/>
  <c r="S183"/>
  <c r="L183"/>
  <c r="X183"/>
  <c r="O183"/>
  <c r="Y183" l="1"/>
  <c r="T183"/>
  <c r="V183" s="1"/>
  <c r="U183"/>
  <c r="W183" l="1"/>
  <c r="R183"/>
  <c r="Q184" s="1"/>
  <c r="P184" l="1"/>
  <c r="X184"/>
  <c r="L184"/>
  <c r="S184"/>
  <c r="O184"/>
  <c r="T184" l="1"/>
  <c r="V184" s="1"/>
  <c r="Y184"/>
  <c r="U184"/>
  <c r="R184" l="1"/>
  <c r="Q185" s="1"/>
  <c r="W184"/>
  <c r="P185" l="1"/>
  <c r="X185"/>
  <c r="L185"/>
  <c r="S185"/>
  <c r="O185"/>
  <c r="T185" l="1"/>
  <c r="V185" s="1"/>
  <c r="U185"/>
  <c r="Y185"/>
  <c r="W185" l="1"/>
  <c r="R185"/>
  <c r="Q186" s="1"/>
  <c r="P186" l="1"/>
  <c r="L186"/>
  <c r="X186"/>
  <c r="S186"/>
  <c r="O186"/>
  <c r="Y186" l="1"/>
  <c r="T186"/>
  <c r="V186" s="1"/>
  <c r="U186"/>
  <c r="R186" l="1"/>
  <c r="Q187" s="1"/>
  <c r="W186"/>
  <c r="X187" l="1"/>
  <c r="L187"/>
  <c r="P187"/>
  <c r="S187"/>
  <c r="O187"/>
  <c r="T187" l="1"/>
  <c r="V187" s="1"/>
  <c r="Y187"/>
  <c r="U187"/>
  <c r="W187" l="1"/>
  <c r="R187"/>
  <c r="Q188" s="1"/>
  <c r="X188" l="1"/>
  <c r="S188"/>
  <c r="L188"/>
  <c r="O188"/>
  <c r="P188"/>
  <c r="U188" l="1"/>
  <c r="T188"/>
  <c r="V188" s="1"/>
  <c r="Y188"/>
  <c r="R188" l="1"/>
  <c r="Q189" s="1"/>
  <c r="W188"/>
  <c r="O189" l="1"/>
  <c r="L189"/>
  <c r="X189"/>
  <c r="P189"/>
  <c r="S189"/>
  <c r="Y189" l="1"/>
  <c r="U189"/>
  <c r="T189"/>
  <c r="V189" s="1"/>
  <c r="W189" l="1"/>
  <c r="R189"/>
  <c r="Q190" s="1"/>
  <c r="X190" s="1"/>
  <c r="S190" l="1"/>
  <c r="L190"/>
  <c r="Y190" s="1"/>
  <c r="O190"/>
  <c r="P190"/>
  <c r="U190" l="1"/>
  <c r="T190"/>
  <c r="V190" s="1"/>
  <c r="W190" s="1"/>
  <c r="R190" l="1"/>
  <c r="Q191" s="1"/>
  <c r="L191" s="1"/>
  <c r="X191" l="1"/>
  <c r="P191"/>
  <c r="O191"/>
  <c r="S191"/>
  <c r="T191"/>
  <c r="V191" s="1"/>
  <c r="U191"/>
  <c r="Y191"/>
  <c r="R191" l="1"/>
  <c r="Q192" s="1"/>
  <c r="W191"/>
  <c r="L192" l="1"/>
  <c r="P192"/>
  <c r="X192"/>
  <c r="S192"/>
  <c r="O192"/>
  <c r="U192" l="1"/>
  <c r="Y192"/>
  <c r="T192"/>
  <c r="V192" s="1"/>
  <c r="R192" l="1"/>
  <c r="Q193" s="1"/>
  <c r="W192"/>
  <c r="P193" l="1"/>
  <c r="L193"/>
  <c r="X193"/>
  <c r="S193"/>
  <c r="O193"/>
  <c r="U193" l="1"/>
  <c r="Y193"/>
  <c r="T193"/>
  <c r="V193" l="1"/>
  <c r="R193" l="1"/>
  <c r="Q194" s="1"/>
  <c r="W193"/>
  <c r="P194" l="1"/>
  <c r="L194"/>
  <c r="S194"/>
  <c r="X194"/>
  <c r="O194"/>
  <c r="T194" l="1"/>
  <c r="V194" s="1"/>
  <c r="U194"/>
  <c r="Y194"/>
  <c r="R194" l="1"/>
  <c r="Q195" s="1"/>
  <c r="W194"/>
  <c r="X195" l="1"/>
  <c r="L195"/>
  <c r="P195"/>
  <c r="S195"/>
  <c r="O195"/>
  <c r="U195" l="1"/>
  <c r="T195"/>
  <c r="V195" s="1"/>
  <c r="Y195"/>
  <c r="R195" l="1"/>
  <c r="Q196" s="1"/>
  <c r="W195"/>
  <c r="S196" l="1"/>
  <c r="P196"/>
  <c r="X196"/>
  <c r="L196"/>
  <c r="O196"/>
  <c r="U196" l="1"/>
  <c r="Y196"/>
  <c r="T196"/>
  <c r="V196" l="1"/>
  <c r="W196" s="1"/>
  <c r="R196" l="1"/>
  <c r="Q197" s="1"/>
  <c r="L197" s="1"/>
  <c r="X197" l="1"/>
  <c r="O197"/>
  <c r="P197"/>
  <c r="S197"/>
  <c r="U197"/>
  <c r="T197"/>
  <c r="V197" s="1"/>
  <c r="Y197"/>
  <c r="R197" l="1"/>
  <c r="Q198" s="1"/>
  <c r="W197"/>
  <c r="S198" l="1"/>
  <c r="L198"/>
  <c r="P198"/>
  <c r="X198"/>
  <c r="O198"/>
  <c r="Y198" l="1"/>
  <c r="T198"/>
  <c r="V198" s="1"/>
  <c r="U198"/>
  <c r="R198" l="1"/>
  <c r="Q199" s="1"/>
  <c r="W198"/>
  <c r="L199" l="1"/>
  <c r="X199"/>
  <c r="P199"/>
  <c r="S199"/>
  <c r="O199"/>
  <c r="Y199" l="1"/>
  <c r="U199"/>
  <c r="T199"/>
  <c r="V199" l="1"/>
  <c r="W199" s="1"/>
  <c r="R199" l="1"/>
  <c r="Q200" s="1"/>
  <c r="S200" s="1"/>
  <c r="L200" l="1"/>
  <c r="T200" s="1"/>
  <c r="O200"/>
  <c r="P200"/>
  <c r="X200"/>
  <c r="U200" l="1"/>
  <c r="V200" s="1"/>
  <c r="Y200"/>
  <c r="R200" l="1"/>
  <c r="Q201" s="1"/>
  <c r="W200"/>
  <c r="L201" l="1"/>
  <c r="S201"/>
  <c r="X201"/>
  <c r="P201"/>
  <c r="O201"/>
  <c r="U201" l="1"/>
  <c r="T201"/>
  <c r="V201" s="1"/>
  <c r="Y201"/>
  <c r="W201" l="1"/>
  <c r="R201"/>
  <c r="Q202" s="1"/>
  <c r="P202" l="1"/>
  <c r="L202"/>
  <c r="S202"/>
  <c r="X202"/>
  <c r="O202"/>
  <c r="Y202" l="1"/>
  <c r="T202"/>
  <c r="V202" s="1"/>
  <c r="U202"/>
  <c r="W202" l="1"/>
  <c r="R202"/>
  <c r="Q203" s="1"/>
  <c r="X203" l="1"/>
  <c r="S203"/>
  <c r="L203"/>
  <c r="P203"/>
  <c r="O203"/>
  <c r="T203" l="1"/>
  <c r="V203" s="1"/>
  <c r="Y203"/>
  <c r="U203"/>
  <c r="W203" l="1"/>
  <c r="R203"/>
  <c r="Q204" s="1"/>
  <c r="P204" l="1"/>
  <c r="L204"/>
  <c r="X204"/>
  <c r="S204"/>
  <c r="O204"/>
  <c r="Y204" l="1"/>
  <c r="T204"/>
  <c r="V204" s="1"/>
  <c r="U204"/>
  <c r="R204" l="1"/>
  <c r="Q205" s="1"/>
  <c r="W204"/>
  <c r="L205" l="1"/>
  <c r="P205"/>
  <c r="X205"/>
  <c r="S205"/>
  <c r="O205"/>
  <c r="Y205" l="1"/>
  <c r="T205"/>
  <c r="V205" s="1"/>
  <c r="U205"/>
  <c r="R205" l="1"/>
  <c r="Q206" s="1"/>
  <c r="W205"/>
  <c r="X206" l="1"/>
  <c r="L206"/>
  <c r="P206"/>
  <c r="S206"/>
  <c r="O206"/>
  <c r="U206" l="1"/>
  <c r="T206"/>
  <c r="V206" s="1"/>
  <c r="Y206"/>
  <c r="R206" l="1"/>
  <c r="Q207" s="1"/>
  <c r="W206"/>
  <c r="S207" l="1"/>
  <c r="X207"/>
  <c r="L207"/>
  <c r="P207"/>
  <c r="O207"/>
  <c r="U207" l="1"/>
  <c r="Y207"/>
  <c r="T207"/>
  <c r="V207" s="1"/>
  <c r="W207" l="1"/>
  <c r="R207"/>
  <c r="Q208" s="1"/>
  <c r="L208" l="1"/>
  <c r="P208"/>
  <c r="S208"/>
  <c r="X208"/>
  <c r="O208"/>
  <c r="U208" l="1"/>
  <c r="Y208"/>
  <c r="T208"/>
  <c r="V208" s="1"/>
  <c r="W208" l="1"/>
  <c r="R208"/>
  <c r="Q209" s="1"/>
  <c r="P209" l="1"/>
  <c r="S209"/>
  <c r="L209"/>
  <c r="X209"/>
  <c r="O209"/>
  <c r="U209" l="1"/>
  <c r="T209"/>
  <c r="Y209"/>
  <c r="V209" l="1"/>
  <c r="R209" l="1"/>
  <c r="Q210" s="1"/>
  <c r="W209"/>
  <c r="X210" l="1"/>
  <c r="P210"/>
  <c r="L210"/>
  <c r="S210"/>
  <c r="O210"/>
  <c r="U210" l="1"/>
  <c r="Y210"/>
  <c r="T210"/>
  <c r="V210" l="1"/>
  <c r="R210" l="1"/>
  <c r="Q211" s="1"/>
  <c r="W210"/>
  <c r="P211" l="1"/>
  <c r="X211"/>
  <c r="L211"/>
  <c r="S211"/>
  <c r="O211"/>
  <c r="T211" l="1"/>
  <c r="V211" s="1"/>
  <c r="Y211"/>
  <c r="U211"/>
  <c r="R211" l="1"/>
  <c r="Q212" s="1"/>
  <c r="W211"/>
  <c r="L212" l="1"/>
  <c r="P212"/>
  <c r="S212"/>
  <c r="X212"/>
  <c r="O212"/>
  <c r="Y212" l="1"/>
  <c r="T212"/>
  <c r="V212" s="1"/>
  <c r="U212"/>
  <c r="R212" l="1"/>
  <c r="Q213" s="1"/>
  <c r="W212"/>
  <c r="S213" l="1"/>
  <c r="L213"/>
  <c r="X213"/>
  <c r="P213"/>
  <c r="O213"/>
  <c r="T213" l="1"/>
  <c r="V213" s="1"/>
  <c r="U213"/>
  <c r="Y213"/>
  <c r="R213" l="1"/>
  <c r="Q214" s="1"/>
  <c r="W213"/>
  <c r="L214" l="1"/>
  <c r="P214"/>
  <c r="X214"/>
  <c r="S214"/>
  <c r="O214"/>
  <c r="T214" l="1"/>
  <c r="V214" s="1"/>
  <c r="Y214"/>
  <c r="U214"/>
  <c r="R214" l="1"/>
  <c r="Q215" s="1"/>
  <c r="W214"/>
  <c r="L215" l="1"/>
  <c r="S215"/>
  <c r="X215"/>
  <c r="P215"/>
  <c r="O215"/>
  <c r="Y215" l="1"/>
  <c r="U215"/>
  <c r="T215"/>
  <c r="V215" s="1"/>
  <c r="W215" l="1"/>
  <c r="R215"/>
  <c r="Q216" s="1"/>
  <c r="X216" l="1"/>
  <c r="P216"/>
  <c r="L216"/>
  <c r="S216"/>
  <c r="O216"/>
  <c r="U216" l="1"/>
  <c r="T216"/>
  <c r="V216" s="1"/>
  <c r="Y216"/>
  <c r="W216" l="1"/>
  <c r="R216"/>
  <c r="Q217" s="1"/>
  <c r="S217" l="1"/>
  <c r="X217"/>
  <c r="L217"/>
  <c r="P217"/>
  <c r="O217"/>
  <c r="U217" l="1"/>
  <c r="Y217"/>
  <c r="T217"/>
  <c r="V217" l="1"/>
  <c r="W217" l="1"/>
  <c r="R217"/>
  <c r="Q218" s="1"/>
  <c r="S218" l="1"/>
  <c r="X218"/>
  <c r="L218"/>
  <c r="P218"/>
  <c r="O218"/>
  <c r="U218" l="1"/>
  <c r="Y218"/>
  <c r="T218"/>
  <c r="V218" s="1"/>
  <c r="W218" l="1"/>
  <c r="R218"/>
  <c r="Q219" s="1"/>
  <c r="X219" l="1"/>
  <c r="P219"/>
  <c r="S219"/>
  <c r="L219"/>
  <c r="O219"/>
  <c r="T219" l="1"/>
  <c r="U219"/>
  <c r="Y219"/>
  <c r="V219" l="1"/>
  <c r="W219" l="1"/>
  <c r="R219"/>
  <c r="Q220" s="1"/>
  <c r="S220" l="1"/>
  <c r="P220"/>
  <c r="X220"/>
  <c r="L220"/>
  <c r="O220"/>
  <c r="Y220" l="1"/>
  <c r="T220"/>
  <c r="V220" s="1"/>
  <c r="U220"/>
  <c r="W220" l="1"/>
  <c r="R220"/>
  <c r="Q221" s="1"/>
  <c r="X221" l="1"/>
  <c r="S221"/>
  <c r="L221"/>
  <c r="P221"/>
  <c r="O221"/>
  <c r="T221" l="1"/>
  <c r="V221" s="1"/>
  <c r="Y221"/>
  <c r="U221"/>
  <c r="W221" l="1"/>
  <c r="R221"/>
  <c r="Q222" s="1"/>
  <c r="L222" l="1"/>
  <c r="X222"/>
  <c r="P222"/>
  <c r="S222"/>
  <c r="O222"/>
  <c r="Y222" l="1"/>
  <c r="U222"/>
  <c r="T222"/>
  <c r="V222" l="1"/>
  <c r="W222" l="1"/>
  <c r="R222"/>
  <c r="Q223" s="1"/>
  <c r="X223" l="1"/>
  <c r="P223"/>
  <c r="S223"/>
  <c r="L223"/>
  <c r="O223"/>
  <c r="Y223" l="1"/>
  <c r="U223"/>
  <c r="T223"/>
  <c r="V223" l="1"/>
  <c r="W223" l="1"/>
  <c r="R223"/>
  <c r="Q224" s="1"/>
  <c r="X224" l="1"/>
  <c r="S224"/>
  <c r="L224"/>
  <c r="P224"/>
  <c r="O224"/>
  <c r="U224" l="1"/>
  <c r="Y224"/>
  <c r="T224"/>
  <c r="V224" l="1"/>
  <c r="R224" s="1"/>
  <c r="Q225" s="1"/>
  <c r="W224" l="1"/>
  <c r="P225"/>
  <c r="S225"/>
  <c r="L225"/>
  <c r="X225"/>
  <c r="O225"/>
  <c r="Y225" l="1"/>
  <c r="U225"/>
  <c r="T225"/>
  <c r="V225" l="1"/>
  <c r="W225" l="1"/>
  <c r="R225"/>
  <c r="Q226" s="1"/>
  <c r="P226" l="1"/>
  <c r="S226"/>
  <c r="X226"/>
  <c r="L226"/>
  <c r="O226"/>
  <c r="U226" l="1"/>
  <c r="T226"/>
  <c r="V226" s="1"/>
  <c r="Y226"/>
  <c r="W226" l="1"/>
  <c r="R226"/>
  <c r="Q227" s="1"/>
  <c r="X227" l="1"/>
  <c r="S227"/>
  <c r="L227"/>
  <c r="P227"/>
  <c r="O227"/>
  <c r="T227" l="1"/>
  <c r="V227" s="1"/>
  <c r="Y227"/>
  <c r="U227"/>
  <c r="W227" l="1"/>
  <c r="R227"/>
  <c r="Q228" s="1"/>
  <c r="L228" l="1"/>
  <c r="S228"/>
  <c r="X228"/>
  <c r="P228"/>
  <c r="O228"/>
  <c r="T228" l="1"/>
  <c r="V228" s="1"/>
  <c r="U228"/>
  <c r="Y228"/>
  <c r="W228" l="1"/>
  <c r="R228"/>
  <c r="Q229" s="1"/>
  <c r="S229" l="1"/>
  <c r="X229"/>
  <c r="P229"/>
  <c r="L229"/>
  <c r="O229"/>
  <c r="U229" l="1"/>
  <c r="Y229"/>
  <c r="T229"/>
  <c r="V229" l="1"/>
  <c r="W229" l="1"/>
  <c r="R229"/>
  <c r="Q230" s="1"/>
  <c r="X230" l="1"/>
  <c r="P230"/>
  <c r="L230"/>
  <c r="S230"/>
  <c r="O230"/>
  <c r="Y230" l="1"/>
  <c r="U230"/>
  <c r="T230"/>
  <c r="V230" l="1"/>
  <c r="W230" l="1"/>
  <c r="R230"/>
  <c r="Q231" s="1"/>
  <c r="P231" l="1"/>
  <c r="X231"/>
  <c r="L231"/>
  <c r="S231"/>
  <c r="O231"/>
  <c r="T231" l="1"/>
  <c r="V231" s="1"/>
  <c r="U231"/>
  <c r="Y231"/>
  <c r="W231" l="1"/>
  <c r="R231"/>
  <c r="Q232" s="1"/>
  <c r="X232" l="1"/>
  <c r="L232"/>
  <c r="S232"/>
  <c r="P232"/>
  <c r="O232"/>
  <c r="U232" l="1"/>
  <c r="Y232"/>
  <c r="T232"/>
  <c r="V232" l="1"/>
  <c r="W232" l="1"/>
  <c r="R232"/>
  <c r="Q233" s="1"/>
  <c r="S233" l="1"/>
  <c r="P233"/>
  <c r="X233"/>
  <c r="L233"/>
  <c r="O233"/>
  <c r="U233" l="1"/>
  <c r="Y233"/>
  <c r="T233"/>
  <c r="V233" l="1"/>
  <c r="W233" l="1"/>
  <c r="R233"/>
  <c r="Q234" s="1"/>
  <c r="S234" l="1"/>
  <c r="P234"/>
  <c r="X234"/>
  <c r="L234"/>
  <c r="O234"/>
  <c r="Y234" l="1"/>
  <c r="T234"/>
  <c r="V234" s="1"/>
  <c r="U234"/>
  <c r="W234" l="1"/>
  <c r="R234"/>
  <c r="Q235" s="1"/>
  <c r="L235" l="1"/>
  <c r="X235"/>
  <c r="P235"/>
  <c r="S235"/>
  <c r="O235"/>
  <c r="U235" l="1"/>
  <c r="Y235"/>
  <c r="T235"/>
  <c r="V235" l="1"/>
  <c r="W235" l="1"/>
  <c r="R235"/>
  <c r="Q236" s="1"/>
  <c r="L236" l="1"/>
  <c r="P236"/>
  <c r="S236"/>
  <c r="X236"/>
  <c r="O236"/>
  <c r="U236" l="1"/>
  <c r="Y236"/>
  <c r="T236"/>
  <c r="V236" l="1"/>
  <c r="W236" l="1"/>
  <c r="R236"/>
  <c r="Q237" s="1"/>
  <c r="L237" l="1"/>
  <c r="S237"/>
  <c r="P237"/>
  <c r="X237"/>
  <c r="O237"/>
  <c r="Y237" l="1"/>
  <c r="T237"/>
  <c r="V237" s="1"/>
  <c r="U237"/>
  <c r="W237" l="1"/>
  <c r="R237"/>
  <c r="Q238" s="1"/>
  <c r="L238" l="1"/>
  <c r="P238"/>
  <c r="X238"/>
  <c r="S238"/>
  <c r="O238"/>
  <c r="T238" l="1"/>
  <c r="V238" s="1"/>
  <c r="Y238"/>
  <c r="U238"/>
  <c r="W238" l="1"/>
  <c r="R238"/>
  <c r="Q239" s="1"/>
  <c r="P239" l="1"/>
  <c r="L239"/>
  <c r="X239"/>
  <c r="S239"/>
  <c r="O239"/>
  <c r="U239" l="1"/>
  <c r="Y239"/>
  <c r="T239"/>
  <c r="V239" l="1"/>
  <c r="W239" l="1"/>
  <c r="R239"/>
  <c r="Q240" s="1"/>
  <c r="L240" l="1"/>
  <c r="P240"/>
  <c r="X240"/>
  <c r="S240"/>
  <c r="O240"/>
  <c r="U240" l="1"/>
  <c r="T240"/>
  <c r="V240" s="1"/>
  <c r="Y240"/>
  <c r="W240" l="1"/>
  <c r="R240"/>
  <c r="Q241" s="1"/>
  <c r="P241" l="1"/>
  <c r="S241"/>
  <c r="X241"/>
  <c r="L241"/>
  <c r="O241"/>
  <c r="Y241" l="1"/>
  <c r="U241"/>
  <c r="T241"/>
  <c r="V241" l="1"/>
  <c r="W241" l="1"/>
  <c r="R241"/>
  <c r="Q242" s="1"/>
  <c r="X242" l="1"/>
  <c r="P242"/>
  <c r="L242"/>
  <c r="S242"/>
  <c r="O242"/>
  <c r="T242" l="1"/>
  <c r="V242" s="1"/>
  <c r="Y242"/>
  <c r="U242"/>
  <c r="W242" l="1"/>
  <c r="R242"/>
  <c r="Q243" s="1"/>
  <c r="L243" l="1"/>
  <c r="X243"/>
  <c r="S243"/>
  <c r="P243"/>
  <c r="O243"/>
  <c r="U243" l="1"/>
  <c r="T243"/>
  <c r="V243" s="1"/>
  <c r="Y243"/>
  <c r="W243" l="1"/>
  <c r="R243"/>
  <c r="Q244" s="1"/>
  <c r="X244" l="1"/>
  <c r="P244"/>
  <c r="L244"/>
  <c r="S244"/>
  <c r="O244"/>
  <c r="U244" l="1"/>
  <c r="Y244"/>
  <c r="T244"/>
  <c r="V244" l="1"/>
  <c r="W244" l="1"/>
  <c r="R244"/>
  <c r="Q245" s="1"/>
  <c r="P245" l="1"/>
  <c r="S245"/>
  <c r="X245"/>
  <c r="L245"/>
  <c r="O245"/>
  <c r="Y245" l="1"/>
  <c r="T245"/>
  <c r="V245" s="1"/>
  <c r="U245"/>
  <c r="W245" l="1"/>
  <c r="R245"/>
  <c r="Q246" s="1"/>
  <c r="S246" l="1"/>
  <c r="X246"/>
  <c r="P246"/>
  <c r="L246"/>
  <c r="O246"/>
  <c r="Y246" l="1"/>
  <c r="U246"/>
  <c r="T246"/>
  <c r="V246" l="1"/>
  <c r="W246" l="1"/>
  <c r="R246"/>
  <c r="Q247" s="1"/>
  <c r="L247" l="1"/>
  <c r="S247"/>
  <c r="X247"/>
  <c r="P247"/>
  <c r="O247"/>
  <c r="T247" l="1"/>
  <c r="V247" s="1"/>
  <c r="Y247"/>
  <c r="U247"/>
  <c r="W247" l="1"/>
  <c r="R247"/>
  <c r="Q248" s="1"/>
  <c r="P248" l="1"/>
  <c r="X248"/>
  <c r="S248"/>
  <c r="L248"/>
  <c r="O248"/>
  <c r="U248" l="1"/>
  <c r="T248"/>
  <c r="V248" s="1"/>
  <c r="Y248"/>
  <c r="W248" l="1"/>
  <c r="R248"/>
  <c r="Q249" s="1"/>
  <c r="P249" l="1"/>
  <c r="S249"/>
  <c r="L249"/>
  <c r="X249"/>
  <c r="O249"/>
  <c r="T249" l="1"/>
  <c r="V249" s="1"/>
  <c r="U249"/>
  <c r="Y249"/>
  <c r="W249" l="1"/>
  <c r="R249"/>
  <c r="Q250" s="1"/>
  <c r="S250" l="1"/>
  <c r="L250"/>
  <c r="X250"/>
  <c r="P250"/>
  <c r="O250"/>
  <c r="T250" l="1"/>
  <c r="V250" s="1"/>
  <c r="Y250"/>
  <c r="U250"/>
  <c r="W250" l="1"/>
  <c r="R250"/>
  <c r="Q251" s="1"/>
  <c r="X251" l="1"/>
  <c r="R251"/>
  <c r="Q252" s="1"/>
  <c r="L251"/>
  <c r="P251"/>
  <c r="S251"/>
  <c r="O251"/>
  <c r="L252" l="1"/>
  <c r="P252"/>
  <c r="S252"/>
  <c r="X252"/>
  <c r="R252"/>
  <c r="Q253" s="1"/>
  <c r="O252"/>
  <c r="Y251"/>
  <c r="U251"/>
  <c r="T251"/>
  <c r="V251" s="1"/>
  <c r="W251" s="1"/>
  <c r="R253" l="1"/>
  <c r="Q254" s="1"/>
  <c r="X253"/>
  <c r="P253"/>
  <c r="S253"/>
  <c r="L253"/>
  <c r="U252"/>
  <c r="Y252"/>
  <c r="T252"/>
  <c r="O253"/>
  <c r="O254" s="1"/>
  <c r="T253" l="1"/>
  <c r="V253" s="1"/>
  <c r="W253" s="1"/>
  <c r="Y253"/>
  <c r="U253"/>
  <c r="P254"/>
  <c r="L254"/>
  <c r="X254"/>
  <c r="R254"/>
  <c r="Q255" s="1"/>
  <c r="S254"/>
  <c r="O255"/>
  <c r="V252"/>
  <c r="W252" s="1"/>
  <c r="U254" l="1"/>
  <c r="T254"/>
  <c r="V254" s="1"/>
  <c r="W254" s="1"/>
  <c r="Y254"/>
  <c r="S255"/>
  <c r="L255"/>
  <c r="R255"/>
  <c r="Q256" s="1"/>
  <c r="O256" s="1"/>
  <c r="P255"/>
  <c r="X255"/>
  <c r="T255" l="1"/>
  <c r="V255" s="1"/>
  <c r="W255" s="1"/>
  <c r="Y255"/>
  <c r="U255"/>
  <c r="L256"/>
  <c r="P256"/>
  <c r="R256"/>
  <c r="Q257" s="1"/>
  <c r="O257" s="1"/>
  <c r="X256"/>
  <c r="S256"/>
  <c r="U256" l="1"/>
  <c r="T256"/>
  <c r="V256" s="1"/>
  <c r="W256" s="1"/>
  <c r="Y256"/>
  <c r="P257"/>
  <c r="X257"/>
  <c r="R257"/>
  <c r="Q258" s="1"/>
  <c r="O258" s="1"/>
  <c r="L257"/>
  <c r="S257"/>
  <c r="R258" l="1"/>
  <c r="Q259" s="1"/>
  <c r="O259" s="1"/>
  <c r="L258"/>
  <c r="S258"/>
  <c r="X258"/>
  <c r="P258"/>
  <c r="U257"/>
  <c r="T257"/>
  <c r="Y257"/>
  <c r="V257" l="1"/>
  <c r="W257" s="1"/>
  <c r="R259"/>
  <c r="Q260" s="1"/>
  <c r="O260" s="1"/>
  <c r="L259"/>
  <c r="P259"/>
  <c r="X259"/>
  <c r="S259"/>
  <c r="U258"/>
  <c r="T258"/>
  <c r="Y258"/>
  <c r="L260" l="1"/>
  <c r="X260"/>
  <c r="S260"/>
  <c r="R260"/>
  <c r="Q261" s="1"/>
  <c r="P260"/>
  <c r="U259"/>
  <c r="T259"/>
  <c r="Y259"/>
  <c r="V258"/>
  <c r="W258" s="1"/>
  <c r="R261" l="1"/>
  <c r="Q262" s="1"/>
  <c r="X261"/>
  <c r="S261"/>
  <c r="L261"/>
  <c r="P261"/>
  <c r="O261"/>
  <c r="T260"/>
  <c r="Y260"/>
  <c r="U260"/>
  <c r="V259"/>
  <c r="W259" s="1"/>
  <c r="V260" l="1"/>
  <c r="W260" s="1"/>
  <c r="L262"/>
  <c r="S262"/>
  <c r="R262"/>
  <c r="Q263" s="1"/>
  <c r="P262"/>
  <c r="X262"/>
  <c r="O262"/>
  <c r="T261"/>
  <c r="Y261"/>
  <c r="U261"/>
  <c r="U262" l="1"/>
  <c r="T262"/>
  <c r="V262" s="1"/>
  <c r="W262" s="1"/>
  <c r="Y262"/>
  <c r="O263"/>
  <c r="L263"/>
  <c r="X263"/>
  <c r="R263"/>
  <c r="Q264" s="1"/>
  <c r="S263"/>
  <c r="P263"/>
  <c r="V261"/>
  <c r="W261" s="1"/>
  <c r="T263" l="1"/>
  <c r="V263" s="1"/>
  <c r="W263" s="1"/>
  <c r="U263"/>
  <c r="Y263"/>
  <c r="S264"/>
  <c r="R264"/>
  <c r="Q265" s="1"/>
  <c r="L264"/>
  <c r="P264"/>
  <c r="X264"/>
  <c r="O264"/>
  <c r="O265" l="1"/>
  <c r="X265"/>
  <c r="R265"/>
  <c r="Q266" s="1"/>
  <c r="S265"/>
  <c r="P265"/>
  <c r="L265"/>
  <c r="Y264"/>
  <c r="T264"/>
  <c r="U264"/>
  <c r="V264" l="1"/>
  <c r="W264" s="1"/>
  <c r="O266"/>
  <c r="Y265"/>
  <c r="T265"/>
  <c r="V265" s="1"/>
  <c r="W265" s="1"/>
  <c r="U265"/>
  <c r="P266"/>
  <c r="R266"/>
  <c r="Q267" s="1"/>
  <c r="X266"/>
  <c r="L266"/>
  <c r="S266"/>
  <c r="O267" l="1"/>
  <c r="R267"/>
  <c r="Q268" s="1"/>
  <c r="L267"/>
  <c r="P267"/>
  <c r="X267"/>
  <c r="S267"/>
  <c r="Y266"/>
  <c r="U266"/>
  <c r="T266"/>
  <c r="O268" l="1"/>
  <c r="R268"/>
  <c r="Q269" s="1"/>
  <c r="L268"/>
  <c r="P268"/>
  <c r="X268"/>
  <c r="S268"/>
  <c r="T267"/>
  <c r="V267" s="1"/>
  <c r="W267" s="1"/>
  <c r="Y267"/>
  <c r="U267"/>
  <c r="V266"/>
  <c r="W266" s="1"/>
  <c r="O269" l="1"/>
  <c r="L269"/>
  <c r="P269"/>
  <c r="S269"/>
  <c r="R269"/>
  <c r="Q270" s="1"/>
  <c r="X269"/>
  <c r="Y268"/>
  <c r="T268"/>
  <c r="U268"/>
  <c r="R270" l="1"/>
  <c r="Q271" s="1"/>
  <c r="P270"/>
  <c r="S270"/>
  <c r="L270"/>
  <c r="X270"/>
  <c r="O270"/>
  <c r="T269"/>
  <c r="Y269"/>
  <c r="U269"/>
  <c r="V268"/>
  <c r="W268" s="1"/>
  <c r="V269" l="1"/>
  <c r="W269" s="1"/>
  <c r="R271"/>
  <c r="Q272" s="1"/>
  <c r="P271"/>
  <c r="L271"/>
  <c r="X271"/>
  <c r="S271"/>
  <c r="O271"/>
  <c r="T270"/>
  <c r="V270" s="1"/>
  <c r="W270" s="1"/>
  <c r="U270"/>
  <c r="Y270"/>
  <c r="P272" l="1"/>
  <c r="X272"/>
  <c r="L272"/>
  <c r="R272"/>
  <c r="Q273" s="1"/>
  <c r="S272"/>
  <c r="O272"/>
  <c r="O273" s="1"/>
  <c r="T271"/>
  <c r="V271" s="1"/>
  <c r="W271" s="1"/>
  <c r="U271"/>
  <c r="Y271"/>
  <c r="T272" l="1"/>
  <c r="V272" s="1"/>
  <c r="W272" s="1"/>
  <c r="Y272"/>
  <c r="U272"/>
  <c r="P273"/>
  <c r="X273"/>
  <c r="R273"/>
  <c r="Q274" s="1"/>
  <c r="S273"/>
  <c r="L273"/>
  <c r="T273" l="1"/>
  <c r="V273" s="1"/>
  <c r="W273" s="1"/>
  <c r="Y273"/>
  <c r="U273"/>
  <c r="P274"/>
  <c r="R274"/>
  <c r="Q275" s="1"/>
  <c r="L274"/>
  <c r="X274"/>
  <c r="S274"/>
  <c r="O274"/>
  <c r="O275" l="1"/>
  <c r="L275"/>
  <c r="X275"/>
  <c r="S275"/>
  <c r="R275"/>
  <c r="Q276" s="1"/>
  <c r="P275"/>
  <c r="Y274"/>
  <c r="U274"/>
  <c r="T274"/>
  <c r="V274" s="1"/>
  <c r="W274" s="1"/>
  <c r="S276" l="1"/>
  <c r="L276"/>
  <c r="P276"/>
  <c r="R276"/>
  <c r="Q277" s="1"/>
  <c r="X276"/>
  <c r="O276"/>
  <c r="O277" s="1"/>
  <c r="U275"/>
  <c r="T275"/>
  <c r="Y275"/>
  <c r="T276" l="1"/>
  <c r="Y276"/>
  <c r="U276"/>
  <c r="P277"/>
  <c r="X277"/>
  <c r="L277"/>
  <c r="R277"/>
  <c r="Q278" s="1"/>
  <c r="S277"/>
  <c r="V275"/>
  <c r="W275" s="1"/>
  <c r="V276" l="1"/>
  <c r="W276" s="1"/>
  <c r="T277"/>
  <c r="V277" s="1"/>
  <c r="W277" s="1"/>
  <c r="U277"/>
  <c r="Y277"/>
  <c r="X278"/>
  <c r="R278"/>
  <c r="Q279" s="1"/>
  <c r="L278"/>
  <c r="P278"/>
  <c r="S278"/>
  <c r="O278"/>
  <c r="O279" l="1"/>
  <c r="S279"/>
  <c r="L279"/>
  <c r="R279"/>
  <c r="Q280" s="1"/>
  <c r="P279"/>
  <c r="X279"/>
  <c r="Y278"/>
  <c r="T278"/>
  <c r="V278" s="1"/>
  <c r="W278" s="1"/>
  <c r="U278"/>
  <c r="P280" l="1"/>
  <c r="R280"/>
  <c r="Q281" s="1"/>
  <c r="L280"/>
  <c r="S280"/>
  <c r="X280"/>
  <c r="O280"/>
  <c r="O281" s="1"/>
  <c r="Y279"/>
  <c r="T279"/>
  <c r="U279"/>
  <c r="V279" l="1"/>
  <c r="W279" s="1"/>
  <c r="S281"/>
  <c r="L281"/>
  <c r="P281"/>
  <c r="X281"/>
  <c r="R281"/>
  <c r="Q282" s="1"/>
  <c r="U280"/>
  <c r="T280"/>
  <c r="Y280"/>
  <c r="L282" l="1"/>
  <c r="X282"/>
  <c r="S282"/>
  <c r="R282"/>
  <c r="Q283" s="1"/>
  <c r="P282"/>
  <c r="U281"/>
  <c r="T281"/>
  <c r="V281" s="1"/>
  <c r="W281" s="1"/>
  <c r="Y281"/>
  <c r="O282"/>
  <c r="V280"/>
  <c r="W280" s="1"/>
  <c r="T282" l="1"/>
  <c r="V282" s="1"/>
  <c r="Y282"/>
  <c r="U282"/>
  <c r="O283"/>
  <c r="S283"/>
  <c r="L283"/>
  <c r="R283"/>
  <c r="Q284" s="1"/>
  <c r="X283"/>
  <c r="P283"/>
  <c r="W282" l="1"/>
  <c r="T283"/>
  <c r="V283" s="1"/>
  <c r="W283" s="1"/>
  <c r="U283"/>
  <c r="Y283"/>
  <c r="S284"/>
  <c r="X284"/>
  <c r="P284"/>
  <c r="R284"/>
  <c r="Q285" s="1"/>
  <c r="L284"/>
  <c r="O284"/>
  <c r="L285" l="1"/>
  <c r="R285"/>
  <c r="Q286" s="1"/>
  <c r="S285"/>
  <c r="P285"/>
  <c r="X285"/>
  <c r="Y284"/>
  <c r="U284"/>
  <c r="T284"/>
  <c r="V284" s="1"/>
  <c r="W284" s="1"/>
  <c r="O285"/>
  <c r="O286" l="1"/>
  <c r="L286"/>
  <c r="S286"/>
  <c r="P286"/>
  <c r="R286"/>
  <c r="Q287" s="1"/>
  <c r="X286"/>
  <c r="Y285"/>
  <c r="T285"/>
  <c r="U285"/>
  <c r="O287"/>
  <c r="V285" l="1"/>
  <c r="W285" s="1"/>
  <c r="T286"/>
  <c r="V286" s="1"/>
  <c r="W286" s="1"/>
  <c r="U286"/>
  <c r="Y286"/>
  <c r="S287"/>
  <c r="L287"/>
  <c r="P287"/>
  <c r="R287"/>
  <c r="Q288" s="1"/>
  <c r="X287"/>
  <c r="O288"/>
  <c r="T287" l="1"/>
  <c r="V287" s="1"/>
  <c r="W287" s="1"/>
  <c r="Y287"/>
  <c r="U287"/>
  <c r="L288"/>
  <c r="R288"/>
  <c r="Q289" s="1"/>
  <c r="X288"/>
  <c r="P288"/>
  <c r="S288"/>
  <c r="Y288" l="1"/>
  <c r="T288"/>
  <c r="V288" s="1"/>
  <c r="W288" s="1"/>
  <c r="U288"/>
  <c r="P289"/>
  <c r="X289"/>
  <c r="L289"/>
  <c r="R289"/>
  <c r="Q290" s="1"/>
  <c r="S289"/>
  <c r="O289"/>
  <c r="O290" s="1"/>
  <c r="U289" l="1"/>
  <c r="V289" s="1"/>
  <c r="W289" s="1"/>
  <c r="Y289"/>
  <c r="T289"/>
  <c r="L290"/>
  <c r="R290"/>
  <c r="Q291" s="1"/>
  <c r="O291" s="1"/>
  <c r="S290"/>
  <c r="X290"/>
  <c r="P290"/>
  <c r="Y290" l="1"/>
  <c r="T290"/>
  <c r="V290" s="1"/>
  <c r="W290" s="1"/>
  <c r="U290"/>
  <c r="P291"/>
  <c r="S291"/>
  <c r="R291"/>
  <c r="Q292" s="1"/>
  <c r="O292" s="1"/>
  <c r="X291"/>
  <c r="L291"/>
  <c r="U291" l="1"/>
  <c r="T291"/>
  <c r="V291" s="1"/>
  <c r="W291" s="1"/>
  <c r="Y291"/>
  <c r="L292"/>
  <c r="P292"/>
  <c r="R292"/>
  <c r="Q293" s="1"/>
  <c r="O293" s="1"/>
  <c r="S292"/>
  <c r="X292"/>
  <c r="U292" l="1"/>
  <c r="T292"/>
  <c r="V292" s="1"/>
  <c r="W292" s="1"/>
  <c r="Y292"/>
  <c r="P293"/>
  <c r="X293"/>
  <c r="R293"/>
  <c r="Q294" s="1"/>
  <c r="O294" s="1"/>
  <c r="L293"/>
  <c r="S293"/>
  <c r="P294" l="1"/>
  <c r="R294"/>
  <c r="Q295" s="1"/>
  <c r="O295" s="1"/>
  <c r="L294"/>
  <c r="X294"/>
  <c r="S294"/>
  <c r="U293"/>
  <c r="T293"/>
  <c r="Y293"/>
  <c r="L295" l="1"/>
  <c r="X295"/>
  <c r="R295"/>
  <c r="Q296" s="1"/>
  <c r="O296" s="1"/>
  <c r="S295"/>
  <c r="P295"/>
  <c r="U294"/>
  <c r="T294"/>
  <c r="V294" s="1"/>
  <c r="W294" s="1"/>
  <c r="Y294"/>
  <c r="V293"/>
  <c r="W293" s="1"/>
  <c r="Y295" l="1"/>
  <c r="T295"/>
  <c r="V295" s="1"/>
  <c r="W295" s="1"/>
  <c r="U295"/>
  <c r="L296"/>
  <c r="R296"/>
  <c r="Q297" s="1"/>
  <c r="O297" s="1"/>
  <c r="S296"/>
  <c r="P296"/>
  <c r="X296"/>
  <c r="Y296" l="1"/>
  <c r="T296"/>
  <c r="V296" s="1"/>
  <c r="W296" s="1"/>
  <c r="U296"/>
  <c r="R297"/>
  <c r="Q298" s="1"/>
  <c r="X297"/>
  <c r="S297"/>
  <c r="P297"/>
  <c r="L297"/>
  <c r="Y297" l="1"/>
  <c r="U297"/>
  <c r="T297"/>
  <c r="R298"/>
  <c r="Q299" s="1"/>
  <c r="L298"/>
  <c r="X298"/>
  <c r="P298"/>
  <c r="S298"/>
  <c r="O298"/>
  <c r="O299" s="1"/>
  <c r="V297" l="1"/>
  <c r="W297" s="1"/>
  <c r="Y298"/>
  <c r="U298"/>
  <c r="T298"/>
  <c r="V298" s="1"/>
  <c r="W298" s="1"/>
  <c r="S299"/>
  <c r="P299"/>
  <c r="R299"/>
  <c r="Q300" s="1"/>
  <c r="X299"/>
  <c r="L299"/>
  <c r="T299" l="1"/>
  <c r="Y299"/>
  <c r="U299"/>
  <c r="L300"/>
  <c r="R300"/>
  <c r="Q301" s="1"/>
  <c r="X300"/>
  <c r="P300"/>
  <c r="S300"/>
  <c r="O300"/>
  <c r="V299" l="1"/>
  <c r="W299" s="1"/>
  <c r="O301"/>
  <c r="S301"/>
  <c r="P301"/>
  <c r="R301"/>
  <c r="Q302" s="1"/>
  <c r="X301"/>
  <c r="L301"/>
  <c r="U300"/>
  <c r="Y300"/>
  <c r="T300"/>
  <c r="S302" l="1"/>
  <c r="L302"/>
  <c r="X302"/>
  <c r="R302"/>
  <c r="Q303" s="1"/>
  <c r="P302"/>
  <c r="O302"/>
  <c r="O303" s="1"/>
  <c r="T301"/>
  <c r="V301" s="1"/>
  <c r="W301" s="1"/>
  <c r="U301"/>
  <c r="Y301"/>
  <c r="V300"/>
  <c r="W300" s="1"/>
  <c r="T302" l="1"/>
  <c r="V302" s="1"/>
  <c r="W302" s="1"/>
  <c r="Y302"/>
  <c r="U302"/>
  <c r="L303"/>
  <c r="X303"/>
  <c r="R303"/>
  <c r="Q304" s="1"/>
  <c r="S303"/>
  <c r="P303"/>
  <c r="T303" l="1"/>
  <c r="V303" s="1"/>
  <c r="W303" s="1"/>
  <c r="Y303"/>
  <c r="U303"/>
  <c r="L304"/>
  <c r="R304"/>
  <c r="Q305" s="1"/>
  <c r="P304"/>
  <c r="S304"/>
  <c r="X304"/>
  <c r="O304"/>
  <c r="O305" l="1"/>
  <c r="P305"/>
  <c r="R305"/>
  <c r="Q306" s="1"/>
  <c r="O306" s="1"/>
  <c r="L305"/>
  <c r="X305"/>
  <c r="S305"/>
  <c r="T304"/>
  <c r="V304" s="1"/>
  <c r="W304" s="1"/>
  <c r="U304"/>
  <c r="Y304"/>
  <c r="L306" l="1"/>
  <c r="P306"/>
  <c r="X306"/>
  <c r="R306"/>
  <c r="Q307" s="1"/>
  <c r="S306"/>
  <c r="Y305"/>
  <c r="U305"/>
  <c r="T305"/>
  <c r="V305" s="1"/>
  <c r="W305" s="1"/>
  <c r="X307" l="1"/>
  <c r="P307"/>
  <c r="R307"/>
  <c r="Q308" s="1"/>
  <c r="L307"/>
  <c r="S307"/>
  <c r="O307"/>
  <c r="T306"/>
  <c r="Y306"/>
  <c r="U306"/>
  <c r="O308" l="1"/>
  <c r="X308"/>
  <c r="S308"/>
  <c r="L308"/>
  <c r="R308"/>
  <c r="Q309" s="1"/>
  <c r="P308"/>
  <c r="U307"/>
  <c r="T307"/>
  <c r="Y307"/>
  <c r="V306"/>
  <c r="W306" s="1"/>
  <c r="S309" l="1"/>
  <c r="P309"/>
  <c r="L309"/>
  <c r="R309"/>
  <c r="Q310" s="1"/>
  <c r="X309"/>
  <c r="O309"/>
  <c r="O310" s="1"/>
  <c r="T308"/>
  <c r="V308" s="1"/>
  <c r="W308" s="1"/>
  <c r="Y308"/>
  <c r="U308"/>
  <c r="V307"/>
  <c r="W307" s="1"/>
  <c r="Y309" l="1"/>
  <c r="T309"/>
  <c r="V309" s="1"/>
  <c r="W309" s="1"/>
  <c r="U309"/>
  <c r="L310"/>
  <c r="X310"/>
  <c r="R310"/>
  <c r="Q311" s="1"/>
  <c r="O311" s="1"/>
  <c r="S310"/>
  <c r="P310"/>
  <c r="Y310" l="1"/>
  <c r="U310"/>
  <c r="V310" s="1"/>
  <c r="W310" s="1"/>
  <c r="T310"/>
  <c r="S311"/>
  <c r="X311"/>
  <c r="P311"/>
  <c r="R311"/>
  <c r="Q312" s="1"/>
  <c r="O312" s="1"/>
  <c r="L311"/>
  <c r="U311" l="1"/>
  <c r="Y311"/>
  <c r="T311"/>
  <c r="L312"/>
  <c r="X312"/>
  <c r="S312"/>
  <c r="P312"/>
  <c r="R312"/>
  <c r="Q313" s="1"/>
  <c r="P313" l="1"/>
  <c r="L313"/>
  <c r="S313"/>
  <c r="X313"/>
  <c r="R313"/>
  <c r="Q314" s="1"/>
  <c r="Y312"/>
  <c r="U312"/>
  <c r="T312"/>
  <c r="O313"/>
  <c r="O314" s="1"/>
  <c r="V311"/>
  <c r="W311" s="1"/>
  <c r="V312" l="1"/>
  <c r="W312" s="1"/>
  <c r="R314"/>
  <c r="Q315" s="1"/>
  <c r="X314"/>
  <c r="P314"/>
  <c r="S314"/>
  <c r="L314"/>
  <c r="Y313"/>
  <c r="T313"/>
  <c r="U313"/>
  <c r="V313" s="1"/>
  <c r="W313" s="1"/>
  <c r="P315" l="1"/>
  <c r="R315"/>
  <c r="Q316" s="1"/>
  <c r="L315"/>
  <c r="X315"/>
  <c r="S315"/>
  <c r="U314"/>
  <c r="V314" s="1"/>
  <c r="W314" s="1"/>
  <c r="T314"/>
  <c r="Y314"/>
  <c r="O315"/>
  <c r="O316" l="1"/>
  <c r="X316"/>
  <c r="R316"/>
  <c r="Q317" s="1"/>
  <c r="P316"/>
  <c r="S316"/>
  <c r="L316"/>
  <c r="U315"/>
  <c r="Y315"/>
  <c r="T315"/>
  <c r="V315" s="1"/>
  <c r="W315" l="1"/>
  <c r="O317"/>
  <c r="U316"/>
  <c r="Y316"/>
  <c r="T316"/>
  <c r="S317"/>
  <c r="R317"/>
  <c r="Q318" s="1"/>
  <c r="X317"/>
  <c r="L317"/>
  <c r="P317"/>
  <c r="X318" l="1"/>
  <c r="R318"/>
  <c r="Q319" s="1"/>
  <c r="L318"/>
  <c r="P318"/>
  <c r="S318"/>
  <c r="O318"/>
  <c r="U317"/>
  <c r="Y317"/>
  <c r="T317"/>
  <c r="V317" s="1"/>
  <c r="V316"/>
  <c r="W316" s="1"/>
  <c r="W317" l="1"/>
  <c r="P319"/>
  <c r="X319"/>
  <c r="R319"/>
  <c r="L319"/>
  <c r="S319"/>
  <c r="T318"/>
  <c r="Y318"/>
  <c r="U318"/>
  <c r="O319"/>
  <c r="V318" l="1"/>
  <c r="W318" s="1"/>
  <c r="T319"/>
  <c r="V319" s="1"/>
  <c r="W319" s="1"/>
  <c r="U319"/>
  <c r="Y319"/>
</calcChain>
</file>

<file path=xl/sharedStrings.xml><?xml version="1.0" encoding="utf-8"?>
<sst xmlns="http://schemas.openxmlformats.org/spreadsheetml/2006/main" count="301" uniqueCount="196">
  <si>
    <t xml:space="preserve">ACEA7007-Hybrid Powertrain and Control </t>
  </si>
  <si>
    <t>Series Hybrid Vehicle(CW1)</t>
  </si>
  <si>
    <t>Technical Data</t>
  </si>
  <si>
    <t>Regened Data/ Test Specification</t>
  </si>
  <si>
    <t>Gear Ratio</t>
  </si>
  <si>
    <t>Input</t>
  </si>
  <si>
    <t>Output</t>
  </si>
  <si>
    <t>Overall Ratio</t>
  </si>
  <si>
    <t>Top Speed(m/s)</t>
  </si>
  <si>
    <t>Top Speed (km/h)</t>
  </si>
  <si>
    <t>Maximum Engine Speed (RPM)</t>
  </si>
  <si>
    <r>
      <t>1</t>
    </r>
    <r>
      <rPr>
        <vertAlign val="superscript"/>
        <sz val="11"/>
        <color theme="1"/>
        <rFont val="Times New Roman"/>
        <family val="1"/>
      </rPr>
      <t>st</t>
    </r>
  </si>
  <si>
    <t>Maximum Engine Torque (Nm)</t>
  </si>
  <si>
    <r>
      <t>2</t>
    </r>
    <r>
      <rPr>
        <vertAlign val="superscript"/>
        <sz val="11"/>
        <color theme="1"/>
        <rFont val="Times New Roman"/>
        <family val="1"/>
      </rPr>
      <t>nd</t>
    </r>
  </si>
  <si>
    <r>
      <t>3</t>
    </r>
    <r>
      <rPr>
        <vertAlign val="superscript"/>
        <sz val="11"/>
        <color theme="1"/>
        <rFont val="Times New Roman"/>
        <family val="1"/>
      </rPr>
      <t>rd</t>
    </r>
  </si>
  <si>
    <t>Final Drive</t>
  </si>
  <si>
    <r>
      <t>Effective Frontal Area (m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)</t>
    </r>
  </si>
  <si>
    <t>Primary Drive</t>
  </si>
  <si>
    <t>Drag Coefficient</t>
  </si>
  <si>
    <r>
      <t>Air Density (kg/m</t>
    </r>
    <r>
      <rPr>
        <vertAlign val="superscript"/>
        <sz val="11"/>
        <color theme="1"/>
        <rFont val="Times New Roman"/>
        <family val="1"/>
      </rPr>
      <t>3</t>
    </r>
    <r>
      <rPr>
        <sz val="11"/>
        <color theme="1"/>
        <rFont val="Times New Roman"/>
        <family val="1"/>
      </rPr>
      <t>)</t>
    </r>
  </si>
  <si>
    <t>Front Wheel Radius (mm)</t>
  </si>
  <si>
    <t>Rear Wheel Radius (mm)</t>
  </si>
  <si>
    <t>Gear 1</t>
  </si>
  <si>
    <t>Driver + Passenger Weight (kg)</t>
  </si>
  <si>
    <t>Gear 2</t>
  </si>
  <si>
    <t>Fuel + Oil Weight (kg)</t>
  </si>
  <si>
    <t>Gear 3</t>
  </si>
  <si>
    <t>Kerb Weight (kg)</t>
  </si>
  <si>
    <t>Total Weight (kg)</t>
  </si>
  <si>
    <t>Gradient Angle</t>
  </si>
  <si>
    <t>Wheelbase (mm)</t>
  </si>
  <si>
    <t>Height of COG from Ground (mm)</t>
  </si>
  <si>
    <t>Distance of COG from Front Wheel Center (mm)</t>
  </si>
  <si>
    <t>Distance of COG from Rear Wheel Center (mm)</t>
  </si>
  <si>
    <t>Angle of Buggy Lifted (Degree)</t>
  </si>
  <si>
    <t>Angle of Buggy Lifted (Radians)</t>
  </si>
  <si>
    <t>tan(18°)</t>
  </si>
  <si>
    <t>Load on Rear Wheel (kg)</t>
  </si>
  <si>
    <t>Load on Rear Wheel while Lifted (kg)</t>
  </si>
  <si>
    <t>YCOG</t>
  </si>
  <si>
    <t>XCOG</t>
  </si>
  <si>
    <t>Fastest Velocity in 10m (m/s)</t>
  </si>
  <si>
    <t>Speed 6500 RPM (1st)</t>
  </si>
  <si>
    <t>Drive Torque at shaft (Nm) (1st)</t>
  </si>
  <si>
    <t>Drive Torque at Rear Wheel (Nm)</t>
  </si>
  <si>
    <t>Force (N)</t>
  </si>
  <si>
    <r>
      <t>Acceleration (m/s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)</t>
    </r>
  </si>
  <si>
    <t>Tires Mass (kg)</t>
  </si>
  <si>
    <t>Wheels Mass (kg)</t>
  </si>
  <si>
    <t>Total Assembly Mass (kg)</t>
  </si>
  <si>
    <r>
      <t>Radius of Gyration Front Wheel (K</t>
    </r>
    <r>
      <rPr>
        <vertAlign val="subscript"/>
        <sz val="11"/>
        <color theme="1"/>
        <rFont val="Times New Roman"/>
        <family val="1"/>
      </rPr>
      <t>front)</t>
    </r>
  </si>
  <si>
    <r>
      <t>Radius of Gyration Rear Wheel at 6500rpm 1</t>
    </r>
    <r>
      <rPr>
        <vertAlign val="superscript"/>
        <sz val="11"/>
        <color theme="1"/>
        <rFont val="Times New Roman"/>
        <family val="1"/>
      </rPr>
      <t>st</t>
    </r>
    <r>
      <rPr>
        <sz val="11"/>
        <color theme="1"/>
        <rFont val="Times New Roman"/>
        <family val="1"/>
      </rPr>
      <t xml:space="preserve"> Gear</t>
    </r>
  </si>
  <si>
    <t>Inertia of Front Wheel</t>
  </si>
  <si>
    <t>Inertia of Rear Wheel</t>
  </si>
  <si>
    <t>Inertia of Engine</t>
  </si>
  <si>
    <t>Reduced Mass in Gear 1</t>
  </si>
  <si>
    <t>Reduced Mass in Gear 2</t>
  </si>
  <si>
    <t>Reduced Mass in Gear 3</t>
  </si>
  <si>
    <t>Front Wheel Radius (m)</t>
  </si>
  <si>
    <t>Rear Wheel Radius (m)</t>
  </si>
  <si>
    <r>
      <t>Rolling Coefficient (μ</t>
    </r>
    <r>
      <rPr>
        <vertAlign val="subscript"/>
        <sz val="11"/>
        <color theme="1"/>
        <rFont val="Times New Roman"/>
        <family val="1"/>
      </rPr>
      <t>R</t>
    </r>
    <r>
      <rPr>
        <sz val="11"/>
        <color theme="1"/>
        <rFont val="Times New Roman"/>
        <family val="1"/>
      </rPr>
      <t>) Sand</t>
    </r>
  </si>
  <si>
    <t>Wind Speed (m/s)</t>
  </si>
  <si>
    <t>Net Resistance</t>
  </si>
  <si>
    <r>
      <t>Rolling Coefficient (μ</t>
    </r>
    <r>
      <rPr>
        <vertAlign val="subscript"/>
        <sz val="11"/>
        <color theme="1"/>
        <rFont val="Times New Roman"/>
        <family val="1"/>
      </rPr>
      <t>R</t>
    </r>
    <r>
      <rPr>
        <sz val="11"/>
        <color theme="1"/>
        <rFont val="Times New Roman"/>
        <family val="1"/>
      </rPr>
      <t>) Asphalt</t>
    </r>
  </si>
  <si>
    <r>
      <t>Rolling Coefficient (μ</t>
    </r>
    <r>
      <rPr>
        <vertAlign val="subscript"/>
        <sz val="11"/>
        <color theme="1"/>
        <rFont val="Times New Roman"/>
        <family val="1"/>
      </rPr>
      <t>R</t>
    </r>
    <r>
      <rPr>
        <sz val="11"/>
        <color theme="1"/>
        <rFont val="Times New Roman"/>
        <family val="1"/>
      </rPr>
      <t>) Gravel</t>
    </r>
  </si>
  <si>
    <t>Terrain AB</t>
  </si>
  <si>
    <t>Terrain BC</t>
  </si>
  <si>
    <t>Terrain CD</t>
  </si>
  <si>
    <t>Terrain DE</t>
  </si>
  <si>
    <t>Terrain EF</t>
  </si>
  <si>
    <t>Rolling Resistance</t>
  </si>
  <si>
    <t>Terrain AB (Sand) (N)</t>
  </si>
  <si>
    <t>Terrain BC (Asphalt) (N)</t>
  </si>
  <si>
    <t>Terrain CD (Asphalt) (N)</t>
  </si>
  <si>
    <t>Terrain DE (Asphalt) (N)</t>
  </si>
  <si>
    <t>Terrain EF (Gravel) (N)</t>
  </si>
  <si>
    <t>Aerodynamic Resistance</t>
  </si>
  <si>
    <t>Gradient Resistance</t>
  </si>
  <si>
    <t>Terrain CD (N)</t>
  </si>
  <si>
    <t>Terrain AB (N)</t>
  </si>
  <si>
    <t>Terrain EF (N) Wind in opposite</t>
  </si>
  <si>
    <t>Terrain CD (N) Wind in vehicles direction</t>
  </si>
  <si>
    <t>Terrain AB (N) Up to hill</t>
  </si>
  <si>
    <t>Terrain EF (N) Down to hill</t>
  </si>
  <si>
    <t>Transmission Ratio</t>
  </si>
  <si>
    <t>Velocity Ratio</t>
  </si>
  <si>
    <t>Crankshaft Velocity Ratio</t>
  </si>
  <si>
    <t>Gearbox Velocity Ratio</t>
  </si>
  <si>
    <r>
      <t>Inertia (kgm</t>
    </r>
    <r>
      <rPr>
        <b/>
        <vertAlign val="superscript"/>
        <sz val="11"/>
        <color theme="1"/>
        <rFont val="Times New Roman"/>
        <family val="1"/>
      </rPr>
      <t>2</t>
    </r>
    <r>
      <rPr>
        <b/>
        <sz val="11"/>
        <color theme="1"/>
        <rFont val="Times New Roman"/>
        <family val="1"/>
      </rPr>
      <t>)</t>
    </r>
  </si>
  <si>
    <t>Front Wheel</t>
  </si>
  <si>
    <t>Rear Wheel</t>
  </si>
  <si>
    <t>Crankshaft</t>
  </si>
  <si>
    <t>Gearbox Input Shaft(Gear1)</t>
  </si>
  <si>
    <t>Gearbox Input Shaft(Gear2)</t>
  </si>
  <si>
    <t>Gearbox Input Shaft(Gear3)</t>
  </si>
  <si>
    <t>GearBox Output Shaft</t>
  </si>
  <si>
    <t>RPM</t>
  </si>
  <si>
    <t>Power (W)</t>
  </si>
  <si>
    <t>Power (HP)</t>
  </si>
  <si>
    <t>Torque (Nm)</t>
  </si>
  <si>
    <t>Maximum Power Develop by Engine (W)</t>
  </si>
  <si>
    <t>Maximum Power Developed by Engine (HP)</t>
  </si>
  <si>
    <t>Wheelie Limited Acceleration</t>
  </si>
  <si>
    <t>Velocity (km/hr) in G1</t>
  </si>
  <si>
    <t>Velocity (km/hr) in G2</t>
  </si>
  <si>
    <t>Velocity (km/hr) in G3</t>
  </si>
  <si>
    <t>Driving Force (N) in G1</t>
  </si>
  <si>
    <t>Driving Force (N) in G2</t>
  </si>
  <si>
    <t>Driving Force (N) in G3</t>
  </si>
  <si>
    <r>
      <t>Acceleraion (m/s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) in G1</t>
    </r>
  </si>
  <si>
    <r>
      <t>Acceleraion (m/s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) in G2</t>
    </r>
  </si>
  <si>
    <r>
      <t>Acceleraion (m/s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) in G3</t>
    </r>
  </si>
  <si>
    <t>Acceleration Force (N) in G1</t>
  </si>
  <si>
    <t>Acceleration Force (N) in G2</t>
  </si>
  <si>
    <t>Acceleration Force (N) in G3</t>
  </si>
  <si>
    <t>Aerodynamic Force acting on each Gear in all Terrain</t>
  </si>
  <si>
    <t>Total Resistance Forces at every sector for each Gear</t>
  </si>
  <si>
    <t>Traction Limited Acceleration in Terrain AB</t>
  </si>
  <si>
    <t>Traction Limited Acceleration in Terrain BC</t>
  </si>
  <si>
    <t>Traction Limited Acceleration in Terrain CD</t>
  </si>
  <si>
    <t>Traction Limited Acceleration in Terrain DE</t>
  </si>
  <si>
    <t>Traction Limited Acceleration in Terrain EF</t>
  </si>
  <si>
    <t xml:space="preserve">Gear </t>
  </si>
  <si>
    <t>Sin(2°)</t>
  </si>
  <si>
    <t>2°</t>
  </si>
  <si>
    <t>Terrain BC (N)</t>
  </si>
  <si>
    <t>Terrain DE (N)</t>
  </si>
  <si>
    <t>Acceleration Decrease Due to Resistive Forces</t>
  </si>
  <si>
    <t xml:space="preserve">RPM </t>
  </si>
  <si>
    <t>Power(HP)</t>
  </si>
  <si>
    <t>Power(kw)</t>
  </si>
  <si>
    <t>Torque(Nm)</t>
  </si>
  <si>
    <t>BSFC</t>
  </si>
  <si>
    <t>Gear</t>
  </si>
  <si>
    <t>Sector</t>
  </si>
  <si>
    <t>Distance</t>
  </si>
  <si>
    <t>Time(s)</t>
  </si>
  <si>
    <t>Speed (kmph)</t>
  </si>
  <si>
    <t>Speed (m/s)</t>
  </si>
  <si>
    <r>
      <t>Acceleration(m/s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)</t>
    </r>
  </si>
  <si>
    <t>Aero Drag(N)</t>
  </si>
  <si>
    <t>Rolling Resistance(N)</t>
  </si>
  <si>
    <t>Driving Force(N)</t>
  </si>
  <si>
    <t>Reduced Mass</t>
  </si>
  <si>
    <t>Kinetic Energy(KJ)</t>
  </si>
  <si>
    <t>Track Layout</t>
  </si>
  <si>
    <t>Start</t>
  </si>
  <si>
    <t>End</t>
  </si>
  <si>
    <t>Length</t>
  </si>
  <si>
    <t>Point A</t>
  </si>
  <si>
    <t>Point E</t>
  </si>
  <si>
    <t>Point F</t>
  </si>
  <si>
    <t>Total Length</t>
  </si>
  <si>
    <t>Straight/ Breaking Zone/ Corner</t>
  </si>
  <si>
    <t>Distance(m)</t>
  </si>
  <si>
    <t>Corner Radius(m)</t>
  </si>
  <si>
    <t>Radians</t>
  </si>
  <si>
    <t>Sector 1 (Sand)</t>
  </si>
  <si>
    <t>Sector 2 (Asphalt)</t>
  </si>
  <si>
    <t>Sector 3 (Gravel)</t>
  </si>
  <si>
    <t>Point B</t>
  </si>
  <si>
    <t>BC (Sector 2)</t>
  </si>
  <si>
    <t>CD (Sector 2)</t>
  </si>
  <si>
    <t>DE (Sector 2)</t>
  </si>
  <si>
    <t>EF (Sector 3)</t>
  </si>
  <si>
    <t>AB (Sector 1)</t>
  </si>
  <si>
    <t>Gradient up</t>
  </si>
  <si>
    <t>Gradient Down</t>
  </si>
  <si>
    <t>Straight</t>
  </si>
  <si>
    <t>Breaking Point/ Corner</t>
  </si>
  <si>
    <t>Color Code</t>
  </si>
  <si>
    <t>Angular Velocity(Wheel RPM)</t>
  </si>
  <si>
    <t>Power  (Hp)</t>
  </si>
  <si>
    <t>Speed Gear 1(kmph)</t>
  </si>
  <si>
    <t>Speed Gear 3 (kmph)</t>
  </si>
  <si>
    <t>Speed Gear 2(kmph)</t>
  </si>
  <si>
    <t>mep (bar)</t>
  </si>
  <si>
    <t>Torque Nm</t>
  </si>
  <si>
    <t>Energy(Kwh)</t>
  </si>
  <si>
    <t>Fuel Flow</t>
  </si>
  <si>
    <t>Fuel Usage(g)</t>
  </si>
  <si>
    <t>Total Fuel Consumed(g)</t>
  </si>
  <si>
    <t>Fuel Usage(L)</t>
  </si>
  <si>
    <t>Total Fuel Consumed (L)</t>
  </si>
  <si>
    <t xml:space="preserve">Fuel Consumed(g) in 1 Lap using optimum performance in all sectors </t>
  </si>
  <si>
    <t xml:space="preserve">Fuel Consumed(L) in 1 Lap using optimum performance in all sectors </t>
  </si>
  <si>
    <t xml:space="preserve">Distance covered on Full Tank(km)           </t>
  </si>
  <si>
    <t xml:space="preserve">Maximum Laps on Full Tank(Maximum Performance) </t>
  </si>
  <si>
    <t xml:space="preserve">Fuel Efficiency (km/l)                                   </t>
  </si>
  <si>
    <t>Gradient Resistance (N)</t>
  </si>
  <si>
    <t>Acceleration  &amp; Deceleration</t>
  </si>
  <si>
    <t>Simulation</t>
  </si>
  <si>
    <t>Mean Effective Pressure &amp; BSFC</t>
  </si>
  <si>
    <t>Fuel Consumption</t>
  </si>
  <si>
    <r>
      <rPr>
        <b/>
        <sz val="12"/>
        <color theme="1"/>
        <rFont val="Calibri"/>
        <family val="2"/>
      </rPr>
      <t>μ</t>
    </r>
    <r>
      <rPr>
        <b/>
        <vertAlign val="subscript"/>
        <sz val="12"/>
        <color theme="1"/>
        <rFont val="Times New Roman"/>
        <family val="1"/>
      </rPr>
      <t>R</t>
    </r>
    <r>
      <rPr>
        <b/>
        <sz val="12"/>
        <color theme="1"/>
        <rFont val="Times New Roman"/>
        <family val="1"/>
      </rPr>
      <t xml:space="preserve"> Coefficient</t>
    </r>
  </si>
  <si>
    <r>
      <t>Available Acceleration(m/s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)</t>
    </r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</si>
</sst>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sz val="14"/>
      <color theme="1"/>
      <name val="Times New Roman"/>
      <family val="1"/>
    </font>
    <font>
      <vertAlign val="subscript"/>
      <sz val="11"/>
      <color theme="1"/>
      <name val="Times New Roman"/>
      <family val="1"/>
    </font>
    <font>
      <sz val="11"/>
      <color theme="1"/>
      <name val="Calibri"/>
      <family val="2"/>
    </font>
    <font>
      <b/>
      <vertAlign val="superscript"/>
      <sz val="11"/>
      <color theme="1"/>
      <name val="Times New Roman"/>
      <family val="1"/>
    </font>
    <font>
      <sz val="12"/>
      <color rgb="FF202124"/>
      <name val="Times New Roman"/>
      <family val="1"/>
    </font>
    <font>
      <b/>
      <sz val="16"/>
      <color rgb="FFE43012"/>
      <name val="Times New Roman"/>
      <family val="1"/>
    </font>
    <font>
      <b/>
      <sz val="14"/>
      <color rgb="FFE43012"/>
      <name val="Times New Roman"/>
      <family val="1"/>
    </font>
    <font>
      <b/>
      <sz val="11"/>
      <color rgb="FFE430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</font>
    <font>
      <b/>
      <vertAlign val="subscript"/>
      <sz val="12"/>
      <color theme="1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4301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1" fillId="0" borderId="15" xfId="0" applyFont="1" applyBorder="1"/>
    <xf numFmtId="0" fontId="2" fillId="0" borderId="0" xfId="0" applyFont="1"/>
    <xf numFmtId="0" fontId="2" fillId="0" borderId="1" xfId="0" applyFont="1" applyBorder="1"/>
    <xf numFmtId="0" fontId="2" fillId="0" borderId="0" xfId="0" applyFont="1"/>
    <xf numFmtId="0" fontId="2" fillId="0" borderId="1" xfId="0" applyFont="1" applyBorder="1"/>
    <xf numFmtId="0" fontId="2" fillId="0" borderId="0" xfId="0" applyFont="1"/>
    <xf numFmtId="0" fontId="2" fillId="0" borderId="1" xfId="0" applyFont="1" applyBorder="1"/>
    <xf numFmtId="0" fontId="0" fillId="0" borderId="0" xfId="0"/>
    <xf numFmtId="0" fontId="2" fillId="0" borderId="0" xfId="0" applyFont="1"/>
    <xf numFmtId="0" fontId="2" fillId="0" borderId="0" xfId="0" applyNumberFormat="1" applyFont="1"/>
    <xf numFmtId="0" fontId="4" fillId="0" borderId="0" xfId="0" applyFont="1"/>
    <xf numFmtId="0" fontId="1" fillId="0" borderId="0" xfId="0" applyFont="1"/>
    <xf numFmtId="0" fontId="8" fillId="0" borderId="0" xfId="0" applyFont="1"/>
    <xf numFmtId="0" fontId="2" fillId="0" borderId="0" xfId="0" applyFont="1" applyAlignment="1">
      <alignment horizontal="right"/>
    </xf>
    <xf numFmtId="0" fontId="2" fillId="13" borderId="0" xfId="0" applyFont="1" applyFill="1"/>
    <xf numFmtId="0" fontId="2" fillId="14" borderId="0" xfId="0" applyFont="1" applyFill="1"/>
    <xf numFmtId="0" fontId="2" fillId="15" borderId="0" xfId="0" applyFont="1" applyFill="1"/>
    <xf numFmtId="0" fontId="2" fillId="9" borderId="0" xfId="0" applyFont="1" applyFill="1"/>
    <xf numFmtId="0" fontId="2" fillId="7" borderId="0" xfId="0" applyFont="1" applyFill="1"/>
    <xf numFmtId="0" fontId="2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Fill="1"/>
    <xf numFmtId="0" fontId="2" fillId="16" borderId="0" xfId="0" applyFont="1" applyFill="1"/>
    <xf numFmtId="0" fontId="6" fillId="16" borderId="0" xfId="0" applyFont="1" applyFill="1" applyAlignment="1">
      <alignment horizontal="right"/>
    </xf>
    <xf numFmtId="0" fontId="2" fillId="4" borderId="0" xfId="0" applyFont="1" applyFill="1"/>
    <xf numFmtId="0" fontId="0" fillId="4" borderId="0" xfId="0" applyFill="1"/>
    <xf numFmtId="0" fontId="2" fillId="6" borderId="0" xfId="0" applyFont="1" applyFill="1"/>
    <xf numFmtId="0" fontId="2" fillId="5" borderId="0" xfId="0" applyFont="1" applyFill="1"/>
    <xf numFmtId="0" fontId="0" fillId="0" borderId="1" xfId="0" applyBorder="1"/>
    <xf numFmtId="0" fontId="2" fillId="0" borderId="0" xfId="0" applyFont="1"/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Border="1" applyAlignment="1">
      <alignment horizontal="center"/>
    </xf>
    <xf numFmtId="0" fontId="2" fillId="6" borderId="1" xfId="0" applyFont="1" applyFill="1" applyBorder="1"/>
    <xf numFmtId="2" fontId="2" fillId="0" borderId="1" xfId="0" applyNumberFormat="1" applyFont="1" applyBorder="1"/>
    <xf numFmtId="0" fontId="0" fillId="6" borderId="1" xfId="0" applyFill="1" applyBorder="1"/>
    <xf numFmtId="164" fontId="0" fillId="0" borderId="1" xfId="0" applyNumberFormat="1" applyBorder="1"/>
    <xf numFmtId="0" fontId="0" fillId="0" borderId="1" xfId="0" applyFill="1" applyBorder="1"/>
    <xf numFmtId="0" fontId="0" fillId="6" borderId="1" xfId="0" applyFont="1" applyFill="1" applyBorder="1"/>
    <xf numFmtId="0" fontId="2" fillId="4" borderId="17" xfId="0" applyFont="1" applyFill="1" applyBorder="1"/>
    <xf numFmtId="0" fontId="2" fillId="16" borderId="17" xfId="0" applyFont="1" applyFill="1" applyBorder="1"/>
    <xf numFmtId="164" fontId="0" fillId="0" borderId="1" xfId="0" applyNumberFormat="1" applyFont="1" applyBorder="1"/>
    <xf numFmtId="0" fontId="0" fillId="0" borderId="1" xfId="0" applyFont="1" applyBorder="1"/>
    <xf numFmtId="0" fontId="2" fillId="0" borderId="20" xfId="0" applyFont="1" applyBorder="1"/>
    <xf numFmtId="0" fontId="0" fillId="0" borderId="20" xfId="0" applyBorder="1"/>
    <xf numFmtId="0" fontId="2" fillId="4" borderId="10" xfId="0" applyFont="1" applyFill="1" applyBorder="1"/>
    <xf numFmtId="0" fontId="2" fillId="4" borderId="9" xfId="0" applyFont="1" applyFill="1" applyBorder="1"/>
    <xf numFmtId="0" fontId="2" fillId="4" borderId="2" xfId="0" applyFont="1" applyFill="1" applyBorder="1"/>
    <xf numFmtId="0" fontId="2" fillId="4" borderId="3" xfId="0" applyFont="1" applyFill="1" applyBorder="1"/>
    <xf numFmtId="0" fontId="2" fillId="4" borderId="13" xfId="0" applyFont="1" applyFill="1" applyBorder="1"/>
    <xf numFmtId="0" fontId="2" fillId="4" borderId="7" xfId="0" applyFont="1" applyFill="1" applyBorder="1"/>
    <xf numFmtId="0" fontId="2" fillId="4" borderId="5" xfId="0" applyFont="1" applyFill="1" applyBorder="1"/>
    <xf numFmtId="0" fontId="2" fillId="4" borderId="6" xfId="0" applyFont="1" applyFill="1" applyBorder="1"/>
    <xf numFmtId="0" fontId="2" fillId="12" borderId="11" xfId="0" applyFont="1" applyFill="1" applyBorder="1"/>
    <xf numFmtId="164" fontId="2" fillId="11" borderId="8" xfId="0" applyNumberFormat="1" applyFont="1" applyFill="1" applyBorder="1"/>
    <xf numFmtId="164" fontId="2" fillId="11" borderId="1" xfId="0" applyNumberFormat="1" applyFont="1" applyFill="1" applyBorder="1"/>
    <xf numFmtId="164" fontId="2" fillId="10" borderId="1" xfId="0" applyNumberFormat="1" applyFont="1" applyFill="1" applyBorder="1"/>
    <xf numFmtId="0" fontId="2" fillId="11" borderId="1" xfId="0" applyFont="1" applyFill="1" applyBorder="1"/>
    <xf numFmtId="0" fontId="2" fillId="11" borderId="4" xfId="0" applyFont="1" applyFill="1" applyBorder="1"/>
    <xf numFmtId="164" fontId="2" fillId="11" borderId="4" xfId="0" applyNumberFormat="1" applyFont="1" applyFill="1" applyBorder="1"/>
    <xf numFmtId="164" fontId="2" fillId="9" borderId="1" xfId="0" applyNumberFormat="1" applyFont="1" applyFill="1" applyBorder="1"/>
    <xf numFmtId="164" fontId="2" fillId="10" borderId="4" xfId="0" applyNumberFormat="1" applyFont="1" applyFill="1" applyBorder="1"/>
    <xf numFmtId="164" fontId="2" fillId="2" borderId="1" xfId="0" applyNumberFormat="1" applyFont="1" applyFill="1" applyBorder="1"/>
    <xf numFmtId="164" fontId="2" fillId="8" borderId="1" xfId="0" applyNumberFormat="1" applyFont="1" applyFill="1" applyBorder="1"/>
    <xf numFmtId="164" fontId="2" fillId="7" borderId="1" xfId="0" applyNumberFormat="1" applyFont="1" applyFill="1" applyBorder="1"/>
    <xf numFmtId="164" fontId="2" fillId="10" borderId="8" xfId="0" applyNumberFormat="1" applyFont="1" applyFill="1" applyBorder="1"/>
    <xf numFmtId="164" fontId="2" fillId="3" borderId="8" xfId="0" applyNumberFormat="1" applyFont="1" applyFill="1" applyBorder="1"/>
    <xf numFmtId="164" fontId="2" fillId="3" borderId="1" xfId="0" applyNumberFormat="1" applyFont="1" applyFill="1" applyBorder="1"/>
    <xf numFmtId="164" fontId="2" fillId="3" borderId="4" xfId="0" applyNumberFormat="1" applyFont="1" applyFill="1" applyBorder="1"/>
    <xf numFmtId="0" fontId="2" fillId="4" borderId="12" xfId="0" applyFont="1" applyFill="1" applyBorder="1"/>
    <xf numFmtId="0" fontId="2" fillId="4" borderId="19" xfId="0" applyFont="1" applyFill="1" applyBorder="1"/>
    <xf numFmtId="0" fontId="2" fillId="4" borderId="20" xfId="0" applyFont="1" applyFill="1" applyBorder="1"/>
    <xf numFmtId="0" fontId="2" fillId="4" borderId="14" xfId="0" applyFont="1" applyFill="1" applyBorder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</cellXfs>
  <cellStyles count="1">
    <cellStyle name="Normal" xfId="0" builtinId="0"/>
  </cellStyles>
  <dxfs count="4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rgb="FF92D050"/>
        </patternFill>
      </fill>
      <border diagonalUp="0" diagonalDown="0">
        <left style="thin">
          <color theme="1"/>
        </left>
        <right style="thin">
          <color theme="1"/>
        </right>
        <top/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5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 outline="0">
        <left style="thin">
          <color theme="1"/>
        </left>
        <right/>
        <top/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theme="1"/>
        </right>
        <top/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theme="1"/>
        </right>
        <top/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theme="1"/>
        </right>
        <top/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theme="1"/>
        </right>
        <top/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theme="1"/>
        </left>
        <right style="thin">
          <color theme="1"/>
        </right>
        <top/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theme="1"/>
        </right>
        <top/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theme="1"/>
        </right>
        <top/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theme="1"/>
        </left>
        <right style="thin">
          <color theme="1"/>
        </right>
        <top/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</dxfs>
  <tableStyles count="1" defaultTableStyle="TableStyleMedium2" defaultPivotStyle="PivotStyleLight16">
    <tableStyle name="Table Style 1" pivot="0" count="0"/>
  </tableStyles>
  <colors>
    <mruColors>
      <color rgb="FFE4301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b="0">
                <a:latin typeface="Times New Roman" pitchFamily="18" charset="0"/>
                <a:cs typeface="Times New Roman" pitchFamily="18" charset="0"/>
              </a:defRPr>
            </a:pPr>
            <a:r>
              <a:rPr lang="en-US" b="0">
                <a:latin typeface="Times New Roman" pitchFamily="18" charset="0"/>
                <a:cs typeface="Times New Roman" pitchFamily="18" charset="0"/>
              </a:rPr>
              <a:t>Velocity(m/s) vs</a:t>
            </a:r>
            <a:r>
              <a:rPr lang="en-US" b="0" baseline="0">
                <a:latin typeface="Times New Roman" pitchFamily="18" charset="0"/>
                <a:cs typeface="Times New Roman" pitchFamily="18" charset="0"/>
              </a:rPr>
              <a:t> Distance(m)</a:t>
            </a:r>
            <a:endParaRPr lang="en-US" b="0"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42992282216569117"/>
          <c:y val="1.5964889634697322E-3"/>
        </c:manualLayout>
      </c:layout>
      <c:overlay val="1"/>
    </c:title>
    <c:plotArea>
      <c:layout>
        <c:manualLayout>
          <c:layoutTarget val="inner"/>
          <c:xMode val="edge"/>
          <c:yMode val="edge"/>
          <c:x val="4.4262258667779476E-2"/>
          <c:y val="8.7879867475581935E-2"/>
          <c:w val="0.93978702992976249"/>
          <c:h val="0.71677191170775789"/>
        </c:manualLayout>
      </c:layout>
      <c:scatterChart>
        <c:scatterStyle val="smoothMarker"/>
        <c:ser>
          <c:idx val="0"/>
          <c:order val="0"/>
          <c:tx>
            <c:strRef>
              <c:f>Simulation!$Q$4</c:f>
              <c:strCache>
                <c:ptCount val="1"/>
                <c:pt idx="0">
                  <c:v>Speed (m/s)</c:v>
                </c:pt>
              </c:strCache>
            </c:strRef>
          </c:tx>
          <c:spPr>
            <a:ln w="34925"/>
          </c:spPr>
          <c:marker>
            <c:symbol val="none"/>
          </c:marker>
          <c:yVal>
            <c:numRef>
              <c:f>Simulation!$Q$5:$Q$319</c:f>
              <c:numCache>
                <c:formatCode>General</c:formatCode>
                <c:ptCount val="315"/>
                <c:pt idx="0">
                  <c:v>0</c:v>
                </c:pt>
                <c:pt idx="1">
                  <c:v>0.6353364208116532</c:v>
                </c:pt>
                <c:pt idx="2">
                  <c:v>0.89814563483649867</c:v>
                </c:pt>
                <c:pt idx="3">
                  <c:v>1.099563846873568</c:v>
                </c:pt>
                <c:pt idx="4">
                  <c:v>1.2691645259724966</c:v>
                </c:pt>
                <c:pt idx="5">
                  <c:v>1.418407703071745</c:v>
                </c:pt>
                <c:pt idx="6">
                  <c:v>1.5531732405122753</c:v>
                </c:pt>
                <c:pt idx="7">
                  <c:v>1.6769554878933683</c:v>
                </c:pt>
                <c:pt idx="8">
                  <c:v>1.7920321415075127</c:v>
                </c:pt>
                <c:pt idx="9">
                  <c:v>1.8999859423112526</c:v>
                </c:pt>
                <c:pt idx="10">
                  <c:v>2.0019697459296166</c:v>
                </c:pt>
                <c:pt idx="11">
                  <c:v>2.0988542215721404</c:v>
                </c:pt>
                <c:pt idx="12">
                  <c:v>2.191316069872852</c:v>
                </c:pt>
                <c:pt idx="13">
                  <c:v>2.2798936562424612</c:v>
                </c:pt>
                <c:pt idx="14">
                  <c:v>2.3650236647971257</c:v>
                </c:pt>
                <c:pt idx="15">
                  <c:v>2.4470661341492175</c:v>
                </c:pt>
                <c:pt idx="16">
                  <c:v>2.526322082542241</c:v>
                </c:pt>
                <c:pt idx="17">
                  <c:v>2.6030462393932883</c:v>
                </c:pt>
                <c:pt idx="18">
                  <c:v>2.6774564482390688</c:v>
                </c:pt>
                <c:pt idx="19">
                  <c:v>2.7497407468428801</c:v>
                </c:pt>
                <c:pt idx="20">
                  <c:v>2.8200627896317387</c:v>
                </c:pt>
                <c:pt idx="21">
                  <c:v>2.88856606357936</c:v>
                </c:pt>
                <c:pt idx="22">
                  <c:v>2.9553772103530056</c:v>
                </c:pt>
                <c:pt idx="23">
                  <c:v>3.020608675975863</c:v>
                </c:pt>
                <c:pt idx="24">
                  <c:v>3.0843608472924364</c:v>
                </c:pt>
                <c:pt idx="25">
                  <c:v>3.1467237917620552</c:v>
                </c:pt>
                <c:pt idx="26">
                  <c:v>3.2077786870673397</c:v>
                </c:pt>
                <c:pt idx="27">
                  <c:v>3.2675990055822215</c:v>
                </c:pt>
                <c:pt idx="28">
                  <c:v>3.3262515032118567</c:v>
                </c:pt>
                <c:pt idx="29">
                  <c:v>3.3837970507134791</c:v>
                </c:pt>
                <c:pt idx="30">
                  <c:v>3.4402913371312813</c:v>
                </c:pt>
                <c:pt idx="31">
                  <c:v>3.4957854686061545</c:v>
                </c:pt>
                <c:pt idx="32">
                  <c:v>3.5503264809796611</c:v>
                </c:pt>
                <c:pt idx="33">
                  <c:v>3.6039577808970487</c:v>
                </c:pt>
                <c:pt idx="34">
                  <c:v>3.6567195272380579</c:v>
                </c:pt>
                <c:pt idx="35">
                  <c:v>3.7086489624584691</c:v>
                </c:pt>
                <c:pt idx="36">
                  <c:v>3.7597807016576361</c:v>
                </c:pt>
                <c:pt idx="37">
                  <c:v>3.8101469857854995</c:v>
                </c:pt>
                <c:pt idx="38">
                  <c:v>3.8597779042831895</c:v>
                </c:pt>
                <c:pt idx="39">
                  <c:v>3.9087015915515182</c:v>
                </c:pt>
                <c:pt idx="40">
                  <c:v>3.9569444009138635</c:v>
                </c:pt>
                <c:pt idx="41">
                  <c:v>4.0045310591478014</c:v>
                </c:pt>
                <c:pt idx="42">
                  <c:v>4.0514848041753906</c:v>
                </c:pt>
                <c:pt idx="43">
                  <c:v>4.0978275081035793</c:v>
                </c:pt>
                <c:pt idx="44">
                  <c:v>4.1435797874768792</c:v>
                </c:pt>
                <c:pt idx="45">
                  <c:v>4.1887611023309379</c:v>
                </c:pt>
                <c:pt idx="46">
                  <c:v>4.2333898454074941</c:v>
                </c:pt>
                <c:pt idx="47">
                  <c:v>4.2774834227000103</c:v>
                </c:pt>
                <c:pt idx="48">
                  <c:v>4.3210583263384805</c:v>
                </c:pt>
                <c:pt idx="49">
                  <c:v>4.3641302006860787</c:v>
                </c:pt>
                <c:pt idx="50">
                  <c:v>4.4067139024051745</c:v>
                </c:pt>
                <c:pt idx="51">
                  <c:v>4.448823555152285</c:v>
                </c:pt>
                <c:pt idx="52">
                  <c:v>4.4904725994779264</c:v>
                </c:pt>
                <c:pt idx="53">
                  <c:v>4.5316738384356769</c:v>
                </c:pt>
                <c:pt idx="54">
                  <c:v>4.5724394793432612</c:v>
                </c:pt>
                <c:pt idx="55">
                  <c:v>4.6127811720854179</c:v>
                </c:pt>
                <c:pt idx="56">
                  <c:v>4.6527100443024834</c:v>
                </c:pt>
                <c:pt idx="57">
                  <c:v>4.6922367337689019</c:v>
                </c:pt>
                <c:pt idx="58">
                  <c:v>4.7313714182313635</c:v>
                </c:pt>
                <c:pt idx="59">
                  <c:v>4.7701238429461679</c:v>
                </c:pt>
                <c:pt idx="60">
                  <c:v>4.8085033461291742</c:v>
                </c:pt>
                <c:pt idx="61">
                  <c:v>4.8465188825086649</c:v>
                </c:pt>
                <c:pt idx="62">
                  <c:v>4.8465188825086649</c:v>
                </c:pt>
                <c:pt idx="63">
                  <c:v>4.8465188825086649</c:v>
                </c:pt>
                <c:pt idx="64">
                  <c:v>4.8465188825086649</c:v>
                </c:pt>
                <c:pt idx="65">
                  <c:v>4.8465188825086649</c:v>
                </c:pt>
                <c:pt idx="66">
                  <c:v>5.0446973605135446</c:v>
                </c:pt>
                <c:pt idx="67">
                  <c:v>5.234949303778949</c:v>
                </c:pt>
                <c:pt idx="68">
                  <c:v>5.4181155994577104</c:v>
                </c:pt>
                <c:pt idx="69">
                  <c:v>5.594897303558656</c:v>
                </c:pt>
                <c:pt idx="70">
                  <c:v>5.765886211766456</c:v>
                </c:pt>
                <c:pt idx="71">
                  <c:v>5.9315873360732834</c:v>
                </c:pt>
                <c:pt idx="72">
                  <c:v>6.0924357623155183</c:v>
                </c:pt>
                <c:pt idx="73">
                  <c:v>6.2488095160022095</c:v>
                </c:pt>
                <c:pt idx="74">
                  <c:v>6.4010395344626208</c:v>
                </c:pt>
                <c:pt idx="75">
                  <c:v>6.5494175032566542</c:v>
                </c:pt>
                <c:pt idx="76">
                  <c:v>6.6942020907529889</c:v>
                </c:pt>
                <c:pt idx="77">
                  <c:v>6.8356239638500123</c:v>
                </c:pt>
                <c:pt idx="78">
                  <c:v>6.97388986407661</c:v>
                </c:pt>
                <c:pt idx="79">
                  <c:v>7.1091859507060438</c:v>
                </c:pt>
                <c:pt idx="80">
                  <c:v>7.2416805658617003</c:v>
                </c:pt>
                <c:pt idx="81">
                  <c:v>7.3715265392899871</c:v>
                </c:pt>
                <c:pt idx="82">
                  <c:v>7.4988631231649681</c:v>
                </c:pt>
                <c:pt idx="83">
                  <c:v>7.62381762704167</c:v>
                </c:pt>
                <c:pt idx="84">
                  <c:v>7.7482669045596575</c:v>
                </c:pt>
                <c:pt idx="85">
                  <c:v>7.8704968256666437</c:v>
                </c:pt>
                <c:pt idx="86">
                  <c:v>7.9906106308785469</c:v>
                </c:pt>
                <c:pt idx="87">
                  <c:v>8.1087036837982946</c:v>
                </c:pt>
                <c:pt idx="88">
                  <c:v>8.2248642900664937</c:v>
                </c:pt>
                <c:pt idx="89">
                  <c:v>8.3391744098906937</c:v>
                </c:pt>
                <c:pt idx="90">
                  <c:v>8.4517102805894648</c:v>
                </c:pt>
                <c:pt idx="91">
                  <c:v>8.5625429626685374</c:v>
                </c:pt>
                <c:pt idx="92">
                  <c:v>8.6717388206096455</c:v>
                </c:pt>
                <c:pt idx="93">
                  <c:v>8.7793599476701765</c:v>
                </c:pt>
                <c:pt idx="94">
                  <c:v>8.885464542465769</c:v>
                </c:pt>
                <c:pt idx="95">
                  <c:v>8.99010724386393</c:v>
                </c:pt>
                <c:pt idx="96">
                  <c:v>9.093339429697016</c:v>
                </c:pt>
                <c:pt idx="97">
                  <c:v>9.1952094839626373</c:v>
                </c:pt>
                <c:pt idx="98">
                  <c:v>9.2957630364839012</c:v>
                </c:pt>
                <c:pt idx="99">
                  <c:v>9.3950431784231299</c:v>
                </c:pt>
                <c:pt idx="100">
                  <c:v>9.4930906565591684</c:v>
                </c:pt>
                <c:pt idx="101">
                  <c:v>9.5899440488326455</c:v>
                </c:pt>
                <c:pt idx="102">
                  <c:v>9.6856399233217285</c:v>
                </c:pt>
                <c:pt idx="103">
                  <c:v>9.7802129825218174</c:v>
                </c:pt>
                <c:pt idx="104">
                  <c:v>9.8736961945572617</c:v>
                </c:pt>
                <c:pt idx="105">
                  <c:v>9.9661209127441381</c:v>
                </c:pt>
                <c:pt idx="106">
                  <c:v>10.057516984744494</c:v>
                </c:pt>
                <c:pt idx="107">
                  <c:v>10.147912852399243</c:v>
                </c:pt>
                <c:pt idx="108">
                  <c:v>10.2373356431952</c:v>
                </c:pt>
                <c:pt idx="109">
                  <c:v>10.325811254208</c:v>
                </c:pt>
                <c:pt idx="110">
                  <c:v>10.413364429264355</c:v>
                </c:pt>
                <c:pt idx="111">
                  <c:v>10.500628587065103</c:v>
                </c:pt>
                <c:pt idx="112">
                  <c:v>10.58700433484494</c:v>
                </c:pt>
                <c:pt idx="113">
                  <c:v>10.672513814861372</c:v>
                </c:pt>
                <c:pt idx="114">
                  <c:v>10.757178244096645</c:v>
                </c:pt>
                <c:pt idx="115">
                  <c:v>10.841017967825163</c:v>
                </c:pt>
                <c:pt idx="116">
                  <c:v>10.92405250925114</c:v>
                </c:pt>
                <c:pt idx="117">
                  <c:v>11.006300615563481</c:v>
                </c:pt>
                <c:pt idx="118">
                  <c:v>11.087780300719233</c:v>
                </c:pt>
                <c:pt idx="119">
                  <c:v>11.168508885235459</c:v>
                </c:pt>
                <c:pt idx="120">
                  <c:v>11.248503033241491</c:v>
                </c:pt>
                <c:pt idx="121">
                  <c:v>11.327778787018847</c:v>
                </c:pt>
                <c:pt idx="122">
                  <c:v>11.406351599234096</c:v>
                </c:pt>
                <c:pt idx="123">
                  <c:v>11.484236363050439</c:v>
                </c:pt>
                <c:pt idx="124">
                  <c:v>11.561447440286315</c:v>
                </c:pt>
                <c:pt idx="125">
                  <c:v>11.637998687773814</c:v>
                </c:pt>
                <c:pt idx="126">
                  <c:v>11.713903482055695</c:v>
                </c:pt>
                <c:pt idx="127">
                  <c:v>11.789174742547376</c:v>
                </c:pt>
                <c:pt idx="128">
                  <c:v>11.863824953279027</c:v>
                </c:pt>
                <c:pt idx="129">
                  <c:v>11.93786618332282</c:v>
                </c:pt>
                <c:pt idx="130">
                  <c:v>12.011310106001341</c:v>
                </c:pt>
                <c:pt idx="131">
                  <c:v>12.08416801696497</c:v>
                </c:pt>
                <c:pt idx="132">
                  <c:v>12.156450851218661</c:v>
                </c:pt>
                <c:pt idx="133">
                  <c:v>12.228169199171885</c:v>
                </c:pt>
                <c:pt idx="134">
                  <c:v>12.29933332177942</c:v>
                </c:pt>
                <c:pt idx="135">
                  <c:v>12.369953164835247</c:v>
                </c:pt>
                <c:pt idx="136">
                  <c:v>12.440038372476769</c:v>
                </c:pt>
                <c:pt idx="137">
                  <c:v>12.509598299952122</c:v>
                </c:pt>
                <c:pt idx="138">
                  <c:v>12.578642025699166</c:v>
                </c:pt>
                <c:pt idx="139">
                  <c:v>12.647178362781034</c:v>
                </c:pt>
                <c:pt idx="140">
                  <c:v>12.7152158697197</c:v>
                </c:pt>
                <c:pt idx="141">
                  <c:v>12.78276286076588</c:v>
                </c:pt>
                <c:pt idx="142">
                  <c:v>12.84982741564076</c:v>
                </c:pt>
                <c:pt idx="143">
                  <c:v>12.916417388782397</c:v>
                </c:pt>
                <c:pt idx="144">
                  <c:v>12.982540418127289</c:v>
                </c:pt>
                <c:pt idx="145">
                  <c:v>13.048203933455374</c:v>
                </c:pt>
                <c:pt idx="146">
                  <c:v>13.113415164324749</c:v>
                </c:pt>
                <c:pt idx="147">
                  <c:v>13.178181147620514</c:v>
                </c:pt>
                <c:pt idx="148">
                  <c:v>13.242508734740456</c:v>
                </c:pt>
                <c:pt idx="149">
                  <c:v>13.30640459843876</c:v>
                </c:pt>
                <c:pt idx="150">
                  <c:v>13.369875239347406</c:v>
                </c:pt>
                <c:pt idx="151">
                  <c:v>13.432926992193686</c:v>
                </c:pt>
                <c:pt idx="152">
                  <c:v>13.495566031730965</c:v>
                </c:pt>
                <c:pt idx="153">
                  <c:v>13.55779837839872</c:v>
                </c:pt>
                <c:pt idx="154">
                  <c:v>13.577938370259508</c:v>
                </c:pt>
                <c:pt idx="155">
                  <c:v>13.577938370259508</c:v>
                </c:pt>
                <c:pt idx="156">
                  <c:v>13.577938370259508</c:v>
                </c:pt>
                <c:pt idx="157">
                  <c:v>13.577938370259508</c:v>
                </c:pt>
                <c:pt idx="158">
                  <c:v>13.577938370259508</c:v>
                </c:pt>
                <c:pt idx="159">
                  <c:v>13.577938370259508</c:v>
                </c:pt>
                <c:pt idx="160">
                  <c:v>13.577938370259508</c:v>
                </c:pt>
                <c:pt idx="161">
                  <c:v>13.577938370259508</c:v>
                </c:pt>
                <c:pt idx="162">
                  <c:v>13.577938370259508</c:v>
                </c:pt>
                <c:pt idx="163">
                  <c:v>13.577938370259508</c:v>
                </c:pt>
                <c:pt idx="164">
                  <c:v>13.577938370259508</c:v>
                </c:pt>
                <c:pt idx="165">
                  <c:v>13.577938370259508</c:v>
                </c:pt>
                <c:pt idx="166">
                  <c:v>13.577938370259508</c:v>
                </c:pt>
                <c:pt idx="167">
                  <c:v>13.577938370259508</c:v>
                </c:pt>
                <c:pt idx="168">
                  <c:v>13.577938370259508</c:v>
                </c:pt>
                <c:pt idx="169">
                  <c:v>13.577938370259508</c:v>
                </c:pt>
                <c:pt idx="170">
                  <c:v>13.577938370259508</c:v>
                </c:pt>
                <c:pt idx="171">
                  <c:v>13.577938370259508</c:v>
                </c:pt>
                <c:pt idx="172">
                  <c:v>13.577938370259508</c:v>
                </c:pt>
                <c:pt idx="173">
                  <c:v>13.577938370259508</c:v>
                </c:pt>
                <c:pt idx="174">
                  <c:v>13.498812201339989</c:v>
                </c:pt>
                <c:pt idx="175">
                  <c:v>13.419064509156104</c:v>
                </c:pt>
                <c:pt idx="176">
                  <c:v>13.338683843415565</c:v>
                </c:pt>
                <c:pt idx="177">
                  <c:v>13.257658385965728</c:v>
                </c:pt>
                <c:pt idx="178">
                  <c:v>13.175975933839618</c:v>
                </c:pt>
                <c:pt idx="179">
                  <c:v>13.093623881280317</c:v>
                </c:pt>
                <c:pt idx="180">
                  <c:v>13.01058920066737</c:v>
                </c:pt>
                <c:pt idx="181">
                  <c:v>12.926858422261986</c:v>
                </c:pt>
                <c:pt idx="182">
                  <c:v>12.842417612680221</c:v>
                </c:pt>
                <c:pt idx="183">
                  <c:v>12.75725235199501</c:v>
                </c:pt>
                <c:pt idx="184">
                  <c:v>12.671347709358608</c:v>
                </c:pt>
                <c:pt idx="185">
                  <c:v>12.584688217026704</c:v>
                </c:pt>
                <c:pt idx="186">
                  <c:v>12.497257842654063</c:v>
                </c:pt>
                <c:pt idx="187">
                  <c:v>12.409039959718822</c:v>
                </c:pt>
                <c:pt idx="188">
                  <c:v>12.320017315918356</c:v>
                </c:pt>
                <c:pt idx="189">
                  <c:v>12.23017199936384</c:v>
                </c:pt>
                <c:pt idx="190">
                  <c:v>12.139485402382897</c:v>
                </c:pt>
                <c:pt idx="191">
                  <c:v>12.047938182719903</c:v>
                </c:pt>
                <c:pt idx="192">
                  <c:v>11.955510221901285</c:v>
                </c:pt>
                <c:pt idx="193">
                  <c:v>11.862180580508102</c:v>
                </c:pt>
                <c:pt idx="194">
                  <c:v>11.76792745007009</c:v>
                </c:pt>
                <c:pt idx="195">
                  <c:v>11.672728101263488</c:v>
                </c:pt>
                <c:pt idx="196">
                  <c:v>11.576558828059134</c:v>
                </c:pt>
                <c:pt idx="197">
                  <c:v>11.479394887426535</c:v>
                </c:pt>
                <c:pt idx="198">
                  <c:v>11.381210434153424</c:v>
                </c:pt>
                <c:pt idx="199">
                  <c:v>11.281978450287784</c:v>
                </c:pt>
                <c:pt idx="200">
                  <c:v>11.181670668649295</c:v>
                </c:pt>
                <c:pt idx="201">
                  <c:v>11.080257489788655</c:v>
                </c:pt>
                <c:pt idx="202">
                  <c:v>10.977707891694727</c:v>
                </c:pt>
                <c:pt idx="203">
                  <c:v>10.873989331459189</c:v>
                </c:pt>
                <c:pt idx="204">
                  <c:v>10.76906763800452</c:v>
                </c:pt>
                <c:pt idx="205">
                  <c:v>10.662906894861168</c:v>
                </c:pt>
                <c:pt idx="206">
                  <c:v>10.555469311840708</c:v>
                </c:pt>
                <c:pt idx="207">
                  <c:v>10.446715084290487</c:v>
                </c:pt>
                <c:pt idx="208">
                  <c:v>10.336602238427062</c:v>
                </c:pt>
                <c:pt idx="209">
                  <c:v>10.225873140977846</c:v>
                </c:pt>
                <c:pt idx="210">
                  <c:v>10.113714861072392</c:v>
                </c:pt>
                <c:pt idx="211">
                  <c:v>10.000078887820411</c:v>
                </c:pt>
                <c:pt idx="212">
                  <c:v>10.128371650562666</c:v>
                </c:pt>
                <c:pt idx="213">
                  <c:v>10.254902138319794</c:v>
                </c:pt>
                <c:pt idx="214">
                  <c:v>10.379734440141164</c:v>
                </c:pt>
                <c:pt idx="215">
                  <c:v>10.503794128015935</c:v>
                </c:pt>
                <c:pt idx="216">
                  <c:v>10.626250472637173</c:v>
                </c:pt>
                <c:pt idx="217">
                  <c:v>10.747157990944066</c:v>
                </c:pt>
                <c:pt idx="218">
                  <c:v>10.866568114011679</c:v>
                </c:pt>
                <c:pt idx="219">
                  <c:v>10.984529427225862</c:v>
                </c:pt>
                <c:pt idx="220">
                  <c:v>11.101087886915266</c:v>
                </c:pt>
                <c:pt idx="221">
                  <c:v>11.216287016202646</c:v>
                </c:pt>
                <c:pt idx="222">
                  <c:v>11.330168082462519</c:v>
                </c:pt>
                <c:pt idx="223">
                  <c:v>11.442770258454697</c:v>
                </c:pt>
                <c:pt idx="224">
                  <c:v>11.554130768933446</c:v>
                </c:pt>
                <c:pt idx="225">
                  <c:v>11.664285024302053</c:v>
                </c:pt>
                <c:pt idx="226">
                  <c:v>11.773266742685866</c:v>
                </c:pt>
                <c:pt idx="227">
                  <c:v>11.881108061628046</c:v>
                </c:pt>
                <c:pt idx="228">
                  <c:v>11.987839640467014</c:v>
                </c:pt>
                <c:pt idx="229">
                  <c:v>12.093490754329101</c:v>
                </c:pt>
                <c:pt idx="230">
                  <c:v>12.198089380561344</c:v>
                </c:pt>
                <c:pt idx="231">
                  <c:v>12.301662278335082</c:v>
                </c:pt>
                <c:pt idx="232">
                  <c:v>12.404235062068979</c:v>
                </c:pt>
                <c:pt idx="233">
                  <c:v>12.505832269248469</c:v>
                </c:pt>
                <c:pt idx="234">
                  <c:v>12.606477423156024</c:v>
                </c:pt>
                <c:pt idx="235">
                  <c:v>12.706193090971723</c:v>
                </c:pt>
                <c:pt idx="236">
                  <c:v>12.805000937655317</c:v>
                </c:pt>
                <c:pt idx="237">
                  <c:v>12.902921775978539</c:v>
                </c:pt>
                <c:pt idx="238">
                  <c:v>12.999975613038854</c:v>
                </c:pt>
                <c:pt idx="239">
                  <c:v>13.096181693552683</c:v>
                </c:pt>
                <c:pt idx="240">
                  <c:v>13.191558540196759</c:v>
                </c:pt>
                <c:pt idx="241">
                  <c:v>13.286123991240137</c:v>
                </c:pt>
                <c:pt idx="242">
                  <c:v>13.379895235686197</c:v>
                </c:pt>
                <c:pt idx="243">
                  <c:v>13.472888846123277</c:v>
                </c:pt>
                <c:pt idx="244">
                  <c:v>13.565120809464082</c:v>
                </c:pt>
                <c:pt idx="245">
                  <c:v>13.577938370259508</c:v>
                </c:pt>
                <c:pt idx="246">
                  <c:v>13.577938370259508</c:v>
                </c:pt>
                <c:pt idx="247">
                  <c:v>13.577938370259508</c:v>
                </c:pt>
                <c:pt idx="248">
                  <c:v>13.577938370259508</c:v>
                </c:pt>
                <c:pt idx="249">
                  <c:v>13.577938370259508</c:v>
                </c:pt>
                <c:pt idx="250">
                  <c:v>13.577938370259508</c:v>
                </c:pt>
                <c:pt idx="251">
                  <c:v>13.577938370259508</c:v>
                </c:pt>
                <c:pt idx="252">
                  <c:v>13.577938370259508</c:v>
                </c:pt>
                <c:pt idx="253">
                  <c:v>13.577938370259508</c:v>
                </c:pt>
                <c:pt idx="254">
                  <c:v>13.577938370259508</c:v>
                </c:pt>
                <c:pt idx="255">
                  <c:v>13.577938370259508</c:v>
                </c:pt>
                <c:pt idx="256">
                  <c:v>13.577938370259508</c:v>
                </c:pt>
                <c:pt idx="257">
                  <c:v>13.577938370259508</c:v>
                </c:pt>
                <c:pt idx="258">
                  <c:v>13.577938370259508</c:v>
                </c:pt>
                <c:pt idx="259">
                  <c:v>13.577938370259508</c:v>
                </c:pt>
                <c:pt idx="260">
                  <c:v>13.577938370259508</c:v>
                </c:pt>
                <c:pt idx="261">
                  <c:v>13.577938370259508</c:v>
                </c:pt>
                <c:pt idx="262">
                  <c:v>13.577938370259508</c:v>
                </c:pt>
                <c:pt idx="263">
                  <c:v>13.577938370259508</c:v>
                </c:pt>
                <c:pt idx="264">
                  <c:v>13.577938370259508</c:v>
                </c:pt>
                <c:pt idx="265">
                  <c:v>13.577938370259508</c:v>
                </c:pt>
                <c:pt idx="266">
                  <c:v>13.577938370259508</c:v>
                </c:pt>
                <c:pt idx="267">
                  <c:v>13.577938370259508</c:v>
                </c:pt>
                <c:pt idx="268">
                  <c:v>13.577938370259508</c:v>
                </c:pt>
                <c:pt idx="269">
                  <c:v>13.577938370259508</c:v>
                </c:pt>
                <c:pt idx="270">
                  <c:v>13.577938370259508</c:v>
                </c:pt>
                <c:pt idx="271">
                  <c:v>13.577938370259508</c:v>
                </c:pt>
                <c:pt idx="272">
                  <c:v>13.577938370259508</c:v>
                </c:pt>
                <c:pt idx="273">
                  <c:v>13.577938370259508</c:v>
                </c:pt>
                <c:pt idx="274">
                  <c:v>13.577938370259508</c:v>
                </c:pt>
                <c:pt idx="275">
                  <c:v>13.577938370259508</c:v>
                </c:pt>
                <c:pt idx="276">
                  <c:v>13.577938370259508</c:v>
                </c:pt>
                <c:pt idx="277">
                  <c:v>13.577938370259508</c:v>
                </c:pt>
                <c:pt idx="278">
                  <c:v>13.577938370259508</c:v>
                </c:pt>
                <c:pt idx="279">
                  <c:v>13.577938370259508</c:v>
                </c:pt>
                <c:pt idx="280">
                  <c:v>13.577938370259508</c:v>
                </c:pt>
                <c:pt idx="281">
                  <c:v>13.577938370259508</c:v>
                </c:pt>
                <c:pt idx="282">
                  <c:v>13.577938370259508</c:v>
                </c:pt>
                <c:pt idx="283">
                  <c:v>13.577938370259508</c:v>
                </c:pt>
                <c:pt idx="284">
                  <c:v>13.577938370259508</c:v>
                </c:pt>
                <c:pt idx="285">
                  <c:v>13.577938370259508</c:v>
                </c:pt>
                <c:pt idx="286">
                  <c:v>13.577938370259508</c:v>
                </c:pt>
                <c:pt idx="287">
                  <c:v>13.577938370259508</c:v>
                </c:pt>
                <c:pt idx="288">
                  <c:v>13.577938370259508</c:v>
                </c:pt>
                <c:pt idx="289">
                  <c:v>13.577938370259508</c:v>
                </c:pt>
                <c:pt idx="290">
                  <c:v>13.577938370259508</c:v>
                </c:pt>
                <c:pt idx="291">
                  <c:v>13.577938370259508</c:v>
                </c:pt>
                <c:pt idx="292">
                  <c:v>13.577938370259508</c:v>
                </c:pt>
                <c:pt idx="293">
                  <c:v>13.577938370259508</c:v>
                </c:pt>
                <c:pt idx="294">
                  <c:v>13.577938370259508</c:v>
                </c:pt>
                <c:pt idx="295">
                  <c:v>13.577938370259508</c:v>
                </c:pt>
                <c:pt idx="296">
                  <c:v>13.577938370259508</c:v>
                </c:pt>
                <c:pt idx="297">
                  <c:v>13.577938370259508</c:v>
                </c:pt>
                <c:pt idx="298">
                  <c:v>13.577938370259508</c:v>
                </c:pt>
                <c:pt idx="299">
                  <c:v>13.577938370259508</c:v>
                </c:pt>
                <c:pt idx="300">
                  <c:v>13.577938370259508</c:v>
                </c:pt>
                <c:pt idx="301">
                  <c:v>13.577938370259508</c:v>
                </c:pt>
                <c:pt idx="302">
                  <c:v>13.577938370259508</c:v>
                </c:pt>
                <c:pt idx="303">
                  <c:v>13.577938370259508</c:v>
                </c:pt>
                <c:pt idx="304">
                  <c:v>13.577938370259508</c:v>
                </c:pt>
                <c:pt idx="305">
                  <c:v>13.577938370259508</c:v>
                </c:pt>
                <c:pt idx="306">
                  <c:v>13.577938370259508</c:v>
                </c:pt>
                <c:pt idx="307">
                  <c:v>13.577938370259508</c:v>
                </c:pt>
                <c:pt idx="308">
                  <c:v>13.577938370259508</c:v>
                </c:pt>
                <c:pt idx="309">
                  <c:v>13.577938370259508</c:v>
                </c:pt>
                <c:pt idx="310">
                  <c:v>13.577938370259508</c:v>
                </c:pt>
                <c:pt idx="311">
                  <c:v>13.577938370259508</c:v>
                </c:pt>
                <c:pt idx="312">
                  <c:v>13.577938370259508</c:v>
                </c:pt>
                <c:pt idx="313">
                  <c:v>13.577938370259508</c:v>
                </c:pt>
                <c:pt idx="314">
                  <c:v>13.577938370259508</c:v>
                </c:pt>
              </c:numCache>
            </c:numRef>
          </c:yVal>
          <c:smooth val="1"/>
        </c:ser>
        <c:axId val="46156416"/>
        <c:axId val="46199936"/>
      </c:scatterChart>
      <c:valAx>
        <c:axId val="461564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Distance</a:t>
                </a:r>
                <a:r>
                  <a:rPr lang="en-US" b="0" baseline="0">
                    <a:latin typeface="Times New Roman" pitchFamily="18" charset="0"/>
                    <a:cs typeface="Times New Roman" pitchFamily="18" charset="0"/>
                  </a:rPr>
                  <a:t> (m)</a:t>
                </a:r>
                <a:endParaRPr lang="en-US" b="0">
                  <a:latin typeface="Times New Roman" pitchFamily="18" charset="0"/>
                  <a:cs typeface="Times New Roman" pitchFamily="18" charset="0"/>
                </a:endParaRP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46199936"/>
        <c:crosses val="autoZero"/>
        <c:crossBetween val="midCat"/>
      </c:valAx>
      <c:valAx>
        <c:axId val="4619993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Velocity</a:t>
                </a:r>
                <a:r>
                  <a:rPr lang="en-US" b="0" baseline="0">
                    <a:latin typeface="Times New Roman" pitchFamily="18" charset="0"/>
                    <a:cs typeface="Times New Roman" pitchFamily="18" charset="0"/>
                  </a:rPr>
                  <a:t> (m/s)</a:t>
                </a:r>
                <a:endParaRPr lang="en-US" b="0">
                  <a:latin typeface="Times New Roman" pitchFamily="18" charset="0"/>
                  <a:cs typeface="Times New Roman" pitchFamily="18" charset="0"/>
                </a:endParaRP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46156416"/>
        <c:crosses val="autoZero"/>
        <c:crossBetween val="midCat"/>
      </c:valAx>
    </c:plotArea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b="0">
                <a:solidFill>
                  <a:sysClr val="windowText" lastClr="000000"/>
                </a:solidFill>
                <a:latin typeface="Times New Roman" pitchFamily="18" charset="0"/>
                <a:cs typeface="Times New Roman" pitchFamily="18" charset="0"/>
              </a:defRPr>
            </a:pPr>
            <a:r>
              <a:rPr lang="en-US" b="0">
                <a:solidFill>
                  <a:sysClr val="windowText" lastClr="000000"/>
                </a:solidFill>
                <a:latin typeface="Times New Roman" pitchFamily="18" charset="0"/>
                <a:cs typeface="Times New Roman" pitchFamily="18" charset="0"/>
              </a:rPr>
              <a:t>Velocity (m/s) vs Time (sec)</a:t>
            </a:r>
          </a:p>
        </c:rich>
      </c:tx>
    </c:title>
    <c:plotArea>
      <c:layout/>
      <c:scatterChart>
        <c:scatterStyle val="smoothMarker"/>
        <c:ser>
          <c:idx val="0"/>
          <c:order val="0"/>
          <c:tx>
            <c:strRef>
              <c:f>Simulation!$Q$4</c:f>
              <c:strCache>
                <c:ptCount val="1"/>
                <c:pt idx="0">
                  <c:v>Speed (m/s)</c:v>
                </c:pt>
              </c:strCache>
            </c:strRef>
          </c:tx>
          <c:spPr>
            <a:ln w="34925"/>
          </c:spPr>
          <c:marker>
            <c:symbol val="none"/>
          </c:marker>
          <c:xVal>
            <c:numRef>
              <c:f>Simulation!$O$5:$O$319</c:f>
              <c:numCache>
                <c:formatCode>General</c:formatCode>
                <c:ptCount val="315"/>
                <c:pt idx="0">
                  <c:v>0</c:v>
                </c:pt>
                <c:pt idx="1">
                  <c:v>1.5739692661133495</c:v>
                </c:pt>
                <c:pt idx="2">
                  <c:v>2.687374443640091</c:v>
                </c:pt>
                <c:pt idx="3">
                  <c:v>3.5968259528392506</c:v>
                </c:pt>
                <c:pt idx="4">
                  <c:v>4.3847458635645769</c:v>
                </c:pt>
                <c:pt idx="5">
                  <c:v>5.0897617753044599</c:v>
                </c:pt>
                <c:pt idx="6">
                  <c:v>5.7336049564232479</c:v>
                </c:pt>
                <c:pt idx="7">
                  <c:v>6.3299237062167943</c:v>
                </c:pt>
                <c:pt idx="8">
                  <c:v>6.8879494116925732</c:v>
                </c:pt>
                <c:pt idx="9">
                  <c:v>7.414269095291675</c:v>
                </c:pt>
                <c:pt idx="10">
                  <c:v>7.9137771433194679</c:v>
                </c:pt>
                <c:pt idx="11">
                  <c:v>8.3902275750464277</c:v>
                </c:pt>
                <c:pt idx="12">
                  <c:v>8.8465743402385542</c:v>
                </c:pt>
                <c:pt idx="13">
                  <c:v>9.2851912894378952</c:v>
                </c:pt>
                <c:pt idx="14">
                  <c:v>9.7080200394773932</c:v>
                </c:pt>
                <c:pt idx="15">
                  <c:v>10.116672664776249</c:v>
                </c:pt>
                <c:pt idx="16">
                  <c:v>10.51250501208871</c:v>
                </c:pt>
                <c:pt idx="17">
                  <c:v>10.896670296925555</c:v>
                </c:pt>
                <c:pt idx="18">
                  <c:v>11.270159098454965</c:v>
                </c:pt>
                <c:pt idx="19">
                  <c:v>11.63382974673268</c:v>
                </c:pt>
                <c:pt idx="20">
                  <c:v>11.988431780303211</c:v>
                </c:pt>
                <c:pt idx="21">
                  <c:v>12.334624312510991</c:v>
                </c:pt>
                <c:pt idx="22">
                  <c:v>12.672990594993271</c:v>
                </c:pt>
                <c:pt idx="23">
                  <c:v>13.004049698396306</c:v>
                </c:pt>
                <c:pt idx="24">
                  <c:v>13.328265978368163</c:v>
                </c:pt>
                <c:pt idx="25">
                  <c:v>13.646056819311351</c:v>
                </c:pt>
                <c:pt idx="26">
                  <c:v>13.95779902398141</c:v>
                </c:pt>
                <c:pt idx="27">
                  <c:v>14.263834127521241</c:v>
                </c:pt>
                <c:pt idx="28">
                  <c:v>14.56447284922776</c:v>
                </c:pt>
                <c:pt idx="29">
                  <c:v>14.859998847097268</c:v>
                </c:pt>
                <c:pt idx="30">
                  <c:v>15.150671904116287</c:v>
                </c:pt>
                <c:pt idx="31">
                  <c:v>15.436730647989583</c:v>
                </c:pt>
                <c:pt idx="32">
                  <c:v>15.718394885168149</c:v>
                </c:pt>
                <c:pt idx="33">
                  <c:v>15.995867613983272</c:v>
                </c:pt>
                <c:pt idx="34">
                  <c:v>16.269336769205932</c:v>
                </c:pt>
                <c:pt idx="35">
                  <c:v>16.538976740560109</c:v>
                </c:pt>
                <c:pt idx="36">
                  <c:v>16.804949699982746</c:v>
                </c:pt>
                <c:pt idx="37">
                  <c:v>17.067406766266725</c:v>
                </c:pt>
                <c:pt idx="38">
                  <c:v>17.326489030790366</c:v>
                </c:pt>
                <c:pt idx="39">
                  <c:v>17.582328464059319</c:v>
                </c:pt>
                <c:pt idx="40">
                  <c:v>17.835048719559762</c:v>
                </c:pt>
                <c:pt idx="41">
                  <c:v>18.084765848789072</c:v>
                </c:pt>
                <c:pt idx="42">
                  <c:v>18.331588939170508</c:v>
                </c:pt>
                <c:pt idx="43">
                  <c:v>18.575620684777778</c:v>
                </c:pt>
                <c:pt idx="44">
                  <c:v>18.816957898320112</c:v>
                </c:pt>
                <c:pt idx="45">
                  <c:v>19.055691971610546</c:v>
                </c:pt>
                <c:pt idx="46">
                  <c:v>19.291909290713541</c:v>
                </c:pt>
                <c:pt idx="47">
                  <c:v>19.525691611106215</c:v>
                </c:pt>
                <c:pt idx="48">
                  <c:v>19.757116397461129</c:v>
                </c:pt>
                <c:pt idx="49">
                  <c:v>19.986257132043885</c:v>
                </c:pt>
                <c:pt idx="50">
                  <c:v>20.213183595196895</c:v>
                </c:pt>
                <c:pt idx="51">
                  <c:v>20.437962120935879</c:v>
                </c:pt>
                <c:pt idx="52">
                  <c:v>20.660655830305416</c:v>
                </c:pt>
                <c:pt idx="53">
                  <c:v>20.881324844813573</c:v>
                </c:pt>
                <c:pt idx="54">
                  <c:v>21.100026481985079</c:v>
                </c:pt>
                <c:pt idx="55">
                  <c:v>21.316815434830183</c:v>
                </c:pt>
                <c:pt idx="56">
                  <c:v>21.531743936816795</c:v>
                </c:pt>
                <c:pt idx="57">
                  <c:v>21.744861913751599</c:v>
                </c:pt>
                <c:pt idx="58">
                  <c:v>21.956217123817481</c:v>
                </c:pt>
                <c:pt idx="59">
                  <c:v>22.165855286876656</c:v>
                </c:pt>
                <c:pt idx="60">
                  <c:v>22.37382020402806</c:v>
                </c:pt>
                <c:pt idx="61">
                  <c:v>22.580153868301824</c:v>
                </c:pt>
                <c:pt idx="62">
                  <c:v>22.786487532575588</c:v>
                </c:pt>
                <c:pt idx="63">
                  <c:v>22.992821196849352</c:v>
                </c:pt>
                <c:pt idx="64">
                  <c:v>23.199154861123116</c:v>
                </c:pt>
                <c:pt idx="65">
                  <c:v>23.40548852539688</c:v>
                </c:pt>
                <c:pt idx="66">
                  <c:v>23.603716472196488</c:v>
                </c:pt>
                <c:pt idx="67">
                  <c:v>23.794740289614957</c:v>
                </c:pt>
                <c:pt idx="68">
                  <c:v>23.979306303691896</c:v>
                </c:pt>
                <c:pt idx="69">
                  <c:v>24.158040594196915</c:v>
                </c:pt>
                <c:pt idx="70">
                  <c:v>24.331474471188677</c:v>
                </c:pt>
                <c:pt idx="71">
                  <c:v>24.500063407563001</c:v>
                </c:pt>
                <c:pt idx="72">
                  <c:v>24.664201371263079</c:v>
                </c:pt>
                <c:pt idx="73">
                  <c:v>24.824231853459594</c:v>
                </c:pt>
                <c:pt idx="74">
                  <c:v>24.980456478321866</c:v>
                </c:pt>
                <c:pt idx="75">
                  <c:v>25.133141812476051</c:v>
                </c:pt>
                <c:pt idx="76">
                  <c:v>25.282524813832008</c:v>
                </c:pt>
                <c:pt idx="77">
                  <c:v>25.428817237945516</c:v>
                </c:pt>
                <c:pt idx="78">
                  <c:v>25.572209235738761</c:v>
                </c:pt>
                <c:pt idx="79">
                  <c:v>25.712872316847321</c:v>
                </c:pt>
                <c:pt idx="80">
                  <c:v>25.850961810150043</c:v>
                </c:pt>
                <c:pt idx="81">
                  <c:v>25.986618921966713</c:v>
                </c:pt>
                <c:pt idx="82">
                  <c:v>26.119972469507921</c:v>
                </c:pt>
                <c:pt idx="83">
                  <c:v>26.251140350079066</c:v>
                </c:pt>
                <c:pt idx="84">
                  <c:v>26.380201469464552</c:v>
                </c:pt>
                <c:pt idx="85">
                  <c:v>26.507258251539461</c:v>
                </c:pt>
                <c:pt idx="86">
                  <c:v>26.632405132822306</c:v>
                </c:pt>
                <c:pt idx="87">
                  <c:v>26.755729407453043</c:v>
                </c:pt>
                <c:pt idx="88">
                  <c:v>26.877311960639695</c:v>
                </c:pt>
                <c:pt idx="89">
                  <c:v>26.997227908052182</c:v>
                </c:pt>
                <c:pt idx="90">
                  <c:v>27.115547155494518</c:v>
                </c:pt>
                <c:pt idx="91">
                  <c:v>27.23233489067551</c:v>
                </c:pt>
                <c:pt idx="92">
                  <c:v>27.347652016881312</c:v>
                </c:pt>
                <c:pt idx="93">
                  <c:v>27.461555536723367</c:v>
                </c:pt>
                <c:pt idx="94">
                  <c:v>27.574098892810238</c:v>
                </c:pt>
                <c:pt idx="95">
                  <c:v>27.685332271108649</c:v>
                </c:pt>
                <c:pt idx="96">
                  <c:v>27.795302871868827</c:v>
                </c:pt>
                <c:pt idx="97">
                  <c:v>27.904055152253967</c:v>
                </c:pt>
                <c:pt idx="98">
                  <c:v>28.011631044203366</c:v>
                </c:pt>
                <c:pt idx="99">
                  <c:v>28.118070150550064</c:v>
                </c:pt>
                <c:pt idx="100">
                  <c:v>28.223409921987837</c:v>
                </c:pt>
                <c:pt idx="101">
                  <c:v>28.327685817124237</c:v>
                </c:pt>
                <c:pt idx="102">
                  <c:v>28.430931447554102</c:v>
                </c:pt>
                <c:pt idx="103">
                  <c:v>28.533178709631841</c:v>
                </c:pt>
                <c:pt idx="104">
                  <c:v>28.634457904403018</c:v>
                </c:pt>
                <c:pt idx="105">
                  <c:v>28.734797846969965</c:v>
                </c:pt>
                <c:pt idx="106">
                  <c:v>28.834225966407082</c:v>
                </c:pt>
                <c:pt idx="107">
                  <c:v>28.932768397204917</c:v>
                </c:pt>
                <c:pt idx="108">
                  <c:v>29.030450063104453</c:v>
                </c:pt>
                <c:pt idx="109">
                  <c:v>29.127294754081394</c:v>
                </c:pt>
                <c:pt idx="110">
                  <c:v>29.223325197152196</c:v>
                </c:pt>
                <c:pt idx="111">
                  <c:v>29.318557591261612</c:v>
                </c:pt>
                <c:pt idx="112">
                  <c:v>29.413013016835464</c:v>
                </c:pt>
                <c:pt idx="113">
                  <c:v>29.506711654040085</c:v>
                </c:pt>
                <c:pt idx="114">
                  <c:v>29.599672835616563</c:v>
                </c:pt>
                <c:pt idx="115">
                  <c:v>29.691915095796176</c:v>
                </c:pt>
                <c:pt idx="116">
                  <c:v>29.783456215646446</c:v>
                </c:pt>
                <c:pt idx="117">
                  <c:v>29.874313265160971</c:v>
                </c:pt>
                <c:pt idx="118">
                  <c:v>29.964502642374292</c:v>
                </c:pt>
                <c:pt idx="119">
                  <c:v>30.054040109754737</c:v>
                </c:pt>
                <c:pt idx="120">
                  <c:v>30.142940828103196</c:v>
                </c:pt>
                <c:pt idx="121">
                  <c:v>30.231219388163527</c:v>
                </c:pt>
                <c:pt idx="122">
                  <c:v>30.318889840130584</c:v>
                </c:pt>
                <c:pt idx="123">
                  <c:v>30.405965721224202</c:v>
                </c:pt>
                <c:pt idx="124">
                  <c:v>30.492460081481852</c:v>
                </c:pt>
                <c:pt idx="125">
                  <c:v>30.578385507908521</c:v>
                </c:pt>
                <c:pt idx="126">
                  <c:v>30.663754147109952</c:v>
                </c:pt>
                <c:pt idx="127">
                  <c:v>30.748577726523951</c:v>
                </c:pt>
                <c:pt idx="128">
                  <c:v>30.832867574354488</c:v>
                </c:pt>
                <c:pt idx="129">
                  <c:v>30.916634638304075</c:v>
                </c:pt>
                <c:pt idx="130">
                  <c:v>30.999889503191824</c:v>
                </c:pt>
                <c:pt idx="131">
                  <c:v>31.082642407537087</c:v>
                </c:pt>
                <c:pt idx="132">
                  <c:v>31.164903259181937</c:v>
                </c:pt>
                <c:pt idx="133">
                  <c:v>31.246681650019685</c:v>
                </c:pt>
                <c:pt idx="134">
                  <c:v>31.327986869891173</c:v>
                </c:pt>
                <c:pt idx="135">
                  <c:v>31.408827919705555</c:v>
                </c:pt>
                <c:pt idx="136">
                  <c:v>31.489213523837812</c:v>
                </c:pt>
                <c:pt idx="137">
                  <c:v>31.569152141851134</c:v>
                </c:pt>
                <c:pt idx="138">
                  <c:v>31.648651979588539</c:v>
                </c:pt>
                <c:pt idx="139">
                  <c:v>31.727720999674702</c:v>
                </c:pt>
                <c:pt idx="140">
                  <c:v>31.806366931465874</c:v>
                </c:pt>
                <c:pt idx="141">
                  <c:v>31.884597280482932</c:v>
                </c:pt>
                <c:pt idx="142">
                  <c:v>31.962419337359961</c:v>
                </c:pt>
                <c:pt idx="143">
                  <c:v>32.039840186338445</c:v>
                </c:pt>
                <c:pt idx="144">
                  <c:v>32.116866713334943</c:v>
                </c:pt>
                <c:pt idx="145">
                  <c:v>32.19350561360811</c:v>
                </c:pt>
                <c:pt idx="146">
                  <c:v>32.269763399049125</c:v>
                </c:pt>
                <c:pt idx="147">
                  <c:v>32.345646405117876</c:v>
                </c:pt>
                <c:pt idx="148">
                  <c:v>32.421160797445715</c:v>
                </c:pt>
                <c:pt idx="149">
                  <c:v>32.496312578124119</c:v>
                </c:pt>
                <c:pt idx="150">
                  <c:v>32.571107591697398</c:v>
                </c:pt>
                <c:pt idx="151">
                  <c:v>32.64555153087619</c:v>
                </c:pt>
                <c:pt idx="152">
                  <c:v>32.719649941987569</c:v>
                </c:pt>
                <c:pt idx="153">
                  <c:v>32.793408230176404</c:v>
                </c:pt>
                <c:pt idx="154">
                  <c:v>32.867057113587919</c:v>
                </c:pt>
                <c:pt idx="155">
                  <c:v>32.940705996999434</c:v>
                </c:pt>
                <c:pt idx="156">
                  <c:v>33.014354880410949</c:v>
                </c:pt>
                <c:pt idx="157">
                  <c:v>33.088003763822464</c:v>
                </c:pt>
                <c:pt idx="158">
                  <c:v>33.161652647233979</c:v>
                </c:pt>
                <c:pt idx="159">
                  <c:v>33.235301530645494</c:v>
                </c:pt>
                <c:pt idx="160">
                  <c:v>33.308950414057009</c:v>
                </c:pt>
                <c:pt idx="161">
                  <c:v>33.382599297468524</c:v>
                </c:pt>
                <c:pt idx="162">
                  <c:v>33.456248180880038</c:v>
                </c:pt>
                <c:pt idx="163">
                  <c:v>33.529897064291553</c:v>
                </c:pt>
                <c:pt idx="164">
                  <c:v>33.603545947703068</c:v>
                </c:pt>
                <c:pt idx="165">
                  <c:v>33.677194831114583</c:v>
                </c:pt>
                <c:pt idx="166">
                  <c:v>33.750843714526098</c:v>
                </c:pt>
                <c:pt idx="167">
                  <c:v>33.824492597937613</c:v>
                </c:pt>
                <c:pt idx="168">
                  <c:v>33.898141481349128</c:v>
                </c:pt>
                <c:pt idx="169">
                  <c:v>33.971790364760643</c:v>
                </c:pt>
                <c:pt idx="170">
                  <c:v>34.045439248172158</c:v>
                </c:pt>
                <c:pt idx="171">
                  <c:v>34.119088131583673</c:v>
                </c:pt>
                <c:pt idx="172">
                  <c:v>34.192737014995188</c:v>
                </c:pt>
                <c:pt idx="173">
                  <c:v>34.266385898406703</c:v>
                </c:pt>
                <c:pt idx="174">
                  <c:v>34.340466490468039</c:v>
                </c:pt>
                <c:pt idx="175">
                  <c:v>34.414987333505771</c:v>
                </c:pt>
                <c:pt idx="176">
                  <c:v>34.489957248959136</c:v>
                </c:pt>
                <c:pt idx="177">
                  <c:v>34.565385350278945</c:v>
                </c:pt>
                <c:pt idx="178">
                  <c:v>34.641281056602431</c:v>
                </c:pt>
                <c:pt idx="179">
                  <c:v>34.717654107261822</c:v>
                </c:pt>
                <c:pt idx="180">
                  <c:v>34.79451457718956</c:v>
                </c:pt>
                <c:pt idx="181">
                  <c:v>34.871872893288838</c:v>
                </c:pt>
                <c:pt idx="182">
                  <c:v>34.94973985184442</c:v>
                </c:pt>
                <c:pt idx="183">
                  <c:v>35.02812663705555</c:v>
                </c:pt>
                <c:pt idx="184">
                  <c:v>35.107044840780752</c:v>
                </c:pt>
                <c:pt idx="185">
                  <c:v>35.186506483592609</c:v>
                </c:pt>
                <c:pt idx="186">
                  <c:v>35.266524037250413</c:v>
                </c:pt>
                <c:pt idx="187">
                  <c:v>35.347110448709003</c:v>
                </c:pt>
                <c:pt idx="188">
                  <c:v>35.428279165794159</c:v>
                </c:pt>
                <c:pt idx="189">
                  <c:v>35.51004416468804</c:v>
                </c:pt>
                <c:pt idx="190">
                  <c:v>35.592419979383095</c:v>
                </c:pt>
                <c:pt idx="191">
                  <c:v>35.6754217332794</c:v>
                </c:pt>
                <c:pt idx="192">
                  <c:v>35.759065173119225</c:v>
                </c:pt>
                <c:pt idx="193">
                  <c:v>35.843366705473507</c:v>
                </c:pt>
                <c:pt idx="194">
                  <c:v>35.9283434360187</c:v>
                </c:pt>
                <c:pt idx="195">
                  <c:v>36.014013211869276</c:v>
                </c:pt>
                <c:pt idx="196">
                  <c:v>36.100394667261376</c:v>
                </c:pt>
                <c:pt idx="197">
                  <c:v>36.187507272917557</c:v>
                </c:pt>
                <c:pt idx="198">
                  <c:v>36.275371389461711</c:v>
                </c:pt>
                <c:pt idx="199">
                  <c:v>36.364008325297597</c:v>
                </c:pt>
                <c:pt idx="200">
                  <c:v>36.453440399415442</c:v>
                </c:pt>
                <c:pt idx="201">
                  <c:v>36.543691009649145</c:v>
                </c:pt>
                <c:pt idx="202">
                  <c:v>36.634784706973392</c:v>
                </c:pt>
                <c:pt idx="203">
                  <c:v>36.726747276506813</c:v>
                </c:pt>
                <c:pt idx="204">
                  <c:v>36.819605825975941</c:v>
                </c:pt>
                <c:pt idx="205">
                  <c:v>36.913388882497038</c:v>
                </c:pt>
                <c:pt idx="206">
                  <c:v>37.00812649865194</c:v>
                </c:pt>
                <c:pt idx="207">
                  <c:v>37.103850368972076</c:v>
                </c:pt>
                <c:pt idx="208">
                  <c:v>37.200593958106467</c:v>
                </c:pt>
                <c:pt idx="209">
                  <c:v>37.298385118451762</c:v>
                </c:pt>
                <c:pt idx="210">
                  <c:v>37.397260755518516</c:v>
                </c:pt>
                <c:pt idx="211">
                  <c:v>37.497259966646538</c:v>
                </c:pt>
                <c:pt idx="212">
                  <c:v>37.595992520555583</c:v>
                </c:pt>
                <c:pt idx="213">
                  <c:v>37.69350685921156</c:v>
                </c:pt>
                <c:pt idx="214">
                  <c:v>37.789848437675523</c:v>
                </c:pt>
                <c:pt idx="215">
                  <c:v>37.885052131484869</c:v>
                </c:pt>
                <c:pt idx="216">
                  <c:v>37.979158702996152</c:v>
                </c:pt>
                <c:pt idx="217">
                  <c:v>38.072206558144707</c:v>
                </c:pt>
                <c:pt idx="218">
                  <c:v>38.164231932624304</c:v>
                </c:pt>
                <c:pt idx="219">
                  <c:v>38.255269059578637</c:v>
                </c:pt>
                <c:pt idx="220">
                  <c:v>38.345350320999756</c:v>
                </c:pt>
                <c:pt idx="221">
                  <c:v>38.434506384727037</c:v>
                </c:pt>
                <c:pt idx="222">
                  <c:v>38.52276632868567</c:v>
                </c:pt>
                <c:pt idx="223">
                  <c:v>38.610157753787568</c:v>
                </c:pt>
                <c:pt idx="224">
                  <c:v>38.696706886733921</c:v>
                </c:pt>
                <c:pt idx="225">
                  <c:v>38.782438673801586</c:v>
                </c:pt>
                <c:pt idx="226">
                  <c:v>38.867376866561152</c:v>
                </c:pt>
                <c:pt idx="227">
                  <c:v>38.951544100358952</c:v>
                </c:pt>
                <c:pt idx="228">
                  <c:v>39.034961966295725</c:v>
                </c:pt>
                <c:pt idx="229">
                  <c:v>39.117651077348462</c:v>
                </c:pt>
                <c:pt idx="230">
                  <c:v>39.199631129207532</c:v>
                </c:pt>
                <c:pt idx="231">
                  <c:v>39.280920956336111</c:v>
                </c:pt>
                <c:pt idx="232">
                  <c:v>39.361538583702583</c:v>
                </c:pt>
                <c:pt idx="233">
                  <c:v>39.441501274587139</c:v>
                </c:pt>
                <c:pt idx="234">
                  <c:v>39.520825574820542</c:v>
                </c:pt>
                <c:pt idx="235">
                  <c:v>39.59952735377513</c:v>
                </c:pt>
                <c:pt idx="236">
                  <c:v>39.677621842394757</c:v>
                </c:pt>
                <c:pt idx="237">
                  <c:v>39.755123668520817</c:v>
                </c:pt>
                <c:pt idx="238">
                  <c:v>39.832046889745712</c:v>
                </c:pt>
                <c:pt idx="239">
                  <c:v>39.908405024001922</c:v>
                </c:pt>
                <c:pt idx="240">
                  <c:v>39.984211078074523</c:v>
                </c:pt>
                <c:pt idx="241">
                  <c:v>40.059477574206831</c:v>
                </c:pt>
                <c:pt idx="242">
                  <c:v>40.134216574952731</c:v>
                </c:pt>
                <c:pt idx="243">
                  <c:v>40.208439706414829</c:v>
                </c:pt>
                <c:pt idx="244">
                  <c:v>40.282158179994681</c:v>
                </c:pt>
                <c:pt idx="245">
                  <c:v>40.355807063406196</c:v>
                </c:pt>
                <c:pt idx="246">
                  <c:v>40.429455946817711</c:v>
                </c:pt>
                <c:pt idx="247">
                  <c:v>40.503104830229226</c:v>
                </c:pt>
                <c:pt idx="248">
                  <c:v>40.576753713640741</c:v>
                </c:pt>
                <c:pt idx="249">
                  <c:v>40.650402597052256</c:v>
                </c:pt>
                <c:pt idx="250">
                  <c:v>40.724051480463771</c:v>
                </c:pt>
                <c:pt idx="251">
                  <c:v>40.797700363875286</c:v>
                </c:pt>
                <c:pt idx="252">
                  <c:v>40.871349247286801</c:v>
                </c:pt>
                <c:pt idx="253">
                  <c:v>40.944998130698316</c:v>
                </c:pt>
                <c:pt idx="254">
                  <c:v>41.018647014109831</c:v>
                </c:pt>
                <c:pt idx="255">
                  <c:v>41.092295897521346</c:v>
                </c:pt>
                <c:pt idx="256">
                  <c:v>41.165944780932861</c:v>
                </c:pt>
                <c:pt idx="257">
                  <c:v>41.239593664344376</c:v>
                </c:pt>
                <c:pt idx="258">
                  <c:v>41.313242547755891</c:v>
                </c:pt>
                <c:pt idx="259">
                  <c:v>41.386891431167406</c:v>
                </c:pt>
                <c:pt idx="260">
                  <c:v>41.460540314578921</c:v>
                </c:pt>
                <c:pt idx="261">
                  <c:v>41.534189197990436</c:v>
                </c:pt>
                <c:pt idx="262">
                  <c:v>41.607838081401951</c:v>
                </c:pt>
                <c:pt idx="263">
                  <c:v>41.681486964813466</c:v>
                </c:pt>
                <c:pt idx="264">
                  <c:v>41.755135848224981</c:v>
                </c:pt>
                <c:pt idx="265">
                  <c:v>41.828784731636496</c:v>
                </c:pt>
                <c:pt idx="266">
                  <c:v>41.902433615048011</c:v>
                </c:pt>
                <c:pt idx="267">
                  <c:v>41.976082498459526</c:v>
                </c:pt>
                <c:pt idx="268">
                  <c:v>42.049731381871041</c:v>
                </c:pt>
                <c:pt idx="269">
                  <c:v>42.123380265282556</c:v>
                </c:pt>
                <c:pt idx="270">
                  <c:v>42.197029148694071</c:v>
                </c:pt>
                <c:pt idx="271">
                  <c:v>42.270678032105586</c:v>
                </c:pt>
                <c:pt idx="272">
                  <c:v>42.344326915517101</c:v>
                </c:pt>
                <c:pt idx="273">
                  <c:v>42.417975798928616</c:v>
                </c:pt>
                <c:pt idx="274">
                  <c:v>42.491624682340131</c:v>
                </c:pt>
                <c:pt idx="275">
                  <c:v>42.565273565751646</c:v>
                </c:pt>
                <c:pt idx="276">
                  <c:v>42.638922449163161</c:v>
                </c:pt>
                <c:pt idx="277">
                  <c:v>42.712571332574676</c:v>
                </c:pt>
                <c:pt idx="278">
                  <c:v>42.786220215986191</c:v>
                </c:pt>
                <c:pt idx="279">
                  <c:v>42.859869099397706</c:v>
                </c:pt>
                <c:pt idx="280">
                  <c:v>42.933517982809221</c:v>
                </c:pt>
                <c:pt idx="281">
                  <c:v>43.007166866220736</c:v>
                </c:pt>
                <c:pt idx="282">
                  <c:v>43.080815749632251</c:v>
                </c:pt>
                <c:pt idx="283">
                  <c:v>43.154464633043766</c:v>
                </c:pt>
                <c:pt idx="284">
                  <c:v>43.228113516455281</c:v>
                </c:pt>
                <c:pt idx="285">
                  <c:v>43.301762399866796</c:v>
                </c:pt>
                <c:pt idx="286">
                  <c:v>43.375411283278311</c:v>
                </c:pt>
                <c:pt idx="287">
                  <c:v>43.449060166689826</c:v>
                </c:pt>
                <c:pt idx="288">
                  <c:v>43.522709050101341</c:v>
                </c:pt>
                <c:pt idx="289">
                  <c:v>43.596357933512856</c:v>
                </c:pt>
                <c:pt idx="290">
                  <c:v>43.670006816924371</c:v>
                </c:pt>
                <c:pt idx="291">
                  <c:v>43.743655700335886</c:v>
                </c:pt>
                <c:pt idx="292">
                  <c:v>43.817304583747401</c:v>
                </c:pt>
                <c:pt idx="293">
                  <c:v>43.890953467158916</c:v>
                </c:pt>
                <c:pt idx="294">
                  <c:v>43.964602350570431</c:v>
                </c:pt>
                <c:pt idx="295">
                  <c:v>44.038251233981946</c:v>
                </c:pt>
                <c:pt idx="296">
                  <c:v>44.111900117393461</c:v>
                </c:pt>
                <c:pt idx="297">
                  <c:v>44.185549000804976</c:v>
                </c:pt>
                <c:pt idx="298">
                  <c:v>44.259197884216491</c:v>
                </c:pt>
                <c:pt idx="299">
                  <c:v>44.332846767628006</c:v>
                </c:pt>
                <c:pt idx="300">
                  <c:v>44.406495651039521</c:v>
                </c:pt>
                <c:pt idx="301">
                  <c:v>44.480144534451036</c:v>
                </c:pt>
                <c:pt idx="302">
                  <c:v>44.553793417862551</c:v>
                </c:pt>
                <c:pt idx="303">
                  <c:v>44.627442301274066</c:v>
                </c:pt>
                <c:pt idx="304">
                  <c:v>44.701091184685581</c:v>
                </c:pt>
                <c:pt idx="305">
                  <c:v>44.774740068097096</c:v>
                </c:pt>
                <c:pt idx="306">
                  <c:v>44.84838895150861</c:v>
                </c:pt>
                <c:pt idx="307">
                  <c:v>44.922037834920125</c:v>
                </c:pt>
                <c:pt idx="308">
                  <c:v>44.99568671833164</c:v>
                </c:pt>
                <c:pt idx="309">
                  <c:v>45.069335601743155</c:v>
                </c:pt>
                <c:pt idx="310">
                  <c:v>45.14298448515467</c:v>
                </c:pt>
                <c:pt idx="311">
                  <c:v>45.216633368566185</c:v>
                </c:pt>
                <c:pt idx="312">
                  <c:v>45.2902822519777</c:v>
                </c:pt>
                <c:pt idx="313">
                  <c:v>45.363931135389215</c:v>
                </c:pt>
                <c:pt idx="314">
                  <c:v>45.43758001880073</c:v>
                </c:pt>
              </c:numCache>
            </c:numRef>
          </c:xVal>
          <c:yVal>
            <c:numRef>
              <c:f>Simulation!$Q$5:$Q$319</c:f>
              <c:numCache>
                <c:formatCode>General</c:formatCode>
                <c:ptCount val="315"/>
                <c:pt idx="0">
                  <c:v>0</c:v>
                </c:pt>
                <c:pt idx="1">
                  <c:v>0.6353364208116532</c:v>
                </c:pt>
                <c:pt idx="2">
                  <c:v>0.89814563483649867</c:v>
                </c:pt>
                <c:pt idx="3">
                  <c:v>1.099563846873568</c:v>
                </c:pt>
                <c:pt idx="4">
                  <c:v>1.2691645259724966</c:v>
                </c:pt>
                <c:pt idx="5">
                  <c:v>1.418407703071745</c:v>
                </c:pt>
                <c:pt idx="6">
                  <c:v>1.5531732405122753</c:v>
                </c:pt>
                <c:pt idx="7">
                  <c:v>1.6769554878933683</c:v>
                </c:pt>
                <c:pt idx="8">
                  <c:v>1.7920321415075127</c:v>
                </c:pt>
                <c:pt idx="9">
                  <c:v>1.8999859423112526</c:v>
                </c:pt>
                <c:pt idx="10">
                  <c:v>2.0019697459296166</c:v>
                </c:pt>
                <c:pt idx="11">
                  <c:v>2.0988542215721404</c:v>
                </c:pt>
                <c:pt idx="12">
                  <c:v>2.191316069872852</c:v>
                </c:pt>
                <c:pt idx="13">
                  <c:v>2.2798936562424612</c:v>
                </c:pt>
                <c:pt idx="14">
                  <c:v>2.3650236647971257</c:v>
                </c:pt>
                <c:pt idx="15">
                  <c:v>2.4470661341492175</c:v>
                </c:pt>
                <c:pt idx="16">
                  <c:v>2.526322082542241</c:v>
                </c:pt>
                <c:pt idx="17">
                  <c:v>2.6030462393932883</c:v>
                </c:pt>
                <c:pt idx="18">
                  <c:v>2.6774564482390688</c:v>
                </c:pt>
                <c:pt idx="19">
                  <c:v>2.7497407468428801</c:v>
                </c:pt>
                <c:pt idx="20">
                  <c:v>2.8200627896317387</c:v>
                </c:pt>
                <c:pt idx="21">
                  <c:v>2.88856606357936</c:v>
                </c:pt>
                <c:pt idx="22">
                  <c:v>2.9553772103530056</c:v>
                </c:pt>
                <c:pt idx="23">
                  <c:v>3.020608675975863</c:v>
                </c:pt>
                <c:pt idx="24">
                  <c:v>3.0843608472924364</c:v>
                </c:pt>
                <c:pt idx="25">
                  <c:v>3.1467237917620552</c:v>
                </c:pt>
                <c:pt idx="26">
                  <c:v>3.2077786870673397</c:v>
                </c:pt>
                <c:pt idx="27">
                  <c:v>3.2675990055822215</c:v>
                </c:pt>
                <c:pt idx="28">
                  <c:v>3.3262515032118567</c:v>
                </c:pt>
                <c:pt idx="29">
                  <c:v>3.3837970507134791</c:v>
                </c:pt>
                <c:pt idx="30">
                  <c:v>3.4402913371312813</c:v>
                </c:pt>
                <c:pt idx="31">
                  <c:v>3.4957854686061545</c:v>
                </c:pt>
                <c:pt idx="32">
                  <c:v>3.5503264809796611</c:v>
                </c:pt>
                <c:pt idx="33">
                  <c:v>3.6039577808970487</c:v>
                </c:pt>
                <c:pt idx="34">
                  <c:v>3.6567195272380579</c:v>
                </c:pt>
                <c:pt idx="35">
                  <c:v>3.7086489624584691</c:v>
                </c:pt>
                <c:pt idx="36">
                  <c:v>3.7597807016576361</c:v>
                </c:pt>
                <c:pt idx="37">
                  <c:v>3.8101469857854995</c:v>
                </c:pt>
                <c:pt idx="38">
                  <c:v>3.8597779042831895</c:v>
                </c:pt>
                <c:pt idx="39">
                  <c:v>3.9087015915515182</c:v>
                </c:pt>
                <c:pt idx="40">
                  <c:v>3.9569444009138635</c:v>
                </c:pt>
                <c:pt idx="41">
                  <c:v>4.0045310591478014</c:v>
                </c:pt>
                <c:pt idx="42">
                  <c:v>4.0514848041753906</c:v>
                </c:pt>
                <c:pt idx="43">
                  <c:v>4.0978275081035793</c:v>
                </c:pt>
                <c:pt idx="44">
                  <c:v>4.1435797874768792</c:v>
                </c:pt>
                <c:pt idx="45">
                  <c:v>4.1887611023309379</c:v>
                </c:pt>
                <c:pt idx="46">
                  <c:v>4.2333898454074941</c:v>
                </c:pt>
                <c:pt idx="47">
                  <c:v>4.2774834227000103</c:v>
                </c:pt>
                <c:pt idx="48">
                  <c:v>4.3210583263384805</c:v>
                </c:pt>
                <c:pt idx="49">
                  <c:v>4.3641302006860787</c:v>
                </c:pt>
                <c:pt idx="50">
                  <c:v>4.4067139024051745</c:v>
                </c:pt>
                <c:pt idx="51">
                  <c:v>4.448823555152285</c:v>
                </c:pt>
                <c:pt idx="52">
                  <c:v>4.4904725994779264</c:v>
                </c:pt>
                <c:pt idx="53">
                  <c:v>4.5316738384356769</c:v>
                </c:pt>
                <c:pt idx="54">
                  <c:v>4.5724394793432612</c:v>
                </c:pt>
                <c:pt idx="55">
                  <c:v>4.6127811720854179</c:v>
                </c:pt>
                <c:pt idx="56">
                  <c:v>4.6527100443024834</c:v>
                </c:pt>
                <c:pt idx="57">
                  <c:v>4.6922367337689019</c:v>
                </c:pt>
                <c:pt idx="58">
                  <c:v>4.7313714182313635</c:v>
                </c:pt>
                <c:pt idx="59">
                  <c:v>4.7701238429461679</c:v>
                </c:pt>
                <c:pt idx="60">
                  <c:v>4.8085033461291742</c:v>
                </c:pt>
                <c:pt idx="61">
                  <c:v>4.8465188825086649</c:v>
                </c:pt>
                <c:pt idx="62">
                  <c:v>4.8465188825086649</c:v>
                </c:pt>
                <c:pt idx="63">
                  <c:v>4.8465188825086649</c:v>
                </c:pt>
                <c:pt idx="64">
                  <c:v>4.8465188825086649</c:v>
                </c:pt>
                <c:pt idx="65">
                  <c:v>4.8465188825086649</c:v>
                </c:pt>
                <c:pt idx="66">
                  <c:v>5.0446973605135446</c:v>
                </c:pt>
                <c:pt idx="67">
                  <c:v>5.234949303778949</c:v>
                </c:pt>
                <c:pt idx="68">
                  <c:v>5.4181155994577104</c:v>
                </c:pt>
                <c:pt idx="69">
                  <c:v>5.594897303558656</c:v>
                </c:pt>
                <c:pt idx="70">
                  <c:v>5.765886211766456</c:v>
                </c:pt>
                <c:pt idx="71">
                  <c:v>5.9315873360732834</c:v>
                </c:pt>
                <c:pt idx="72">
                  <c:v>6.0924357623155183</c:v>
                </c:pt>
                <c:pt idx="73">
                  <c:v>6.2488095160022095</c:v>
                </c:pt>
                <c:pt idx="74">
                  <c:v>6.4010395344626208</c:v>
                </c:pt>
                <c:pt idx="75">
                  <c:v>6.5494175032566542</c:v>
                </c:pt>
                <c:pt idx="76">
                  <c:v>6.6942020907529889</c:v>
                </c:pt>
                <c:pt idx="77">
                  <c:v>6.8356239638500123</c:v>
                </c:pt>
                <c:pt idx="78">
                  <c:v>6.97388986407661</c:v>
                </c:pt>
                <c:pt idx="79">
                  <c:v>7.1091859507060438</c:v>
                </c:pt>
                <c:pt idx="80">
                  <c:v>7.2416805658617003</c:v>
                </c:pt>
                <c:pt idx="81">
                  <c:v>7.3715265392899871</c:v>
                </c:pt>
                <c:pt idx="82">
                  <c:v>7.4988631231649681</c:v>
                </c:pt>
                <c:pt idx="83">
                  <c:v>7.62381762704167</c:v>
                </c:pt>
                <c:pt idx="84">
                  <c:v>7.7482669045596575</c:v>
                </c:pt>
                <c:pt idx="85">
                  <c:v>7.8704968256666437</c:v>
                </c:pt>
                <c:pt idx="86">
                  <c:v>7.9906106308785469</c:v>
                </c:pt>
                <c:pt idx="87">
                  <c:v>8.1087036837982946</c:v>
                </c:pt>
                <c:pt idx="88">
                  <c:v>8.2248642900664937</c:v>
                </c:pt>
                <c:pt idx="89">
                  <c:v>8.3391744098906937</c:v>
                </c:pt>
                <c:pt idx="90">
                  <c:v>8.4517102805894648</c:v>
                </c:pt>
                <c:pt idx="91">
                  <c:v>8.5625429626685374</c:v>
                </c:pt>
                <c:pt idx="92">
                  <c:v>8.6717388206096455</c:v>
                </c:pt>
                <c:pt idx="93">
                  <c:v>8.7793599476701765</c:v>
                </c:pt>
                <c:pt idx="94">
                  <c:v>8.885464542465769</c:v>
                </c:pt>
                <c:pt idx="95">
                  <c:v>8.99010724386393</c:v>
                </c:pt>
                <c:pt idx="96">
                  <c:v>9.093339429697016</c:v>
                </c:pt>
                <c:pt idx="97">
                  <c:v>9.1952094839626373</c:v>
                </c:pt>
                <c:pt idx="98">
                  <c:v>9.2957630364839012</c:v>
                </c:pt>
                <c:pt idx="99">
                  <c:v>9.3950431784231299</c:v>
                </c:pt>
                <c:pt idx="100">
                  <c:v>9.4930906565591684</c:v>
                </c:pt>
                <c:pt idx="101">
                  <c:v>9.5899440488326455</c:v>
                </c:pt>
                <c:pt idx="102">
                  <c:v>9.6856399233217285</c:v>
                </c:pt>
                <c:pt idx="103">
                  <c:v>9.7802129825218174</c:v>
                </c:pt>
                <c:pt idx="104">
                  <c:v>9.8736961945572617</c:v>
                </c:pt>
                <c:pt idx="105">
                  <c:v>9.9661209127441381</c:v>
                </c:pt>
                <c:pt idx="106">
                  <c:v>10.057516984744494</c:v>
                </c:pt>
                <c:pt idx="107">
                  <c:v>10.147912852399243</c:v>
                </c:pt>
                <c:pt idx="108">
                  <c:v>10.2373356431952</c:v>
                </c:pt>
                <c:pt idx="109">
                  <c:v>10.325811254208</c:v>
                </c:pt>
                <c:pt idx="110">
                  <c:v>10.413364429264355</c:v>
                </c:pt>
                <c:pt idx="111">
                  <c:v>10.500628587065103</c:v>
                </c:pt>
                <c:pt idx="112">
                  <c:v>10.58700433484494</c:v>
                </c:pt>
                <c:pt idx="113">
                  <c:v>10.672513814861372</c:v>
                </c:pt>
                <c:pt idx="114">
                  <c:v>10.757178244096645</c:v>
                </c:pt>
                <c:pt idx="115">
                  <c:v>10.841017967825163</c:v>
                </c:pt>
                <c:pt idx="116">
                  <c:v>10.92405250925114</c:v>
                </c:pt>
                <c:pt idx="117">
                  <c:v>11.006300615563481</c:v>
                </c:pt>
                <c:pt idx="118">
                  <c:v>11.087780300719233</c:v>
                </c:pt>
                <c:pt idx="119">
                  <c:v>11.168508885235459</c:v>
                </c:pt>
                <c:pt idx="120">
                  <c:v>11.248503033241491</c:v>
                </c:pt>
                <c:pt idx="121">
                  <c:v>11.327778787018847</c:v>
                </c:pt>
                <c:pt idx="122">
                  <c:v>11.406351599234096</c:v>
                </c:pt>
                <c:pt idx="123">
                  <c:v>11.484236363050439</c:v>
                </c:pt>
                <c:pt idx="124">
                  <c:v>11.561447440286315</c:v>
                </c:pt>
                <c:pt idx="125">
                  <c:v>11.637998687773814</c:v>
                </c:pt>
                <c:pt idx="126">
                  <c:v>11.713903482055695</c:v>
                </c:pt>
                <c:pt idx="127">
                  <c:v>11.789174742547376</c:v>
                </c:pt>
                <c:pt idx="128">
                  <c:v>11.863824953279027</c:v>
                </c:pt>
                <c:pt idx="129">
                  <c:v>11.93786618332282</c:v>
                </c:pt>
                <c:pt idx="130">
                  <c:v>12.011310106001341</c:v>
                </c:pt>
                <c:pt idx="131">
                  <c:v>12.08416801696497</c:v>
                </c:pt>
                <c:pt idx="132">
                  <c:v>12.156450851218661</c:v>
                </c:pt>
                <c:pt idx="133">
                  <c:v>12.228169199171885</c:v>
                </c:pt>
                <c:pt idx="134">
                  <c:v>12.29933332177942</c:v>
                </c:pt>
                <c:pt idx="135">
                  <c:v>12.369953164835247</c:v>
                </c:pt>
                <c:pt idx="136">
                  <c:v>12.440038372476769</c:v>
                </c:pt>
                <c:pt idx="137">
                  <c:v>12.509598299952122</c:v>
                </c:pt>
                <c:pt idx="138">
                  <c:v>12.578642025699166</c:v>
                </c:pt>
                <c:pt idx="139">
                  <c:v>12.647178362781034</c:v>
                </c:pt>
                <c:pt idx="140">
                  <c:v>12.7152158697197</c:v>
                </c:pt>
                <c:pt idx="141">
                  <c:v>12.78276286076588</c:v>
                </c:pt>
                <c:pt idx="142">
                  <c:v>12.84982741564076</c:v>
                </c:pt>
                <c:pt idx="143">
                  <c:v>12.916417388782397</c:v>
                </c:pt>
                <c:pt idx="144">
                  <c:v>12.982540418127289</c:v>
                </c:pt>
                <c:pt idx="145">
                  <c:v>13.048203933455374</c:v>
                </c:pt>
                <c:pt idx="146">
                  <c:v>13.113415164324749</c:v>
                </c:pt>
                <c:pt idx="147">
                  <c:v>13.178181147620514</c:v>
                </c:pt>
                <c:pt idx="148">
                  <c:v>13.242508734740456</c:v>
                </c:pt>
                <c:pt idx="149">
                  <c:v>13.30640459843876</c:v>
                </c:pt>
                <c:pt idx="150">
                  <c:v>13.369875239347406</c:v>
                </c:pt>
                <c:pt idx="151">
                  <c:v>13.432926992193686</c:v>
                </c:pt>
                <c:pt idx="152">
                  <c:v>13.495566031730965</c:v>
                </c:pt>
                <c:pt idx="153">
                  <c:v>13.55779837839872</c:v>
                </c:pt>
                <c:pt idx="154">
                  <c:v>13.577938370259508</c:v>
                </c:pt>
                <c:pt idx="155">
                  <c:v>13.577938370259508</c:v>
                </c:pt>
                <c:pt idx="156">
                  <c:v>13.577938370259508</c:v>
                </c:pt>
                <c:pt idx="157">
                  <c:v>13.577938370259508</c:v>
                </c:pt>
                <c:pt idx="158">
                  <c:v>13.577938370259508</c:v>
                </c:pt>
                <c:pt idx="159">
                  <c:v>13.577938370259508</c:v>
                </c:pt>
                <c:pt idx="160">
                  <c:v>13.577938370259508</c:v>
                </c:pt>
                <c:pt idx="161">
                  <c:v>13.577938370259508</c:v>
                </c:pt>
                <c:pt idx="162">
                  <c:v>13.577938370259508</c:v>
                </c:pt>
                <c:pt idx="163">
                  <c:v>13.577938370259508</c:v>
                </c:pt>
                <c:pt idx="164">
                  <c:v>13.577938370259508</c:v>
                </c:pt>
                <c:pt idx="165">
                  <c:v>13.577938370259508</c:v>
                </c:pt>
                <c:pt idx="166">
                  <c:v>13.577938370259508</c:v>
                </c:pt>
                <c:pt idx="167">
                  <c:v>13.577938370259508</c:v>
                </c:pt>
                <c:pt idx="168">
                  <c:v>13.577938370259508</c:v>
                </c:pt>
                <c:pt idx="169">
                  <c:v>13.577938370259508</c:v>
                </c:pt>
                <c:pt idx="170">
                  <c:v>13.577938370259508</c:v>
                </c:pt>
                <c:pt idx="171">
                  <c:v>13.577938370259508</c:v>
                </c:pt>
                <c:pt idx="172">
                  <c:v>13.577938370259508</c:v>
                </c:pt>
                <c:pt idx="173">
                  <c:v>13.577938370259508</c:v>
                </c:pt>
                <c:pt idx="174">
                  <c:v>13.498812201339989</c:v>
                </c:pt>
                <c:pt idx="175">
                  <c:v>13.419064509156104</c:v>
                </c:pt>
                <c:pt idx="176">
                  <c:v>13.338683843415565</c:v>
                </c:pt>
                <c:pt idx="177">
                  <c:v>13.257658385965728</c:v>
                </c:pt>
                <c:pt idx="178">
                  <c:v>13.175975933839618</c:v>
                </c:pt>
                <c:pt idx="179">
                  <c:v>13.093623881280317</c:v>
                </c:pt>
                <c:pt idx="180">
                  <c:v>13.01058920066737</c:v>
                </c:pt>
                <c:pt idx="181">
                  <c:v>12.926858422261986</c:v>
                </c:pt>
                <c:pt idx="182">
                  <c:v>12.842417612680221</c:v>
                </c:pt>
                <c:pt idx="183">
                  <c:v>12.75725235199501</c:v>
                </c:pt>
                <c:pt idx="184">
                  <c:v>12.671347709358608</c:v>
                </c:pt>
                <c:pt idx="185">
                  <c:v>12.584688217026704</c:v>
                </c:pt>
                <c:pt idx="186">
                  <c:v>12.497257842654063</c:v>
                </c:pt>
                <c:pt idx="187">
                  <c:v>12.409039959718822</c:v>
                </c:pt>
                <c:pt idx="188">
                  <c:v>12.320017315918356</c:v>
                </c:pt>
                <c:pt idx="189">
                  <c:v>12.23017199936384</c:v>
                </c:pt>
                <c:pt idx="190">
                  <c:v>12.139485402382897</c:v>
                </c:pt>
                <c:pt idx="191">
                  <c:v>12.047938182719903</c:v>
                </c:pt>
                <c:pt idx="192">
                  <c:v>11.955510221901285</c:v>
                </c:pt>
                <c:pt idx="193">
                  <c:v>11.862180580508102</c:v>
                </c:pt>
                <c:pt idx="194">
                  <c:v>11.76792745007009</c:v>
                </c:pt>
                <c:pt idx="195">
                  <c:v>11.672728101263488</c:v>
                </c:pt>
                <c:pt idx="196">
                  <c:v>11.576558828059134</c:v>
                </c:pt>
                <c:pt idx="197">
                  <c:v>11.479394887426535</c:v>
                </c:pt>
                <c:pt idx="198">
                  <c:v>11.381210434153424</c:v>
                </c:pt>
                <c:pt idx="199">
                  <c:v>11.281978450287784</c:v>
                </c:pt>
                <c:pt idx="200">
                  <c:v>11.181670668649295</c:v>
                </c:pt>
                <c:pt idx="201">
                  <c:v>11.080257489788655</c:v>
                </c:pt>
                <c:pt idx="202">
                  <c:v>10.977707891694727</c:v>
                </c:pt>
                <c:pt idx="203">
                  <c:v>10.873989331459189</c:v>
                </c:pt>
                <c:pt idx="204">
                  <c:v>10.76906763800452</c:v>
                </c:pt>
                <c:pt idx="205">
                  <c:v>10.662906894861168</c:v>
                </c:pt>
                <c:pt idx="206">
                  <c:v>10.555469311840708</c:v>
                </c:pt>
                <c:pt idx="207">
                  <c:v>10.446715084290487</c:v>
                </c:pt>
                <c:pt idx="208">
                  <c:v>10.336602238427062</c:v>
                </c:pt>
                <c:pt idx="209">
                  <c:v>10.225873140977846</c:v>
                </c:pt>
                <c:pt idx="210">
                  <c:v>10.113714861072392</c:v>
                </c:pt>
                <c:pt idx="211">
                  <c:v>10.000078887820411</c:v>
                </c:pt>
                <c:pt idx="212">
                  <c:v>10.128371650562666</c:v>
                </c:pt>
                <c:pt idx="213">
                  <c:v>10.254902138319794</c:v>
                </c:pt>
                <c:pt idx="214">
                  <c:v>10.379734440141164</c:v>
                </c:pt>
                <c:pt idx="215">
                  <c:v>10.503794128015935</c:v>
                </c:pt>
                <c:pt idx="216">
                  <c:v>10.626250472637173</c:v>
                </c:pt>
                <c:pt idx="217">
                  <c:v>10.747157990944066</c:v>
                </c:pt>
                <c:pt idx="218">
                  <c:v>10.866568114011679</c:v>
                </c:pt>
                <c:pt idx="219">
                  <c:v>10.984529427225862</c:v>
                </c:pt>
                <c:pt idx="220">
                  <c:v>11.101087886915266</c:v>
                </c:pt>
                <c:pt idx="221">
                  <c:v>11.216287016202646</c:v>
                </c:pt>
                <c:pt idx="222">
                  <c:v>11.330168082462519</c:v>
                </c:pt>
                <c:pt idx="223">
                  <c:v>11.442770258454697</c:v>
                </c:pt>
                <c:pt idx="224">
                  <c:v>11.554130768933446</c:v>
                </c:pt>
                <c:pt idx="225">
                  <c:v>11.664285024302053</c:v>
                </c:pt>
                <c:pt idx="226">
                  <c:v>11.773266742685866</c:v>
                </c:pt>
                <c:pt idx="227">
                  <c:v>11.881108061628046</c:v>
                </c:pt>
                <c:pt idx="228">
                  <c:v>11.987839640467014</c:v>
                </c:pt>
                <c:pt idx="229">
                  <c:v>12.093490754329101</c:v>
                </c:pt>
                <c:pt idx="230">
                  <c:v>12.198089380561344</c:v>
                </c:pt>
                <c:pt idx="231">
                  <c:v>12.301662278335082</c:v>
                </c:pt>
                <c:pt idx="232">
                  <c:v>12.404235062068979</c:v>
                </c:pt>
                <c:pt idx="233">
                  <c:v>12.505832269248469</c:v>
                </c:pt>
                <c:pt idx="234">
                  <c:v>12.606477423156024</c:v>
                </c:pt>
                <c:pt idx="235">
                  <c:v>12.706193090971723</c:v>
                </c:pt>
                <c:pt idx="236">
                  <c:v>12.805000937655317</c:v>
                </c:pt>
                <c:pt idx="237">
                  <c:v>12.902921775978539</c:v>
                </c:pt>
                <c:pt idx="238">
                  <c:v>12.999975613038854</c:v>
                </c:pt>
                <c:pt idx="239">
                  <c:v>13.096181693552683</c:v>
                </c:pt>
                <c:pt idx="240">
                  <c:v>13.191558540196759</c:v>
                </c:pt>
                <c:pt idx="241">
                  <c:v>13.286123991240137</c:v>
                </c:pt>
                <c:pt idx="242">
                  <c:v>13.379895235686197</c:v>
                </c:pt>
                <c:pt idx="243">
                  <c:v>13.472888846123277</c:v>
                </c:pt>
                <c:pt idx="244">
                  <c:v>13.565120809464082</c:v>
                </c:pt>
                <c:pt idx="245">
                  <c:v>13.577938370259508</c:v>
                </c:pt>
                <c:pt idx="246">
                  <c:v>13.577938370259508</c:v>
                </c:pt>
                <c:pt idx="247">
                  <c:v>13.577938370259508</c:v>
                </c:pt>
                <c:pt idx="248">
                  <c:v>13.577938370259508</c:v>
                </c:pt>
                <c:pt idx="249">
                  <c:v>13.577938370259508</c:v>
                </c:pt>
                <c:pt idx="250">
                  <c:v>13.577938370259508</c:v>
                </c:pt>
                <c:pt idx="251">
                  <c:v>13.577938370259508</c:v>
                </c:pt>
                <c:pt idx="252">
                  <c:v>13.577938370259508</c:v>
                </c:pt>
                <c:pt idx="253">
                  <c:v>13.577938370259508</c:v>
                </c:pt>
                <c:pt idx="254">
                  <c:v>13.577938370259508</c:v>
                </c:pt>
                <c:pt idx="255">
                  <c:v>13.577938370259508</c:v>
                </c:pt>
                <c:pt idx="256">
                  <c:v>13.577938370259508</c:v>
                </c:pt>
                <c:pt idx="257">
                  <c:v>13.577938370259508</c:v>
                </c:pt>
                <c:pt idx="258">
                  <c:v>13.577938370259508</c:v>
                </c:pt>
                <c:pt idx="259">
                  <c:v>13.577938370259508</c:v>
                </c:pt>
                <c:pt idx="260">
                  <c:v>13.577938370259508</c:v>
                </c:pt>
                <c:pt idx="261">
                  <c:v>13.577938370259508</c:v>
                </c:pt>
                <c:pt idx="262">
                  <c:v>13.577938370259508</c:v>
                </c:pt>
                <c:pt idx="263">
                  <c:v>13.577938370259508</c:v>
                </c:pt>
                <c:pt idx="264">
                  <c:v>13.577938370259508</c:v>
                </c:pt>
                <c:pt idx="265">
                  <c:v>13.577938370259508</c:v>
                </c:pt>
                <c:pt idx="266">
                  <c:v>13.577938370259508</c:v>
                </c:pt>
                <c:pt idx="267">
                  <c:v>13.577938370259508</c:v>
                </c:pt>
                <c:pt idx="268">
                  <c:v>13.577938370259508</c:v>
                </c:pt>
                <c:pt idx="269">
                  <c:v>13.577938370259508</c:v>
                </c:pt>
                <c:pt idx="270">
                  <c:v>13.577938370259508</c:v>
                </c:pt>
                <c:pt idx="271">
                  <c:v>13.577938370259508</c:v>
                </c:pt>
                <c:pt idx="272">
                  <c:v>13.577938370259508</c:v>
                </c:pt>
                <c:pt idx="273">
                  <c:v>13.577938370259508</c:v>
                </c:pt>
                <c:pt idx="274">
                  <c:v>13.577938370259508</c:v>
                </c:pt>
                <c:pt idx="275">
                  <c:v>13.577938370259508</c:v>
                </c:pt>
                <c:pt idx="276">
                  <c:v>13.577938370259508</c:v>
                </c:pt>
                <c:pt idx="277">
                  <c:v>13.577938370259508</c:v>
                </c:pt>
                <c:pt idx="278">
                  <c:v>13.577938370259508</c:v>
                </c:pt>
                <c:pt idx="279">
                  <c:v>13.577938370259508</c:v>
                </c:pt>
                <c:pt idx="280">
                  <c:v>13.577938370259508</c:v>
                </c:pt>
                <c:pt idx="281">
                  <c:v>13.577938370259508</c:v>
                </c:pt>
                <c:pt idx="282">
                  <c:v>13.577938370259508</c:v>
                </c:pt>
                <c:pt idx="283">
                  <c:v>13.577938370259508</c:v>
                </c:pt>
                <c:pt idx="284">
                  <c:v>13.577938370259508</c:v>
                </c:pt>
                <c:pt idx="285">
                  <c:v>13.577938370259508</c:v>
                </c:pt>
                <c:pt idx="286">
                  <c:v>13.577938370259508</c:v>
                </c:pt>
                <c:pt idx="287">
                  <c:v>13.577938370259508</c:v>
                </c:pt>
                <c:pt idx="288">
                  <c:v>13.577938370259508</c:v>
                </c:pt>
                <c:pt idx="289">
                  <c:v>13.577938370259508</c:v>
                </c:pt>
                <c:pt idx="290">
                  <c:v>13.577938370259508</c:v>
                </c:pt>
                <c:pt idx="291">
                  <c:v>13.577938370259508</c:v>
                </c:pt>
                <c:pt idx="292">
                  <c:v>13.577938370259508</c:v>
                </c:pt>
                <c:pt idx="293">
                  <c:v>13.577938370259508</c:v>
                </c:pt>
                <c:pt idx="294">
                  <c:v>13.577938370259508</c:v>
                </c:pt>
                <c:pt idx="295">
                  <c:v>13.577938370259508</c:v>
                </c:pt>
                <c:pt idx="296">
                  <c:v>13.577938370259508</c:v>
                </c:pt>
                <c:pt idx="297">
                  <c:v>13.577938370259508</c:v>
                </c:pt>
                <c:pt idx="298">
                  <c:v>13.577938370259508</c:v>
                </c:pt>
                <c:pt idx="299">
                  <c:v>13.577938370259508</c:v>
                </c:pt>
                <c:pt idx="300">
                  <c:v>13.577938370259508</c:v>
                </c:pt>
                <c:pt idx="301">
                  <c:v>13.577938370259508</c:v>
                </c:pt>
                <c:pt idx="302">
                  <c:v>13.577938370259508</c:v>
                </c:pt>
                <c:pt idx="303">
                  <c:v>13.577938370259508</c:v>
                </c:pt>
                <c:pt idx="304">
                  <c:v>13.577938370259508</c:v>
                </c:pt>
                <c:pt idx="305">
                  <c:v>13.577938370259508</c:v>
                </c:pt>
                <c:pt idx="306">
                  <c:v>13.577938370259508</c:v>
                </c:pt>
                <c:pt idx="307">
                  <c:v>13.577938370259508</c:v>
                </c:pt>
                <c:pt idx="308">
                  <c:v>13.577938370259508</c:v>
                </c:pt>
                <c:pt idx="309">
                  <c:v>13.577938370259508</c:v>
                </c:pt>
                <c:pt idx="310">
                  <c:v>13.577938370259508</c:v>
                </c:pt>
                <c:pt idx="311">
                  <c:v>13.577938370259508</c:v>
                </c:pt>
                <c:pt idx="312">
                  <c:v>13.577938370259508</c:v>
                </c:pt>
                <c:pt idx="313">
                  <c:v>13.577938370259508</c:v>
                </c:pt>
                <c:pt idx="314">
                  <c:v>13.577938370259508</c:v>
                </c:pt>
              </c:numCache>
            </c:numRef>
          </c:yVal>
          <c:smooth val="1"/>
        </c:ser>
        <c:axId val="91509504"/>
        <c:axId val="91511424"/>
      </c:scatterChart>
      <c:valAx>
        <c:axId val="915095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Time(sec)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1511424"/>
        <c:crosses val="autoZero"/>
        <c:crossBetween val="midCat"/>
      </c:valAx>
      <c:valAx>
        <c:axId val="9151142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Velocity(m/s)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1509504"/>
        <c:crosses val="autoZero"/>
        <c:crossBetween val="midCat"/>
      </c:valAx>
    </c:plotArea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b="0">
                <a:latin typeface="Times New Roman" pitchFamily="18" charset="0"/>
                <a:cs typeface="Times New Roman" pitchFamily="18" charset="0"/>
              </a:defRPr>
            </a:pPr>
            <a:r>
              <a:rPr lang="en-US" b="0">
                <a:latin typeface="Times New Roman" pitchFamily="18" charset="0"/>
                <a:cs typeface="Times New Roman" pitchFamily="18" charset="0"/>
              </a:rPr>
              <a:t>Power(HP), Torque(Nm) vs Time(sec)</a:t>
            </a:r>
          </a:p>
        </c:rich>
      </c:tx>
      <c:layout>
        <c:manualLayout>
          <c:xMode val="edge"/>
          <c:yMode val="edge"/>
          <c:x val="0.37883503650266348"/>
          <c:y val="4.3760679048584321E-2"/>
        </c:manualLayout>
      </c:layout>
      <c:overlay val="1"/>
    </c:title>
    <c:plotArea>
      <c:layout/>
      <c:lineChart>
        <c:grouping val="standard"/>
        <c:ser>
          <c:idx val="0"/>
          <c:order val="0"/>
          <c:tx>
            <c:strRef>
              <c:f>Simulation!$H$4</c:f>
              <c:strCache>
                <c:ptCount val="1"/>
                <c:pt idx="0">
                  <c:v>Power(HP)</c:v>
                </c:pt>
              </c:strCache>
            </c:strRef>
          </c:tx>
          <c:spPr>
            <a:ln w="34925"/>
          </c:spPr>
          <c:marker>
            <c:symbol val="none"/>
          </c:marker>
          <c:cat>
            <c:numRef>
              <c:f>Simulation!$O$5:$O$319</c:f>
              <c:numCache>
                <c:formatCode>General</c:formatCode>
                <c:ptCount val="315"/>
                <c:pt idx="0">
                  <c:v>0</c:v>
                </c:pt>
                <c:pt idx="1">
                  <c:v>1.5739692661133495</c:v>
                </c:pt>
                <c:pt idx="2">
                  <c:v>2.687374443640091</c:v>
                </c:pt>
                <c:pt idx="3">
                  <c:v>3.5968259528392506</c:v>
                </c:pt>
                <c:pt idx="4">
                  <c:v>4.3847458635645769</c:v>
                </c:pt>
                <c:pt idx="5">
                  <c:v>5.0897617753044599</c:v>
                </c:pt>
                <c:pt idx="6">
                  <c:v>5.7336049564232479</c:v>
                </c:pt>
                <c:pt idx="7">
                  <c:v>6.3299237062167943</c:v>
                </c:pt>
                <c:pt idx="8">
                  <c:v>6.8879494116925732</c:v>
                </c:pt>
                <c:pt idx="9">
                  <c:v>7.414269095291675</c:v>
                </c:pt>
                <c:pt idx="10">
                  <c:v>7.9137771433194679</c:v>
                </c:pt>
                <c:pt idx="11">
                  <c:v>8.3902275750464277</c:v>
                </c:pt>
                <c:pt idx="12">
                  <c:v>8.8465743402385542</c:v>
                </c:pt>
                <c:pt idx="13">
                  <c:v>9.2851912894378952</c:v>
                </c:pt>
                <c:pt idx="14">
                  <c:v>9.7080200394773932</c:v>
                </c:pt>
                <c:pt idx="15">
                  <c:v>10.116672664776249</c:v>
                </c:pt>
                <c:pt idx="16">
                  <c:v>10.51250501208871</c:v>
                </c:pt>
                <c:pt idx="17">
                  <c:v>10.896670296925555</c:v>
                </c:pt>
                <c:pt idx="18">
                  <c:v>11.270159098454965</c:v>
                </c:pt>
                <c:pt idx="19">
                  <c:v>11.63382974673268</c:v>
                </c:pt>
                <c:pt idx="20">
                  <c:v>11.988431780303211</c:v>
                </c:pt>
                <c:pt idx="21">
                  <c:v>12.334624312510991</c:v>
                </c:pt>
                <c:pt idx="22">
                  <c:v>12.672990594993271</c:v>
                </c:pt>
                <c:pt idx="23">
                  <c:v>13.004049698396306</c:v>
                </c:pt>
                <c:pt idx="24">
                  <c:v>13.328265978368163</c:v>
                </c:pt>
                <c:pt idx="25">
                  <c:v>13.646056819311351</c:v>
                </c:pt>
                <c:pt idx="26">
                  <c:v>13.95779902398141</c:v>
                </c:pt>
                <c:pt idx="27">
                  <c:v>14.263834127521241</c:v>
                </c:pt>
                <c:pt idx="28">
                  <c:v>14.56447284922776</c:v>
                </c:pt>
                <c:pt idx="29">
                  <c:v>14.859998847097268</c:v>
                </c:pt>
                <c:pt idx="30">
                  <c:v>15.150671904116287</c:v>
                </c:pt>
                <c:pt idx="31">
                  <c:v>15.436730647989583</c:v>
                </c:pt>
                <c:pt idx="32">
                  <c:v>15.718394885168149</c:v>
                </c:pt>
                <c:pt idx="33">
                  <c:v>15.995867613983272</c:v>
                </c:pt>
                <c:pt idx="34">
                  <c:v>16.269336769205932</c:v>
                </c:pt>
                <c:pt idx="35">
                  <c:v>16.538976740560109</c:v>
                </c:pt>
                <c:pt idx="36">
                  <c:v>16.804949699982746</c:v>
                </c:pt>
                <c:pt idx="37">
                  <c:v>17.067406766266725</c:v>
                </c:pt>
                <c:pt idx="38">
                  <c:v>17.326489030790366</c:v>
                </c:pt>
                <c:pt idx="39">
                  <c:v>17.582328464059319</c:v>
                </c:pt>
                <c:pt idx="40">
                  <c:v>17.835048719559762</c:v>
                </c:pt>
                <c:pt idx="41">
                  <c:v>18.084765848789072</c:v>
                </c:pt>
                <c:pt idx="42">
                  <c:v>18.331588939170508</c:v>
                </c:pt>
                <c:pt idx="43">
                  <c:v>18.575620684777778</c:v>
                </c:pt>
                <c:pt idx="44">
                  <c:v>18.816957898320112</c:v>
                </c:pt>
                <c:pt idx="45">
                  <c:v>19.055691971610546</c:v>
                </c:pt>
                <c:pt idx="46">
                  <c:v>19.291909290713541</c:v>
                </c:pt>
                <c:pt idx="47">
                  <c:v>19.525691611106215</c:v>
                </c:pt>
                <c:pt idx="48">
                  <c:v>19.757116397461129</c:v>
                </c:pt>
                <c:pt idx="49">
                  <c:v>19.986257132043885</c:v>
                </c:pt>
                <c:pt idx="50">
                  <c:v>20.213183595196895</c:v>
                </c:pt>
                <c:pt idx="51">
                  <c:v>20.437962120935879</c:v>
                </c:pt>
                <c:pt idx="52">
                  <c:v>20.660655830305416</c:v>
                </c:pt>
                <c:pt idx="53">
                  <c:v>20.881324844813573</c:v>
                </c:pt>
                <c:pt idx="54">
                  <c:v>21.100026481985079</c:v>
                </c:pt>
                <c:pt idx="55">
                  <c:v>21.316815434830183</c:v>
                </c:pt>
                <c:pt idx="56">
                  <c:v>21.531743936816795</c:v>
                </c:pt>
                <c:pt idx="57">
                  <c:v>21.744861913751599</c:v>
                </c:pt>
                <c:pt idx="58">
                  <c:v>21.956217123817481</c:v>
                </c:pt>
                <c:pt idx="59">
                  <c:v>22.165855286876656</c:v>
                </c:pt>
                <c:pt idx="60">
                  <c:v>22.37382020402806</c:v>
                </c:pt>
                <c:pt idx="61">
                  <c:v>22.580153868301824</c:v>
                </c:pt>
                <c:pt idx="62">
                  <c:v>22.786487532575588</c:v>
                </c:pt>
                <c:pt idx="63">
                  <c:v>22.992821196849352</c:v>
                </c:pt>
                <c:pt idx="64">
                  <c:v>23.199154861123116</c:v>
                </c:pt>
                <c:pt idx="65">
                  <c:v>23.40548852539688</c:v>
                </c:pt>
                <c:pt idx="66">
                  <c:v>23.603716472196488</c:v>
                </c:pt>
                <c:pt idx="67">
                  <c:v>23.794740289614957</c:v>
                </c:pt>
                <c:pt idx="68">
                  <c:v>23.979306303691896</c:v>
                </c:pt>
                <c:pt idx="69">
                  <c:v>24.158040594196915</c:v>
                </c:pt>
                <c:pt idx="70">
                  <c:v>24.331474471188677</c:v>
                </c:pt>
                <c:pt idx="71">
                  <c:v>24.500063407563001</c:v>
                </c:pt>
                <c:pt idx="72">
                  <c:v>24.664201371263079</c:v>
                </c:pt>
                <c:pt idx="73">
                  <c:v>24.824231853459594</c:v>
                </c:pt>
                <c:pt idx="74">
                  <c:v>24.980456478321866</c:v>
                </c:pt>
                <c:pt idx="75">
                  <c:v>25.133141812476051</c:v>
                </c:pt>
                <c:pt idx="76">
                  <c:v>25.282524813832008</c:v>
                </c:pt>
                <c:pt idx="77">
                  <c:v>25.428817237945516</c:v>
                </c:pt>
                <c:pt idx="78">
                  <c:v>25.572209235738761</c:v>
                </c:pt>
                <c:pt idx="79">
                  <c:v>25.712872316847321</c:v>
                </c:pt>
                <c:pt idx="80">
                  <c:v>25.850961810150043</c:v>
                </c:pt>
                <c:pt idx="81">
                  <c:v>25.986618921966713</c:v>
                </c:pt>
                <c:pt idx="82">
                  <c:v>26.119972469507921</c:v>
                </c:pt>
                <c:pt idx="83">
                  <c:v>26.251140350079066</c:v>
                </c:pt>
                <c:pt idx="84">
                  <c:v>26.380201469464552</c:v>
                </c:pt>
                <c:pt idx="85">
                  <c:v>26.507258251539461</c:v>
                </c:pt>
                <c:pt idx="86">
                  <c:v>26.632405132822306</c:v>
                </c:pt>
                <c:pt idx="87">
                  <c:v>26.755729407453043</c:v>
                </c:pt>
                <c:pt idx="88">
                  <c:v>26.877311960639695</c:v>
                </c:pt>
                <c:pt idx="89">
                  <c:v>26.997227908052182</c:v>
                </c:pt>
                <c:pt idx="90">
                  <c:v>27.115547155494518</c:v>
                </c:pt>
                <c:pt idx="91">
                  <c:v>27.23233489067551</c:v>
                </c:pt>
                <c:pt idx="92">
                  <c:v>27.347652016881312</c:v>
                </c:pt>
                <c:pt idx="93">
                  <c:v>27.461555536723367</c:v>
                </c:pt>
                <c:pt idx="94">
                  <c:v>27.574098892810238</c:v>
                </c:pt>
                <c:pt idx="95">
                  <c:v>27.685332271108649</c:v>
                </c:pt>
                <c:pt idx="96">
                  <c:v>27.795302871868827</c:v>
                </c:pt>
                <c:pt idx="97">
                  <c:v>27.904055152253967</c:v>
                </c:pt>
                <c:pt idx="98">
                  <c:v>28.011631044203366</c:v>
                </c:pt>
                <c:pt idx="99">
                  <c:v>28.118070150550064</c:v>
                </c:pt>
                <c:pt idx="100">
                  <c:v>28.223409921987837</c:v>
                </c:pt>
                <c:pt idx="101">
                  <c:v>28.327685817124237</c:v>
                </c:pt>
                <c:pt idx="102">
                  <c:v>28.430931447554102</c:v>
                </c:pt>
                <c:pt idx="103">
                  <c:v>28.533178709631841</c:v>
                </c:pt>
                <c:pt idx="104">
                  <c:v>28.634457904403018</c:v>
                </c:pt>
                <c:pt idx="105">
                  <c:v>28.734797846969965</c:v>
                </c:pt>
                <c:pt idx="106">
                  <c:v>28.834225966407082</c:v>
                </c:pt>
                <c:pt idx="107">
                  <c:v>28.932768397204917</c:v>
                </c:pt>
                <c:pt idx="108">
                  <c:v>29.030450063104453</c:v>
                </c:pt>
                <c:pt idx="109">
                  <c:v>29.127294754081394</c:v>
                </c:pt>
                <c:pt idx="110">
                  <c:v>29.223325197152196</c:v>
                </c:pt>
                <c:pt idx="111">
                  <c:v>29.318557591261612</c:v>
                </c:pt>
                <c:pt idx="112">
                  <c:v>29.413013016835464</c:v>
                </c:pt>
                <c:pt idx="113">
                  <c:v>29.506711654040085</c:v>
                </c:pt>
                <c:pt idx="114">
                  <c:v>29.599672835616563</c:v>
                </c:pt>
                <c:pt idx="115">
                  <c:v>29.691915095796176</c:v>
                </c:pt>
                <c:pt idx="116">
                  <c:v>29.783456215646446</c:v>
                </c:pt>
                <c:pt idx="117">
                  <c:v>29.874313265160971</c:v>
                </c:pt>
                <c:pt idx="118">
                  <c:v>29.964502642374292</c:v>
                </c:pt>
                <c:pt idx="119">
                  <c:v>30.054040109754737</c:v>
                </c:pt>
                <c:pt idx="120">
                  <c:v>30.142940828103196</c:v>
                </c:pt>
                <c:pt idx="121">
                  <c:v>30.231219388163527</c:v>
                </c:pt>
                <c:pt idx="122">
                  <c:v>30.318889840130584</c:v>
                </c:pt>
                <c:pt idx="123">
                  <c:v>30.405965721224202</c:v>
                </c:pt>
                <c:pt idx="124">
                  <c:v>30.492460081481852</c:v>
                </c:pt>
                <c:pt idx="125">
                  <c:v>30.578385507908521</c:v>
                </c:pt>
                <c:pt idx="126">
                  <c:v>30.663754147109952</c:v>
                </c:pt>
                <c:pt idx="127">
                  <c:v>30.748577726523951</c:v>
                </c:pt>
                <c:pt idx="128">
                  <c:v>30.832867574354488</c:v>
                </c:pt>
                <c:pt idx="129">
                  <c:v>30.916634638304075</c:v>
                </c:pt>
                <c:pt idx="130">
                  <c:v>30.999889503191824</c:v>
                </c:pt>
                <c:pt idx="131">
                  <c:v>31.082642407537087</c:v>
                </c:pt>
                <c:pt idx="132">
                  <c:v>31.164903259181937</c:v>
                </c:pt>
                <c:pt idx="133">
                  <c:v>31.246681650019685</c:v>
                </c:pt>
                <c:pt idx="134">
                  <c:v>31.327986869891173</c:v>
                </c:pt>
                <c:pt idx="135">
                  <c:v>31.408827919705555</c:v>
                </c:pt>
                <c:pt idx="136">
                  <c:v>31.489213523837812</c:v>
                </c:pt>
                <c:pt idx="137">
                  <c:v>31.569152141851134</c:v>
                </c:pt>
                <c:pt idx="138">
                  <c:v>31.648651979588539</c:v>
                </c:pt>
                <c:pt idx="139">
                  <c:v>31.727720999674702</c:v>
                </c:pt>
                <c:pt idx="140">
                  <c:v>31.806366931465874</c:v>
                </c:pt>
                <c:pt idx="141">
                  <c:v>31.884597280482932</c:v>
                </c:pt>
                <c:pt idx="142">
                  <c:v>31.962419337359961</c:v>
                </c:pt>
                <c:pt idx="143">
                  <c:v>32.039840186338445</c:v>
                </c:pt>
                <c:pt idx="144">
                  <c:v>32.116866713334943</c:v>
                </c:pt>
                <c:pt idx="145">
                  <c:v>32.19350561360811</c:v>
                </c:pt>
                <c:pt idx="146">
                  <c:v>32.269763399049125</c:v>
                </c:pt>
                <c:pt idx="147">
                  <c:v>32.345646405117876</c:v>
                </c:pt>
                <c:pt idx="148">
                  <c:v>32.421160797445715</c:v>
                </c:pt>
                <c:pt idx="149">
                  <c:v>32.496312578124119</c:v>
                </c:pt>
                <c:pt idx="150">
                  <c:v>32.571107591697398</c:v>
                </c:pt>
                <c:pt idx="151">
                  <c:v>32.64555153087619</c:v>
                </c:pt>
                <c:pt idx="152">
                  <c:v>32.719649941987569</c:v>
                </c:pt>
                <c:pt idx="153">
                  <c:v>32.793408230176404</c:v>
                </c:pt>
                <c:pt idx="154">
                  <c:v>32.867057113587919</c:v>
                </c:pt>
                <c:pt idx="155">
                  <c:v>32.940705996999434</c:v>
                </c:pt>
                <c:pt idx="156">
                  <c:v>33.014354880410949</c:v>
                </c:pt>
                <c:pt idx="157">
                  <c:v>33.088003763822464</c:v>
                </c:pt>
                <c:pt idx="158">
                  <c:v>33.161652647233979</c:v>
                </c:pt>
                <c:pt idx="159">
                  <c:v>33.235301530645494</c:v>
                </c:pt>
                <c:pt idx="160">
                  <c:v>33.308950414057009</c:v>
                </c:pt>
                <c:pt idx="161">
                  <c:v>33.382599297468524</c:v>
                </c:pt>
                <c:pt idx="162">
                  <c:v>33.456248180880038</c:v>
                </c:pt>
                <c:pt idx="163">
                  <c:v>33.529897064291553</c:v>
                </c:pt>
                <c:pt idx="164">
                  <c:v>33.603545947703068</c:v>
                </c:pt>
                <c:pt idx="165">
                  <c:v>33.677194831114583</c:v>
                </c:pt>
                <c:pt idx="166">
                  <c:v>33.750843714526098</c:v>
                </c:pt>
                <c:pt idx="167">
                  <c:v>33.824492597937613</c:v>
                </c:pt>
                <c:pt idx="168">
                  <c:v>33.898141481349128</c:v>
                </c:pt>
                <c:pt idx="169">
                  <c:v>33.971790364760643</c:v>
                </c:pt>
                <c:pt idx="170">
                  <c:v>34.045439248172158</c:v>
                </c:pt>
                <c:pt idx="171">
                  <c:v>34.119088131583673</c:v>
                </c:pt>
                <c:pt idx="172">
                  <c:v>34.192737014995188</c:v>
                </c:pt>
                <c:pt idx="173">
                  <c:v>34.266385898406703</c:v>
                </c:pt>
                <c:pt idx="174">
                  <c:v>34.340466490468039</c:v>
                </c:pt>
                <c:pt idx="175">
                  <c:v>34.414987333505771</c:v>
                </c:pt>
                <c:pt idx="176">
                  <c:v>34.489957248959136</c:v>
                </c:pt>
                <c:pt idx="177">
                  <c:v>34.565385350278945</c:v>
                </c:pt>
                <c:pt idx="178">
                  <c:v>34.641281056602431</c:v>
                </c:pt>
                <c:pt idx="179">
                  <c:v>34.717654107261822</c:v>
                </c:pt>
                <c:pt idx="180">
                  <c:v>34.79451457718956</c:v>
                </c:pt>
                <c:pt idx="181">
                  <c:v>34.871872893288838</c:v>
                </c:pt>
                <c:pt idx="182">
                  <c:v>34.94973985184442</c:v>
                </c:pt>
                <c:pt idx="183">
                  <c:v>35.02812663705555</c:v>
                </c:pt>
                <c:pt idx="184">
                  <c:v>35.107044840780752</c:v>
                </c:pt>
                <c:pt idx="185">
                  <c:v>35.186506483592609</c:v>
                </c:pt>
                <c:pt idx="186">
                  <c:v>35.266524037250413</c:v>
                </c:pt>
                <c:pt idx="187">
                  <c:v>35.347110448709003</c:v>
                </c:pt>
                <c:pt idx="188">
                  <c:v>35.428279165794159</c:v>
                </c:pt>
                <c:pt idx="189">
                  <c:v>35.51004416468804</c:v>
                </c:pt>
                <c:pt idx="190">
                  <c:v>35.592419979383095</c:v>
                </c:pt>
                <c:pt idx="191">
                  <c:v>35.6754217332794</c:v>
                </c:pt>
                <c:pt idx="192">
                  <c:v>35.759065173119225</c:v>
                </c:pt>
                <c:pt idx="193">
                  <c:v>35.843366705473507</c:v>
                </c:pt>
                <c:pt idx="194">
                  <c:v>35.9283434360187</c:v>
                </c:pt>
                <c:pt idx="195">
                  <c:v>36.014013211869276</c:v>
                </c:pt>
                <c:pt idx="196">
                  <c:v>36.100394667261376</c:v>
                </c:pt>
                <c:pt idx="197">
                  <c:v>36.187507272917557</c:v>
                </c:pt>
                <c:pt idx="198">
                  <c:v>36.275371389461711</c:v>
                </c:pt>
                <c:pt idx="199">
                  <c:v>36.364008325297597</c:v>
                </c:pt>
                <c:pt idx="200">
                  <c:v>36.453440399415442</c:v>
                </c:pt>
                <c:pt idx="201">
                  <c:v>36.543691009649145</c:v>
                </c:pt>
                <c:pt idx="202">
                  <c:v>36.634784706973392</c:v>
                </c:pt>
                <c:pt idx="203">
                  <c:v>36.726747276506813</c:v>
                </c:pt>
                <c:pt idx="204">
                  <c:v>36.819605825975941</c:v>
                </c:pt>
                <c:pt idx="205">
                  <c:v>36.913388882497038</c:v>
                </c:pt>
                <c:pt idx="206">
                  <c:v>37.00812649865194</c:v>
                </c:pt>
                <c:pt idx="207">
                  <c:v>37.103850368972076</c:v>
                </c:pt>
                <c:pt idx="208">
                  <c:v>37.200593958106467</c:v>
                </c:pt>
                <c:pt idx="209">
                  <c:v>37.298385118451762</c:v>
                </c:pt>
                <c:pt idx="210">
                  <c:v>37.397260755518516</c:v>
                </c:pt>
                <c:pt idx="211">
                  <c:v>37.497259966646538</c:v>
                </c:pt>
                <c:pt idx="212">
                  <c:v>37.595992520555583</c:v>
                </c:pt>
                <c:pt idx="213">
                  <c:v>37.69350685921156</c:v>
                </c:pt>
                <c:pt idx="214">
                  <c:v>37.789848437675523</c:v>
                </c:pt>
                <c:pt idx="215">
                  <c:v>37.885052131484869</c:v>
                </c:pt>
                <c:pt idx="216">
                  <c:v>37.979158702996152</c:v>
                </c:pt>
                <c:pt idx="217">
                  <c:v>38.072206558144707</c:v>
                </c:pt>
                <c:pt idx="218">
                  <c:v>38.164231932624304</c:v>
                </c:pt>
                <c:pt idx="219">
                  <c:v>38.255269059578637</c:v>
                </c:pt>
                <c:pt idx="220">
                  <c:v>38.345350320999756</c:v>
                </c:pt>
                <c:pt idx="221">
                  <c:v>38.434506384727037</c:v>
                </c:pt>
                <c:pt idx="222">
                  <c:v>38.52276632868567</c:v>
                </c:pt>
                <c:pt idx="223">
                  <c:v>38.610157753787568</c:v>
                </c:pt>
                <c:pt idx="224">
                  <c:v>38.696706886733921</c:v>
                </c:pt>
                <c:pt idx="225">
                  <c:v>38.782438673801586</c:v>
                </c:pt>
                <c:pt idx="226">
                  <c:v>38.867376866561152</c:v>
                </c:pt>
                <c:pt idx="227">
                  <c:v>38.951544100358952</c:v>
                </c:pt>
                <c:pt idx="228">
                  <c:v>39.034961966295725</c:v>
                </c:pt>
                <c:pt idx="229">
                  <c:v>39.117651077348462</c:v>
                </c:pt>
                <c:pt idx="230">
                  <c:v>39.199631129207532</c:v>
                </c:pt>
                <c:pt idx="231">
                  <c:v>39.280920956336111</c:v>
                </c:pt>
                <c:pt idx="232">
                  <c:v>39.361538583702583</c:v>
                </c:pt>
                <c:pt idx="233">
                  <c:v>39.441501274587139</c:v>
                </c:pt>
                <c:pt idx="234">
                  <c:v>39.520825574820542</c:v>
                </c:pt>
                <c:pt idx="235">
                  <c:v>39.59952735377513</c:v>
                </c:pt>
                <c:pt idx="236">
                  <c:v>39.677621842394757</c:v>
                </c:pt>
                <c:pt idx="237">
                  <c:v>39.755123668520817</c:v>
                </c:pt>
                <c:pt idx="238">
                  <c:v>39.832046889745712</c:v>
                </c:pt>
                <c:pt idx="239">
                  <c:v>39.908405024001922</c:v>
                </c:pt>
                <c:pt idx="240">
                  <c:v>39.984211078074523</c:v>
                </c:pt>
                <c:pt idx="241">
                  <c:v>40.059477574206831</c:v>
                </c:pt>
                <c:pt idx="242">
                  <c:v>40.134216574952731</c:v>
                </c:pt>
                <c:pt idx="243">
                  <c:v>40.208439706414829</c:v>
                </c:pt>
                <c:pt idx="244">
                  <c:v>40.282158179994681</c:v>
                </c:pt>
                <c:pt idx="245">
                  <c:v>40.355807063406196</c:v>
                </c:pt>
                <c:pt idx="246">
                  <c:v>40.429455946817711</c:v>
                </c:pt>
                <c:pt idx="247">
                  <c:v>40.503104830229226</c:v>
                </c:pt>
                <c:pt idx="248">
                  <c:v>40.576753713640741</c:v>
                </c:pt>
                <c:pt idx="249">
                  <c:v>40.650402597052256</c:v>
                </c:pt>
                <c:pt idx="250">
                  <c:v>40.724051480463771</c:v>
                </c:pt>
                <c:pt idx="251">
                  <c:v>40.797700363875286</c:v>
                </c:pt>
                <c:pt idx="252">
                  <c:v>40.871349247286801</c:v>
                </c:pt>
                <c:pt idx="253">
                  <c:v>40.944998130698316</c:v>
                </c:pt>
                <c:pt idx="254">
                  <c:v>41.018647014109831</c:v>
                </c:pt>
                <c:pt idx="255">
                  <c:v>41.092295897521346</c:v>
                </c:pt>
                <c:pt idx="256">
                  <c:v>41.165944780932861</c:v>
                </c:pt>
                <c:pt idx="257">
                  <c:v>41.239593664344376</c:v>
                </c:pt>
                <c:pt idx="258">
                  <c:v>41.313242547755891</c:v>
                </c:pt>
                <c:pt idx="259">
                  <c:v>41.386891431167406</c:v>
                </c:pt>
                <c:pt idx="260">
                  <c:v>41.460540314578921</c:v>
                </c:pt>
                <c:pt idx="261">
                  <c:v>41.534189197990436</c:v>
                </c:pt>
                <c:pt idx="262">
                  <c:v>41.607838081401951</c:v>
                </c:pt>
                <c:pt idx="263">
                  <c:v>41.681486964813466</c:v>
                </c:pt>
                <c:pt idx="264">
                  <c:v>41.755135848224981</c:v>
                </c:pt>
                <c:pt idx="265">
                  <c:v>41.828784731636496</c:v>
                </c:pt>
                <c:pt idx="266">
                  <c:v>41.902433615048011</c:v>
                </c:pt>
                <c:pt idx="267">
                  <c:v>41.976082498459526</c:v>
                </c:pt>
                <c:pt idx="268">
                  <c:v>42.049731381871041</c:v>
                </c:pt>
                <c:pt idx="269">
                  <c:v>42.123380265282556</c:v>
                </c:pt>
                <c:pt idx="270">
                  <c:v>42.197029148694071</c:v>
                </c:pt>
                <c:pt idx="271">
                  <c:v>42.270678032105586</c:v>
                </c:pt>
                <c:pt idx="272">
                  <c:v>42.344326915517101</c:v>
                </c:pt>
                <c:pt idx="273">
                  <c:v>42.417975798928616</c:v>
                </c:pt>
                <c:pt idx="274">
                  <c:v>42.491624682340131</c:v>
                </c:pt>
                <c:pt idx="275">
                  <c:v>42.565273565751646</c:v>
                </c:pt>
                <c:pt idx="276">
                  <c:v>42.638922449163161</c:v>
                </c:pt>
                <c:pt idx="277">
                  <c:v>42.712571332574676</c:v>
                </c:pt>
                <c:pt idx="278">
                  <c:v>42.786220215986191</c:v>
                </c:pt>
                <c:pt idx="279">
                  <c:v>42.859869099397706</c:v>
                </c:pt>
                <c:pt idx="280">
                  <c:v>42.933517982809221</c:v>
                </c:pt>
                <c:pt idx="281">
                  <c:v>43.007166866220736</c:v>
                </c:pt>
                <c:pt idx="282">
                  <c:v>43.080815749632251</c:v>
                </c:pt>
                <c:pt idx="283">
                  <c:v>43.154464633043766</c:v>
                </c:pt>
                <c:pt idx="284">
                  <c:v>43.228113516455281</c:v>
                </c:pt>
                <c:pt idx="285">
                  <c:v>43.301762399866796</c:v>
                </c:pt>
                <c:pt idx="286">
                  <c:v>43.375411283278311</c:v>
                </c:pt>
                <c:pt idx="287">
                  <c:v>43.449060166689826</c:v>
                </c:pt>
                <c:pt idx="288">
                  <c:v>43.522709050101341</c:v>
                </c:pt>
                <c:pt idx="289">
                  <c:v>43.596357933512856</c:v>
                </c:pt>
                <c:pt idx="290">
                  <c:v>43.670006816924371</c:v>
                </c:pt>
                <c:pt idx="291">
                  <c:v>43.743655700335886</c:v>
                </c:pt>
                <c:pt idx="292">
                  <c:v>43.817304583747401</c:v>
                </c:pt>
                <c:pt idx="293">
                  <c:v>43.890953467158916</c:v>
                </c:pt>
                <c:pt idx="294">
                  <c:v>43.964602350570431</c:v>
                </c:pt>
                <c:pt idx="295">
                  <c:v>44.038251233981946</c:v>
                </c:pt>
                <c:pt idx="296">
                  <c:v>44.111900117393461</c:v>
                </c:pt>
                <c:pt idx="297">
                  <c:v>44.185549000804976</c:v>
                </c:pt>
                <c:pt idx="298">
                  <c:v>44.259197884216491</c:v>
                </c:pt>
                <c:pt idx="299">
                  <c:v>44.332846767628006</c:v>
                </c:pt>
                <c:pt idx="300">
                  <c:v>44.406495651039521</c:v>
                </c:pt>
                <c:pt idx="301">
                  <c:v>44.480144534451036</c:v>
                </c:pt>
                <c:pt idx="302">
                  <c:v>44.553793417862551</c:v>
                </c:pt>
                <c:pt idx="303">
                  <c:v>44.627442301274066</c:v>
                </c:pt>
                <c:pt idx="304">
                  <c:v>44.701091184685581</c:v>
                </c:pt>
                <c:pt idx="305">
                  <c:v>44.774740068097096</c:v>
                </c:pt>
                <c:pt idx="306">
                  <c:v>44.84838895150861</c:v>
                </c:pt>
                <c:pt idx="307">
                  <c:v>44.922037834920125</c:v>
                </c:pt>
                <c:pt idx="308">
                  <c:v>44.99568671833164</c:v>
                </c:pt>
                <c:pt idx="309">
                  <c:v>45.069335601743155</c:v>
                </c:pt>
                <c:pt idx="310">
                  <c:v>45.14298448515467</c:v>
                </c:pt>
                <c:pt idx="311">
                  <c:v>45.216633368566185</c:v>
                </c:pt>
                <c:pt idx="312">
                  <c:v>45.2902822519777</c:v>
                </c:pt>
                <c:pt idx="313">
                  <c:v>45.363931135389215</c:v>
                </c:pt>
                <c:pt idx="314">
                  <c:v>45.43758001880073</c:v>
                </c:pt>
              </c:numCache>
            </c:numRef>
          </c:cat>
          <c:val>
            <c:numRef>
              <c:f>Simulation!$H$5:$H$319</c:f>
              <c:numCache>
                <c:formatCode>General</c:formatCode>
                <c:ptCount val="315"/>
                <c:pt idx="0">
                  <c:v>0.68</c:v>
                </c:pt>
                <c:pt idx="1">
                  <c:v>1.03</c:v>
                </c:pt>
                <c:pt idx="2">
                  <c:v>1.39</c:v>
                </c:pt>
                <c:pt idx="3">
                  <c:v>2.92</c:v>
                </c:pt>
                <c:pt idx="4">
                  <c:v>4.24</c:v>
                </c:pt>
                <c:pt idx="5">
                  <c:v>5.24</c:v>
                </c:pt>
                <c:pt idx="6">
                  <c:v>5.93</c:v>
                </c:pt>
                <c:pt idx="7">
                  <c:v>7.17</c:v>
                </c:pt>
                <c:pt idx="8">
                  <c:v>8.0299999999999994</c:v>
                </c:pt>
                <c:pt idx="9">
                  <c:v>8.9600000000000009</c:v>
                </c:pt>
                <c:pt idx="10">
                  <c:v>9.64</c:v>
                </c:pt>
                <c:pt idx="11">
                  <c:v>10.07</c:v>
                </c:pt>
                <c:pt idx="12">
                  <c:v>10.28</c:v>
                </c:pt>
                <c:pt idx="13">
                  <c:v>10.86</c:v>
                </c:pt>
                <c:pt idx="14">
                  <c:v>12.04</c:v>
                </c:pt>
                <c:pt idx="15">
                  <c:v>12.63</c:v>
                </c:pt>
                <c:pt idx="16">
                  <c:v>13.22</c:v>
                </c:pt>
                <c:pt idx="17">
                  <c:v>13.81</c:v>
                </c:pt>
                <c:pt idx="18">
                  <c:v>14.1</c:v>
                </c:pt>
                <c:pt idx="19">
                  <c:v>14.68</c:v>
                </c:pt>
                <c:pt idx="20">
                  <c:v>14.97</c:v>
                </c:pt>
                <c:pt idx="21">
                  <c:v>15.26</c:v>
                </c:pt>
                <c:pt idx="22">
                  <c:v>15.92</c:v>
                </c:pt>
                <c:pt idx="23">
                  <c:v>16.25</c:v>
                </c:pt>
                <c:pt idx="24">
                  <c:v>16.579999999999998</c:v>
                </c:pt>
                <c:pt idx="25">
                  <c:v>16.940000000000001</c:v>
                </c:pt>
                <c:pt idx="26">
                  <c:v>17.05</c:v>
                </c:pt>
                <c:pt idx="27">
                  <c:v>17.11</c:v>
                </c:pt>
                <c:pt idx="28">
                  <c:v>17.18</c:v>
                </c:pt>
                <c:pt idx="29">
                  <c:v>17.239999999999998</c:v>
                </c:pt>
                <c:pt idx="30">
                  <c:v>17.32</c:v>
                </c:pt>
                <c:pt idx="31">
                  <c:v>17.37</c:v>
                </c:pt>
                <c:pt idx="32">
                  <c:v>17.440000000000001</c:v>
                </c:pt>
                <c:pt idx="33">
                  <c:v>14.68</c:v>
                </c:pt>
                <c:pt idx="34">
                  <c:v>14.97</c:v>
                </c:pt>
                <c:pt idx="35">
                  <c:v>15.26</c:v>
                </c:pt>
                <c:pt idx="36">
                  <c:v>15.59</c:v>
                </c:pt>
                <c:pt idx="37">
                  <c:v>15.59</c:v>
                </c:pt>
                <c:pt idx="38">
                  <c:v>15.92</c:v>
                </c:pt>
                <c:pt idx="39">
                  <c:v>15.92</c:v>
                </c:pt>
                <c:pt idx="40">
                  <c:v>16.25</c:v>
                </c:pt>
                <c:pt idx="41">
                  <c:v>16.25</c:v>
                </c:pt>
                <c:pt idx="42">
                  <c:v>16.579999999999998</c:v>
                </c:pt>
                <c:pt idx="43">
                  <c:v>16.579999999999998</c:v>
                </c:pt>
                <c:pt idx="44">
                  <c:v>16.940000000000001</c:v>
                </c:pt>
                <c:pt idx="45">
                  <c:v>16.940000000000001</c:v>
                </c:pt>
                <c:pt idx="46">
                  <c:v>17.05</c:v>
                </c:pt>
                <c:pt idx="47">
                  <c:v>17.11</c:v>
                </c:pt>
                <c:pt idx="48">
                  <c:v>17.11</c:v>
                </c:pt>
                <c:pt idx="49">
                  <c:v>17.18</c:v>
                </c:pt>
                <c:pt idx="50">
                  <c:v>17.18</c:v>
                </c:pt>
                <c:pt idx="51">
                  <c:v>17.239999999999998</c:v>
                </c:pt>
                <c:pt idx="52">
                  <c:v>17.239999999999998</c:v>
                </c:pt>
                <c:pt idx="53">
                  <c:v>17.32</c:v>
                </c:pt>
                <c:pt idx="54">
                  <c:v>17.32</c:v>
                </c:pt>
                <c:pt idx="55">
                  <c:v>17.37</c:v>
                </c:pt>
                <c:pt idx="56">
                  <c:v>17.440000000000001</c:v>
                </c:pt>
                <c:pt idx="57">
                  <c:v>17.440000000000001</c:v>
                </c:pt>
                <c:pt idx="58">
                  <c:v>17.5</c:v>
                </c:pt>
                <c:pt idx="59">
                  <c:v>17.5</c:v>
                </c:pt>
                <c:pt idx="60">
                  <c:v>17.8</c:v>
                </c:pt>
                <c:pt idx="61">
                  <c:v>18</c:v>
                </c:pt>
                <c:pt idx="62">
                  <c:v>18</c:v>
                </c:pt>
                <c:pt idx="63">
                  <c:v>16.8</c:v>
                </c:pt>
                <c:pt idx="64">
                  <c:v>16.8</c:v>
                </c:pt>
                <c:pt idx="65">
                  <c:v>16.8</c:v>
                </c:pt>
                <c:pt idx="66">
                  <c:v>16.8</c:v>
                </c:pt>
                <c:pt idx="67">
                  <c:v>16.8</c:v>
                </c:pt>
                <c:pt idx="68">
                  <c:v>16.8</c:v>
                </c:pt>
                <c:pt idx="69">
                  <c:v>16.8</c:v>
                </c:pt>
                <c:pt idx="70">
                  <c:v>16.8</c:v>
                </c:pt>
                <c:pt idx="71">
                  <c:v>16.8</c:v>
                </c:pt>
                <c:pt idx="72">
                  <c:v>16.8</c:v>
                </c:pt>
                <c:pt idx="73">
                  <c:v>16.8</c:v>
                </c:pt>
                <c:pt idx="74">
                  <c:v>16.8</c:v>
                </c:pt>
                <c:pt idx="75">
                  <c:v>16.8</c:v>
                </c:pt>
                <c:pt idx="76">
                  <c:v>16.8</c:v>
                </c:pt>
                <c:pt idx="77">
                  <c:v>16.8</c:v>
                </c:pt>
                <c:pt idx="78">
                  <c:v>16.8</c:v>
                </c:pt>
                <c:pt idx="79">
                  <c:v>16.8</c:v>
                </c:pt>
                <c:pt idx="80">
                  <c:v>16.8</c:v>
                </c:pt>
                <c:pt idx="81">
                  <c:v>16.8</c:v>
                </c:pt>
                <c:pt idx="82">
                  <c:v>16.8</c:v>
                </c:pt>
                <c:pt idx="83">
                  <c:v>16.8</c:v>
                </c:pt>
                <c:pt idx="84">
                  <c:v>12.45</c:v>
                </c:pt>
                <c:pt idx="85">
                  <c:v>12.45</c:v>
                </c:pt>
                <c:pt idx="86">
                  <c:v>12.97</c:v>
                </c:pt>
                <c:pt idx="87">
                  <c:v>12.97</c:v>
                </c:pt>
                <c:pt idx="88">
                  <c:v>12.97</c:v>
                </c:pt>
                <c:pt idx="89">
                  <c:v>12.97</c:v>
                </c:pt>
                <c:pt idx="90">
                  <c:v>12.97</c:v>
                </c:pt>
                <c:pt idx="91">
                  <c:v>12.97</c:v>
                </c:pt>
                <c:pt idx="92">
                  <c:v>12.97</c:v>
                </c:pt>
                <c:pt idx="93">
                  <c:v>13.48</c:v>
                </c:pt>
                <c:pt idx="94">
                  <c:v>13.48</c:v>
                </c:pt>
                <c:pt idx="95">
                  <c:v>13.48</c:v>
                </c:pt>
                <c:pt idx="96">
                  <c:v>13.48</c:v>
                </c:pt>
                <c:pt idx="97">
                  <c:v>13.48</c:v>
                </c:pt>
                <c:pt idx="98">
                  <c:v>13.48</c:v>
                </c:pt>
                <c:pt idx="99">
                  <c:v>14</c:v>
                </c:pt>
                <c:pt idx="100">
                  <c:v>14</c:v>
                </c:pt>
                <c:pt idx="101">
                  <c:v>14</c:v>
                </c:pt>
                <c:pt idx="102">
                  <c:v>14</c:v>
                </c:pt>
                <c:pt idx="103">
                  <c:v>14</c:v>
                </c:pt>
                <c:pt idx="104">
                  <c:v>14</c:v>
                </c:pt>
                <c:pt idx="105">
                  <c:v>14</c:v>
                </c:pt>
                <c:pt idx="106">
                  <c:v>14</c:v>
                </c:pt>
                <c:pt idx="107">
                  <c:v>16.8</c:v>
                </c:pt>
                <c:pt idx="108">
                  <c:v>16.8</c:v>
                </c:pt>
                <c:pt idx="109">
                  <c:v>16.8</c:v>
                </c:pt>
                <c:pt idx="110">
                  <c:v>16.8</c:v>
                </c:pt>
                <c:pt idx="111">
                  <c:v>16.8</c:v>
                </c:pt>
                <c:pt idx="112">
                  <c:v>16.8</c:v>
                </c:pt>
                <c:pt idx="113">
                  <c:v>16.8</c:v>
                </c:pt>
                <c:pt idx="114">
                  <c:v>16.8</c:v>
                </c:pt>
                <c:pt idx="115">
                  <c:v>16.8</c:v>
                </c:pt>
                <c:pt idx="116">
                  <c:v>18</c:v>
                </c:pt>
                <c:pt idx="117">
                  <c:v>18</c:v>
                </c:pt>
                <c:pt idx="118">
                  <c:v>18</c:v>
                </c:pt>
                <c:pt idx="119">
                  <c:v>18</c:v>
                </c:pt>
                <c:pt idx="120">
                  <c:v>17.8</c:v>
                </c:pt>
                <c:pt idx="121">
                  <c:v>17.8</c:v>
                </c:pt>
                <c:pt idx="122">
                  <c:v>17.8</c:v>
                </c:pt>
                <c:pt idx="123">
                  <c:v>17.8</c:v>
                </c:pt>
                <c:pt idx="124">
                  <c:v>17.8</c:v>
                </c:pt>
                <c:pt idx="125">
                  <c:v>17.8</c:v>
                </c:pt>
                <c:pt idx="126">
                  <c:v>17.8</c:v>
                </c:pt>
                <c:pt idx="127">
                  <c:v>17.8</c:v>
                </c:pt>
                <c:pt idx="128">
                  <c:v>17.8</c:v>
                </c:pt>
                <c:pt idx="129">
                  <c:v>17.8</c:v>
                </c:pt>
                <c:pt idx="130">
                  <c:v>17.8</c:v>
                </c:pt>
                <c:pt idx="131">
                  <c:v>17.8</c:v>
                </c:pt>
                <c:pt idx="132">
                  <c:v>17.8</c:v>
                </c:pt>
                <c:pt idx="133">
                  <c:v>17.8</c:v>
                </c:pt>
                <c:pt idx="134">
                  <c:v>17.8</c:v>
                </c:pt>
                <c:pt idx="135">
                  <c:v>17.8</c:v>
                </c:pt>
                <c:pt idx="136">
                  <c:v>17.8</c:v>
                </c:pt>
                <c:pt idx="137">
                  <c:v>17.8</c:v>
                </c:pt>
                <c:pt idx="138">
                  <c:v>17.8</c:v>
                </c:pt>
                <c:pt idx="139">
                  <c:v>17.8</c:v>
                </c:pt>
                <c:pt idx="140">
                  <c:v>17.8</c:v>
                </c:pt>
                <c:pt idx="141">
                  <c:v>17.8</c:v>
                </c:pt>
                <c:pt idx="142">
                  <c:v>17.8</c:v>
                </c:pt>
                <c:pt idx="143">
                  <c:v>17.8</c:v>
                </c:pt>
                <c:pt idx="144">
                  <c:v>17.8</c:v>
                </c:pt>
                <c:pt idx="145">
                  <c:v>17.8</c:v>
                </c:pt>
                <c:pt idx="146">
                  <c:v>17.8</c:v>
                </c:pt>
                <c:pt idx="147">
                  <c:v>17.8</c:v>
                </c:pt>
                <c:pt idx="148">
                  <c:v>17.8</c:v>
                </c:pt>
                <c:pt idx="149">
                  <c:v>17.8</c:v>
                </c:pt>
                <c:pt idx="150">
                  <c:v>17.8</c:v>
                </c:pt>
                <c:pt idx="151">
                  <c:v>17.8</c:v>
                </c:pt>
                <c:pt idx="152">
                  <c:v>17.8</c:v>
                </c:pt>
                <c:pt idx="153">
                  <c:v>17.8</c:v>
                </c:pt>
                <c:pt idx="154">
                  <c:v>17.8</c:v>
                </c:pt>
                <c:pt idx="155">
                  <c:v>17.8</c:v>
                </c:pt>
                <c:pt idx="156">
                  <c:v>17.8</c:v>
                </c:pt>
                <c:pt idx="157">
                  <c:v>17.8</c:v>
                </c:pt>
                <c:pt idx="158">
                  <c:v>17.8</c:v>
                </c:pt>
                <c:pt idx="159">
                  <c:v>17.8</c:v>
                </c:pt>
                <c:pt idx="160">
                  <c:v>17.8</c:v>
                </c:pt>
                <c:pt idx="161">
                  <c:v>17.8</c:v>
                </c:pt>
                <c:pt idx="162">
                  <c:v>17.8</c:v>
                </c:pt>
                <c:pt idx="163">
                  <c:v>17.8</c:v>
                </c:pt>
                <c:pt idx="164">
                  <c:v>17.8</c:v>
                </c:pt>
                <c:pt idx="165">
                  <c:v>17.8</c:v>
                </c:pt>
                <c:pt idx="166">
                  <c:v>17.8</c:v>
                </c:pt>
                <c:pt idx="167">
                  <c:v>17.8</c:v>
                </c:pt>
                <c:pt idx="168">
                  <c:v>17.8</c:v>
                </c:pt>
                <c:pt idx="169">
                  <c:v>17.8</c:v>
                </c:pt>
                <c:pt idx="170">
                  <c:v>15.59</c:v>
                </c:pt>
                <c:pt idx="171">
                  <c:v>15.59</c:v>
                </c:pt>
                <c:pt idx="172">
                  <c:v>15.92</c:v>
                </c:pt>
                <c:pt idx="173">
                  <c:v>15.92</c:v>
                </c:pt>
                <c:pt idx="174">
                  <c:v>15.92</c:v>
                </c:pt>
                <c:pt idx="175">
                  <c:v>16.25</c:v>
                </c:pt>
                <c:pt idx="176">
                  <c:v>16.25</c:v>
                </c:pt>
                <c:pt idx="177">
                  <c:v>16.579999999999998</c:v>
                </c:pt>
                <c:pt idx="178">
                  <c:v>16.579999999999998</c:v>
                </c:pt>
                <c:pt idx="179">
                  <c:v>16.940000000000001</c:v>
                </c:pt>
                <c:pt idx="180">
                  <c:v>16.940000000000001</c:v>
                </c:pt>
                <c:pt idx="181">
                  <c:v>17.05</c:v>
                </c:pt>
                <c:pt idx="182">
                  <c:v>17.05</c:v>
                </c:pt>
                <c:pt idx="183">
                  <c:v>17.05</c:v>
                </c:pt>
                <c:pt idx="184">
                  <c:v>17.05</c:v>
                </c:pt>
                <c:pt idx="185">
                  <c:v>17.11</c:v>
                </c:pt>
                <c:pt idx="186">
                  <c:v>17.11</c:v>
                </c:pt>
                <c:pt idx="187">
                  <c:v>17.11</c:v>
                </c:pt>
                <c:pt idx="188">
                  <c:v>17.11</c:v>
                </c:pt>
                <c:pt idx="189">
                  <c:v>17.18</c:v>
                </c:pt>
                <c:pt idx="190">
                  <c:v>17.18</c:v>
                </c:pt>
                <c:pt idx="191">
                  <c:v>17.18</c:v>
                </c:pt>
                <c:pt idx="192">
                  <c:v>17.239999999999998</c:v>
                </c:pt>
                <c:pt idx="193">
                  <c:v>17.239999999999998</c:v>
                </c:pt>
                <c:pt idx="194">
                  <c:v>17.239999999999998</c:v>
                </c:pt>
                <c:pt idx="195">
                  <c:v>17.32</c:v>
                </c:pt>
                <c:pt idx="196">
                  <c:v>17.32</c:v>
                </c:pt>
                <c:pt idx="197">
                  <c:v>17.32</c:v>
                </c:pt>
                <c:pt idx="198">
                  <c:v>17.32</c:v>
                </c:pt>
                <c:pt idx="199">
                  <c:v>17.37</c:v>
                </c:pt>
                <c:pt idx="200">
                  <c:v>17.37</c:v>
                </c:pt>
                <c:pt idx="201">
                  <c:v>17.37</c:v>
                </c:pt>
                <c:pt idx="202">
                  <c:v>17.37</c:v>
                </c:pt>
                <c:pt idx="203">
                  <c:v>17.440000000000001</c:v>
                </c:pt>
                <c:pt idx="204">
                  <c:v>17.440000000000001</c:v>
                </c:pt>
                <c:pt idx="205">
                  <c:v>17.440000000000001</c:v>
                </c:pt>
                <c:pt idx="206">
                  <c:v>17.440000000000001</c:v>
                </c:pt>
                <c:pt idx="207">
                  <c:v>17.5</c:v>
                </c:pt>
                <c:pt idx="208">
                  <c:v>17.5</c:v>
                </c:pt>
                <c:pt idx="209">
                  <c:v>17.5</c:v>
                </c:pt>
                <c:pt idx="210">
                  <c:v>17.5</c:v>
                </c:pt>
                <c:pt idx="211">
                  <c:v>17.8</c:v>
                </c:pt>
                <c:pt idx="212">
                  <c:v>17.8</c:v>
                </c:pt>
                <c:pt idx="213">
                  <c:v>17.8</c:v>
                </c:pt>
                <c:pt idx="214">
                  <c:v>17.8</c:v>
                </c:pt>
                <c:pt idx="215">
                  <c:v>17.8</c:v>
                </c:pt>
                <c:pt idx="216">
                  <c:v>17.8</c:v>
                </c:pt>
                <c:pt idx="217">
                  <c:v>17.8</c:v>
                </c:pt>
                <c:pt idx="218">
                  <c:v>17.8</c:v>
                </c:pt>
                <c:pt idx="219">
                  <c:v>17.8</c:v>
                </c:pt>
                <c:pt idx="220">
                  <c:v>17.8</c:v>
                </c:pt>
                <c:pt idx="221">
                  <c:v>17.8</c:v>
                </c:pt>
                <c:pt idx="222">
                  <c:v>17.8</c:v>
                </c:pt>
                <c:pt idx="223">
                  <c:v>17.8</c:v>
                </c:pt>
                <c:pt idx="224">
                  <c:v>17.8</c:v>
                </c:pt>
                <c:pt idx="225">
                  <c:v>17.8</c:v>
                </c:pt>
                <c:pt idx="226">
                  <c:v>17.8</c:v>
                </c:pt>
                <c:pt idx="227">
                  <c:v>12.45</c:v>
                </c:pt>
                <c:pt idx="228">
                  <c:v>12.45</c:v>
                </c:pt>
                <c:pt idx="229">
                  <c:v>12.45</c:v>
                </c:pt>
                <c:pt idx="230">
                  <c:v>12.45</c:v>
                </c:pt>
                <c:pt idx="231">
                  <c:v>12.45</c:v>
                </c:pt>
                <c:pt idx="232">
                  <c:v>12.45</c:v>
                </c:pt>
                <c:pt idx="233">
                  <c:v>12.97</c:v>
                </c:pt>
                <c:pt idx="234">
                  <c:v>12.97</c:v>
                </c:pt>
                <c:pt idx="235">
                  <c:v>12.97</c:v>
                </c:pt>
                <c:pt idx="236">
                  <c:v>12.97</c:v>
                </c:pt>
                <c:pt idx="237">
                  <c:v>12.97</c:v>
                </c:pt>
                <c:pt idx="238">
                  <c:v>12.97</c:v>
                </c:pt>
                <c:pt idx="239">
                  <c:v>12.97</c:v>
                </c:pt>
                <c:pt idx="240">
                  <c:v>13.48</c:v>
                </c:pt>
                <c:pt idx="241">
                  <c:v>13.48</c:v>
                </c:pt>
                <c:pt idx="242">
                  <c:v>13.48</c:v>
                </c:pt>
                <c:pt idx="243">
                  <c:v>13.48</c:v>
                </c:pt>
                <c:pt idx="244">
                  <c:v>13.48</c:v>
                </c:pt>
                <c:pt idx="245">
                  <c:v>13.48</c:v>
                </c:pt>
                <c:pt idx="246">
                  <c:v>14</c:v>
                </c:pt>
                <c:pt idx="247">
                  <c:v>14</c:v>
                </c:pt>
                <c:pt idx="248">
                  <c:v>14</c:v>
                </c:pt>
                <c:pt idx="249">
                  <c:v>14</c:v>
                </c:pt>
                <c:pt idx="250">
                  <c:v>14</c:v>
                </c:pt>
                <c:pt idx="251">
                  <c:v>14</c:v>
                </c:pt>
                <c:pt idx="252">
                  <c:v>16.8</c:v>
                </c:pt>
                <c:pt idx="253">
                  <c:v>16.8</c:v>
                </c:pt>
                <c:pt idx="254">
                  <c:v>16.8</c:v>
                </c:pt>
                <c:pt idx="255">
                  <c:v>16.8</c:v>
                </c:pt>
                <c:pt idx="256">
                  <c:v>16.8</c:v>
                </c:pt>
                <c:pt idx="257">
                  <c:v>18</c:v>
                </c:pt>
                <c:pt idx="258">
                  <c:v>18</c:v>
                </c:pt>
                <c:pt idx="259">
                  <c:v>18</c:v>
                </c:pt>
                <c:pt idx="260">
                  <c:v>18</c:v>
                </c:pt>
                <c:pt idx="261">
                  <c:v>17.8</c:v>
                </c:pt>
                <c:pt idx="262">
                  <c:v>17.8</c:v>
                </c:pt>
                <c:pt idx="263">
                  <c:v>17.8</c:v>
                </c:pt>
                <c:pt idx="264">
                  <c:v>17.8</c:v>
                </c:pt>
                <c:pt idx="265">
                  <c:v>17.5</c:v>
                </c:pt>
                <c:pt idx="266">
                  <c:v>17.440000000000001</c:v>
                </c:pt>
                <c:pt idx="267">
                  <c:v>17.440000000000001</c:v>
                </c:pt>
                <c:pt idx="268">
                  <c:v>17.37</c:v>
                </c:pt>
                <c:pt idx="269">
                  <c:v>17.37</c:v>
                </c:pt>
                <c:pt idx="270">
                  <c:v>17.32</c:v>
                </c:pt>
                <c:pt idx="271">
                  <c:v>17.239999999999998</c:v>
                </c:pt>
                <c:pt idx="272">
                  <c:v>17.18</c:v>
                </c:pt>
                <c:pt idx="273">
                  <c:v>17.18</c:v>
                </c:pt>
                <c:pt idx="274">
                  <c:v>17.18</c:v>
                </c:pt>
                <c:pt idx="275">
                  <c:v>17.05</c:v>
                </c:pt>
                <c:pt idx="276">
                  <c:v>17.05</c:v>
                </c:pt>
                <c:pt idx="277">
                  <c:v>17.11</c:v>
                </c:pt>
                <c:pt idx="278">
                  <c:v>17.11</c:v>
                </c:pt>
                <c:pt idx="279">
                  <c:v>17.18</c:v>
                </c:pt>
                <c:pt idx="280">
                  <c:v>17.239999999999998</c:v>
                </c:pt>
                <c:pt idx="281">
                  <c:v>17.239999999999998</c:v>
                </c:pt>
                <c:pt idx="282">
                  <c:v>17.32</c:v>
                </c:pt>
                <c:pt idx="283">
                  <c:v>17.32</c:v>
                </c:pt>
                <c:pt idx="284">
                  <c:v>17.32</c:v>
                </c:pt>
                <c:pt idx="285">
                  <c:v>17.37</c:v>
                </c:pt>
                <c:pt idx="286">
                  <c:v>17.37</c:v>
                </c:pt>
                <c:pt idx="287">
                  <c:v>17.440000000000001</c:v>
                </c:pt>
                <c:pt idx="288">
                  <c:v>17.440000000000001</c:v>
                </c:pt>
                <c:pt idx="289">
                  <c:v>17.5</c:v>
                </c:pt>
                <c:pt idx="290">
                  <c:v>17.8</c:v>
                </c:pt>
                <c:pt idx="291">
                  <c:v>17.8</c:v>
                </c:pt>
                <c:pt idx="292">
                  <c:v>18</c:v>
                </c:pt>
                <c:pt idx="293">
                  <c:v>18</c:v>
                </c:pt>
                <c:pt idx="294">
                  <c:v>16.8</c:v>
                </c:pt>
                <c:pt idx="295">
                  <c:v>15.92</c:v>
                </c:pt>
                <c:pt idx="296">
                  <c:v>15.92</c:v>
                </c:pt>
                <c:pt idx="297">
                  <c:v>16.25</c:v>
                </c:pt>
                <c:pt idx="298">
                  <c:v>16.25</c:v>
                </c:pt>
                <c:pt idx="299">
                  <c:v>16.25</c:v>
                </c:pt>
                <c:pt idx="300">
                  <c:v>16.579999999999998</c:v>
                </c:pt>
                <c:pt idx="301">
                  <c:v>16.579999999999998</c:v>
                </c:pt>
                <c:pt idx="302">
                  <c:v>16.579999999999998</c:v>
                </c:pt>
                <c:pt idx="303">
                  <c:v>16.940000000000001</c:v>
                </c:pt>
                <c:pt idx="304">
                  <c:v>16.940000000000001</c:v>
                </c:pt>
                <c:pt idx="305">
                  <c:v>16.940000000000001</c:v>
                </c:pt>
                <c:pt idx="306">
                  <c:v>17.05</c:v>
                </c:pt>
                <c:pt idx="307">
                  <c:v>17.05</c:v>
                </c:pt>
                <c:pt idx="308">
                  <c:v>17.11</c:v>
                </c:pt>
                <c:pt idx="309">
                  <c:v>17.11</c:v>
                </c:pt>
                <c:pt idx="310">
                  <c:v>17.11</c:v>
                </c:pt>
                <c:pt idx="311">
                  <c:v>17.11</c:v>
                </c:pt>
                <c:pt idx="312">
                  <c:v>17.18</c:v>
                </c:pt>
                <c:pt idx="313">
                  <c:v>17.18</c:v>
                </c:pt>
                <c:pt idx="314">
                  <c:v>17.18</c:v>
                </c:pt>
              </c:numCache>
            </c:numRef>
          </c:val>
        </c:ser>
        <c:ser>
          <c:idx val="1"/>
          <c:order val="1"/>
          <c:tx>
            <c:strRef>
              <c:f>Simulation!$J$4</c:f>
              <c:strCache>
                <c:ptCount val="1"/>
                <c:pt idx="0">
                  <c:v>Torque(Nm)</c:v>
                </c:pt>
              </c:strCache>
            </c:strRef>
          </c:tx>
          <c:spPr>
            <a:ln w="34925"/>
          </c:spPr>
          <c:marker>
            <c:symbol val="none"/>
          </c:marker>
          <c:cat>
            <c:numRef>
              <c:f>Simulation!$O$5:$O$319</c:f>
              <c:numCache>
                <c:formatCode>General</c:formatCode>
                <c:ptCount val="315"/>
                <c:pt idx="0">
                  <c:v>0</c:v>
                </c:pt>
                <c:pt idx="1">
                  <c:v>1.5739692661133495</c:v>
                </c:pt>
                <c:pt idx="2">
                  <c:v>2.687374443640091</c:v>
                </c:pt>
                <c:pt idx="3">
                  <c:v>3.5968259528392506</c:v>
                </c:pt>
                <c:pt idx="4">
                  <c:v>4.3847458635645769</c:v>
                </c:pt>
                <c:pt idx="5">
                  <c:v>5.0897617753044599</c:v>
                </c:pt>
                <c:pt idx="6">
                  <c:v>5.7336049564232479</c:v>
                </c:pt>
                <c:pt idx="7">
                  <c:v>6.3299237062167943</c:v>
                </c:pt>
                <c:pt idx="8">
                  <c:v>6.8879494116925732</c:v>
                </c:pt>
                <c:pt idx="9">
                  <c:v>7.414269095291675</c:v>
                </c:pt>
                <c:pt idx="10">
                  <c:v>7.9137771433194679</c:v>
                </c:pt>
                <c:pt idx="11">
                  <c:v>8.3902275750464277</c:v>
                </c:pt>
                <c:pt idx="12">
                  <c:v>8.8465743402385542</c:v>
                </c:pt>
                <c:pt idx="13">
                  <c:v>9.2851912894378952</c:v>
                </c:pt>
                <c:pt idx="14">
                  <c:v>9.7080200394773932</c:v>
                </c:pt>
                <c:pt idx="15">
                  <c:v>10.116672664776249</c:v>
                </c:pt>
                <c:pt idx="16">
                  <c:v>10.51250501208871</c:v>
                </c:pt>
                <c:pt idx="17">
                  <c:v>10.896670296925555</c:v>
                </c:pt>
                <c:pt idx="18">
                  <c:v>11.270159098454965</c:v>
                </c:pt>
                <c:pt idx="19">
                  <c:v>11.63382974673268</c:v>
                </c:pt>
                <c:pt idx="20">
                  <c:v>11.988431780303211</c:v>
                </c:pt>
                <c:pt idx="21">
                  <c:v>12.334624312510991</c:v>
                </c:pt>
                <c:pt idx="22">
                  <c:v>12.672990594993271</c:v>
                </c:pt>
                <c:pt idx="23">
                  <c:v>13.004049698396306</c:v>
                </c:pt>
                <c:pt idx="24">
                  <c:v>13.328265978368163</c:v>
                </c:pt>
                <c:pt idx="25">
                  <c:v>13.646056819311351</c:v>
                </c:pt>
                <c:pt idx="26">
                  <c:v>13.95779902398141</c:v>
                </c:pt>
                <c:pt idx="27">
                  <c:v>14.263834127521241</c:v>
                </c:pt>
                <c:pt idx="28">
                  <c:v>14.56447284922776</c:v>
                </c:pt>
                <c:pt idx="29">
                  <c:v>14.859998847097268</c:v>
                </c:pt>
                <c:pt idx="30">
                  <c:v>15.150671904116287</c:v>
                </c:pt>
                <c:pt idx="31">
                  <c:v>15.436730647989583</c:v>
                </c:pt>
                <c:pt idx="32">
                  <c:v>15.718394885168149</c:v>
                </c:pt>
                <c:pt idx="33">
                  <c:v>15.995867613983272</c:v>
                </c:pt>
                <c:pt idx="34">
                  <c:v>16.269336769205932</c:v>
                </c:pt>
                <c:pt idx="35">
                  <c:v>16.538976740560109</c:v>
                </c:pt>
                <c:pt idx="36">
                  <c:v>16.804949699982746</c:v>
                </c:pt>
                <c:pt idx="37">
                  <c:v>17.067406766266725</c:v>
                </c:pt>
                <c:pt idx="38">
                  <c:v>17.326489030790366</c:v>
                </c:pt>
                <c:pt idx="39">
                  <c:v>17.582328464059319</c:v>
                </c:pt>
                <c:pt idx="40">
                  <c:v>17.835048719559762</c:v>
                </c:pt>
                <c:pt idx="41">
                  <c:v>18.084765848789072</c:v>
                </c:pt>
                <c:pt idx="42">
                  <c:v>18.331588939170508</c:v>
                </c:pt>
                <c:pt idx="43">
                  <c:v>18.575620684777778</c:v>
                </c:pt>
                <c:pt idx="44">
                  <c:v>18.816957898320112</c:v>
                </c:pt>
                <c:pt idx="45">
                  <c:v>19.055691971610546</c:v>
                </c:pt>
                <c:pt idx="46">
                  <c:v>19.291909290713541</c:v>
                </c:pt>
                <c:pt idx="47">
                  <c:v>19.525691611106215</c:v>
                </c:pt>
                <c:pt idx="48">
                  <c:v>19.757116397461129</c:v>
                </c:pt>
                <c:pt idx="49">
                  <c:v>19.986257132043885</c:v>
                </c:pt>
                <c:pt idx="50">
                  <c:v>20.213183595196895</c:v>
                </c:pt>
                <c:pt idx="51">
                  <c:v>20.437962120935879</c:v>
                </c:pt>
                <c:pt idx="52">
                  <c:v>20.660655830305416</c:v>
                </c:pt>
                <c:pt idx="53">
                  <c:v>20.881324844813573</c:v>
                </c:pt>
                <c:pt idx="54">
                  <c:v>21.100026481985079</c:v>
                </c:pt>
                <c:pt idx="55">
                  <c:v>21.316815434830183</c:v>
                </c:pt>
                <c:pt idx="56">
                  <c:v>21.531743936816795</c:v>
                </c:pt>
                <c:pt idx="57">
                  <c:v>21.744861913751599</c:v>
                </c:pt>
                <c:pt idx="58">
                  <c:v>21.956217123817481</c:v>
                </c:pt>
                <c:pt idx="59">
                  <c:v>22.165855286876656</c:v>
                </c:pt>
                <c:pt idx="60">
                  <c:v>22.37382020402806</c:v>
                </c:pt>
                <c:pt idx="61">
                  <c:v>22.580153868301824</c:v>
                </c:pt>
                <c:pt idx="62">
                  <c:v>22.786487532575588</c:v>
                </c:pt>
                <c:pt idx="63">
                  <c:v>22.992821196849352</c:v>
                </c:pt>
                <c:pt idx="64">
                  <c:v>23.199154861123116</c:v>
                </c:pt>
                <c:pt idx="65">
                  <c:v>23.40548852539688</c:v>
                </c:pt>
                <c:pt idx="66">
                  <c:v>23.603716472196488</c:v>
                </c:pt>
                <c:pt idx="67">
                  <c:v>23.794740289614957</c:v>
                </c:pt>
                <c:pt idx="68">
                  <c:v>23.979306303691896</c:v>
                </c:pt>
                <c:pt idx="69">
                  <c:v>24.158040594196915</c:v>
                </c:pt>
                <c:pt idx="70">
                  <c:v>24.331474471188677</c:v>
                </c:pt>
                <c:pt idx="71">
                  <c:v>24.500063407563001</c:v>
                </c:pt>
                <c:pt idx="72">
                  <c:v>24.664201371263079</c:v>
                </c:pt>
                <c:pt idx="73">
                  <c:v>24.824231853459594</c:v>
                </c:pt>
                <c:pt idx="74">
                  <c:v>24.980456478321866</c:v>
                </c:pt>
                <c:pt idx="75">
                  <c:v>25.133141812476051</c:v>
                </c:pt>
                <c:pt idx="76">
                  <c:v>25.282524813832008</c:v>
                </c:pt>
                <c:pt idx="77">
                  <c:v>25.428817237945516</c:v>
                </c:pt>
                <c:pt idx="78">
                  <c:v>25.572209235738761</c:v>
                </c:pt>
                <c:pt idx="79">
                  <c:v>25.712872316847321</c:v>
                </c:pt>
                <c:pt idx="80">
                  <c:v>25.850961810150043</c:v>
                </c:pt>
                <c:pt idx="81">
                  <c:v>25.986618921966713</c:v>
                </c:pt>
                <c:pt idx="82">
                  <c:v>26.119972469507921</c:v>
                </c:pt>
                <c:pt idx="83">
                  <c:v>26.251140350079066</c:v>
                </c:pt>
                <c:pt idx="84">
                  <c:v>26.380201469464552</c:v>
                </c:pt>
                <c:pt idx="85">
                  <c:v>26.507258251539461</c:v>
                </c:pt>
                <c:pt idx="86">
                  <c:v>26.632405132822306</c:v>
                </c:pt>
                <c:pt idx="87">
                  <c:v>26.755729407453043</c:v>
                </c:pt>
                <c:pt idx="88">
                  <c:v>26.877311960639695</c:v>
                </c:pt>
                <c:pt idx="89">
                  <c:v>26.997227908052182</c:v>
                </c:pt>
                <c:pt idx="90">
                  <c:v>27.115547155494518</c:v>
                </c:pt>
                <c:pt idx="91">
                  <c:v>27.23233489067551</c:v>
                </c:pt>
                <c:pt idx="92">
                  <c:v>27.347652016881312</c:v>
                </c:pt>
                <c:pt idx="93">
                  <c:v>27.461555536723367</c:v>
                </c:pt>
                <c:pt idx="94">
                  <c:v>27.574098892810238</c:v>
                </c:pt>
                <c:pt idx="95">
                  <c:v>27.685332271108649</c:v>
                </c:pt>
                <c:pt idx="96">
                  <c:v>27.795302871868827</c:v>
                </c:pt>
                <c:pt idx="97">
                  <c:v>27.904055152253967</c:v>
                </c:pt>
                <c:pt idx="98">
                  <c:v>28.011631044203366</c:v>
                </c:pt>
                <c:pt idx="99">
                  <c:v>28.118070150550064</c:v>
                </c:pt>
                <c:pt idx="100">
                  <c:v>28.223409921987837</c:v>
                </c:pt>
                <c:pt idx="101">
                  <c:v>28.327685817124237</c:v>
                </c:pt>
                <c:pt idx="102">
                  <c:v>28.430931447554102</c:v>
                </c:pt>
                <c:pt idx="103">
                  <c:v>28.533178709631841</c:v>
                </c:pt>
                <c:pt idx="104">
                  <c:v>28.634457904403018</c:v>
                </c:pt>
                <c:pt idx="105">
                  <c:v>28.734797846969965</c:v>
                </c:pt>
                <c:pt idx="106">
                  <c:v>28.834225966407082</c:v>
                </c:pt>
                <c:pt idx="107">
                  <c:v>28.932768397204917</c:v>
                </c:pt>
                <c:pt idx="108">
                  <c:v>29.030450063104453</c:v>
                </c:pt>
                <c:pt idx="109">
                  <c:v>29.127294754081394</c:v>
                </c:pt>
                <c:pt idx="110">
                  <c:v>29.223325197152196</c:v>
                </c:pt>
                <c:pt idx="111">
                  <c:v>29.318557591261612</c:v>
                </c:pt>
                <c:pt idx="112">
                  <c:v>29.413013016835464</c:v>
                </c:pt>
                <c:pt idx="113">
                  <c:v>29.506711654040085</c:v>
                </c:pt>
                <c:pt idx="114">
                  <c:v>29.599672835616563</c:v>
                </c:pt>
                <c:pt idx="115">
                  <c:v>29.691915095796176</c:v>
                </c:pt>
                <c:pt idx="116">
                  <c:v>29.783456215646446</c:v>
                </c:pt>
                <c:pt idx="117">
                  <c:v>29.874313265160971</c:v>
                </c:pt>
                <c:pt idx="118">
                  <c:v>29.964502642374292</c:v>
                </c:pt>
                <c:pt idx="119">
                  <c:v>30.054040109754737</c:v>
                </c:pt>
                <c:pt idx="120">
                  <c:v>30.142940828103196</c:v>
                </c:pt>
                <c:pt idx="121">
                  <c:v>30.231219388163527</c:v>
                </c:pt>
                <c:pt idx="122">
                  <c:v>30.318889840130584</c:v>
                </c:pt>
                <c:pt idx="123">
                  <c:v>30.405965721224202</c:v>
                </c:pt>
                <c:pt idx="124">
                  <c:v>30.492460081481852</c:v>
                </c:pt>
                <c:pt idx="125">
                  <c:v>30.578385507908521</c:v>
                </c:pt>
                <c:pt idx="126">
                  <c:v>30.663754147109952</c:v>
                </c:pt>
                <c:pt idx="127">
                  <c:v>30.748577726523951</c:v>
                </c:pt>
                <c:pt idx="128">
                  <c:v>30.832867574354488</c:v>
                </c:pt>
                <c:pt idx="129">
                  <c:v>30.916634638304075</c:v>
                </c:pt>
                <c:pt idx="130">
                  <c:v>30.999889503191824</c:v>
                </c:pt>
                <c:pt idx="131">
                  <c:v>31.082642407537087</c:v>
                </c:pt>
                <c:pt idx="132">
                  <c:v>31.164903259181937</c:v>
                </c:pt>
                <c:pt idx="133">
                  <c:v>31.246681650019685</c:v>
                </c:pt>
                <c:pt idx="134">
                  <c:v>31.327986869891173</c:v>
                </c:pt>
                <c:pt idx="135">
                  <c:v>31.408827919705555</c:v>
                </c:pt>
                <c:pt idx="136">
                  <c:v>31.489213523837812</c:v>
                </c:pt>
                <c:pt idx="137">
                  <c:v>31.569152141851134</c:v>
                </c:pt>
                <c:pt idx="138">
                  <c:v>31.648651979588539</c:v>
                </c:pt>
                <c:pt idx="139">
                  <c:v>31.727720999674702</c:v>
                </c:pt>
                <c:pt idx="140">
                  <c:v>31.806366931465874</c:v>
                </c:pt>
                <c:pt idx="141">
                  <c:v>31.884597280482932</c:v>
                </c:pt>
                <c:pt idx="142">
                  <c:v>31.962419337359961</c:v>
                </c:pt>
                <c:pt idx="143">
                  <c:v>32.039840186338445</c:v>
                </c:pt>
                <c:pt idx="144">
                  <c:v>32.116866713334943</c:v>
                </c:pt>
                <c:pt idx="145">
                  <c:v>32.19350561360811</c:v>
                </c:pt>
                <c:pt idx="146">
                  <c:v>32.269763399049125</c:v>
                </c:pt>
                <c:pt idx="147">
                  <c:v>32.345646405117876</c:v>
                </c:pt>
                <c:pt idx="148">
                  <c:v>32.421160797445715</c:v>
                </c:pt>
                <c:pt idx="149">
                  <c:v>32.496312578124119</c:v>
                </c:pt>
                <c:pt idx="150">
                  <c:v>32.571107591697398</c:v>
                </c:pt>
                <c:pt idx="151">
                  <c:v>32.64555153087619</c:v>
                </c:pt>
                <c:pt idx="152">
                  <c:v>32.719649941987569</c:v>
                </c:pt>
                <c:pt idx="153">
                  <c:v>32.793408230176404</c:v>
                </c:pt>
                <c:pt idx="154">
                  <c:v>32.867057113587919</c:v>
                </c:pt>
                <c:pt idx="155">
                  <c:v>32.940705996999434</c:v>
                </c:pt>
                <c:pt idx="156">
                  <c:v>33.014354880410949</c:v>
                </c:pt>
                <c:pt idx="157">
                  <c:v>33.088003763822464</c:v>
                </c:pt>
                <c:pt idx="158">
                  <c:v>33.161652647233979</c:v>
                </c:pt>
                <c:pt idx="159">
                  <c:v>33.235301530645494</c:v>
                </c:pt>
                <c:pt idx="160">
                  <c:v>33.308950414057009</c:v>
                </c:pt>
                <c:pt idx="161">
                  <c:v>33.382599297468524</c:v>
                </c:pt>
                <c:pt idx="162">
                  <c:v>33.456248180880038</c:v>
                </c:pt>
                <c:pt idx="163">
                  <c:v>33.529897064291553</c:v>
                </c:pt>
                <c:pt idx="164">
                  <c:v>33.603545947703068</c:v>
                </c:pt>
                <c:pt idx="165">
                  <c:v>33.677194831114583</c:v>
                </c:pt>
                <c:pt idx="166">
                  <c:v>33.750843714526098</c:v>
                </c:pt>
                <c:pt idx="167">
                  <c:v>33.824492597937613</c:v>
                </c:pt>
                <c:pt idx="168">
                  <c:v>33.898141481349128</c:v>
                </c:pt>
                <c:pt idx="169">
                  <c:v>33.971790364760643</c:v>
                </c:pt>
                <c:pt idx="170">
                  <c:v>34.045439248172158</c:v>
                </c:pt>
                <c:pt idx="171">
                  <c:v>34.119088131583673</c:v>
                </c:pt>
                <c:pt idx="172">
                  <c:v>34.192737014995188</c:v>
                </c:pt>
                <c:pt idx="173">
                  <c:v>34.266385898406703</c:v>
                </c:pt>
                <c:pt idx="174">
                  <c:v>34.340466490468039</c:v>
                </c:pt>
                <c:pt idx="175">
                  <c:v>34.414987333505771</c:v>
                </c:pt>
                <c:pt idx="176">
                  <c:v>34.489957248959136</c:v>
                </c:pt>
                <c:pt idx="177">
                  <c:v>34.565385350278945</c:v>
                </c:pt>
                <c:pt idx="178">
                  <c:v>34.641281056602431</c:v>
                </c:pt>
                <c:pt idx="179">
                  <c:v>34.717654107261822</c:v>
                </c:pt>
                <c:pt idx="180">
                  <c:v>34.79451457718956</c:v>
                </c:pt>
                <c:pt idx="181">
                  <c:v>34.871872893288838</c:v>
                </c:pt>
                <c:pt idx="182">
                  <c:v>34.94973985184442</c:v>
                </c:pt>
                <c:pt idx="183">
                  <c:v>35.02812663705555</c:v>
                </c:pt>
                <c:pt idx="184">
                  <c:v>35.107044840780752</c:v>
                </c:pt>
                <c:pt idx="185">
                  <c:v>35.186506483592609</c:v>
                </c:pt>
                <c:pt idx="186">
                  <c:v>35.266524037250413</c:v>
                </c:pt>
                <c:pt idx="187">
                  <c:v>35.347110448709003</c:v>
                </c:pt>
                <c:pt idx="188">
                  <c:v>35.428279165794159</c:v>
                </c:pt>
                <c:pt idx="189">
                  <c:v>35.51004416468804</c:v>
                </c:pt>
                <c:pt idx="190">
                  <c:v>35.592419979383095</c:v>
                </c:pt>
                <c:pt idx="191">
                  <c:v>35.6754217332794</c:v>
                </c:pt>
                <c:pt idx="192">
                  <c:v>35.759065173119225</c:v>
                </c:pt>
                <c:pt idx="193">
                  <c:v>35.843366705473507</c:v>
                </c:pt>
                <c:pt idx="194">
                  <c:v>35.9283434360187</c:v>
                </c:pt>
                <c:pt idx="195">
                  <c:v>36.014013211869276</c:v>
                </c:pt>
                <c:pt idx="196">
                  <c:v>36.100394667261376</c:v>
                </c:pt>
                <c:pt idx="197">
                  <c:v>36.187507272917557</c:v>
                </c:pt>
                <c:pt idx="198">
                  <c:v>36.275371389461711</c:v>
                </c:pt>
                <c:pt idx="199">
                  <c:v>36.364008325297597</c:v>
                </c:pt>
                <c:pt idx="200">
                  <c:v>36.453440399415442</c:v>
                </c:pt>
                <c:pt idx="201">
                  <c:v>36.543691009649145</c:v>
                </c:pt>
                <c:pt idx="202">
                  <c:v>36.634784706973392</c:v>
                </c:pt>
                <c:pt idx="203">
                  <c:v>36.726747276506813</c:v>
                </c:pt>
                <c:pt idx="204">
                  <c:v>36.819605825975941</c:v>
                </c:pt>
                <c:pt idx="205">
                  <c:v>36.913388882497038</c:v>
                </c:pt>
                <c:pt idx="206">
                  <c:v>37.00812649865194</c:v>
                </c:pt>
                <c:pt idx="207">
                  <c:v>37.103850368972076</c:v>
                </c:pt>
                <c:pt idx="208">
                  <c:v>37.200593958106467</c:v>
                </c:pt>
                <c:pt idx="209">
                  <c:v>37.298385118451762</c:v>
                </c:pt>
                <c:pt idx="210">
                  <c:v>37.397260755518516</c:v>
                </c:pt>
                <c:pt idx="211">
                  <c:v>37.497259966646538</c:v>
                </c:pt>
                <c:pt idx="212">
                  <c:v>37.595992520555583</c:v>
                </c:pt>
                <c:pt idx="213">
                  <c:v>37.69350685921156</c:v>
                </c:pt>
                <c:pt idx="214">
                  <c:v>37.789848437675523</c:v>
                </c:pt>
                <c:pt idx="215">
                  <c:v>37.885052131484869</c:v>
                </c:pt>
                <c:pt idx="216">
                  <c:v>37.979158702996152</c:v>
                </c:pt>
                <c:pt idx="217">
                  <c:v>38.072206558144707</c:v>
                </c:pt>
                <c:pt idx="218">
                  <c:v>38.164231932624304</c:v>
                </c:pt>
                <c:pt idx="219">
                  <c:v>38.255269059578637</c:v>
                </c:pt>
                <c:pt idx="220">
                  <c:v>38.345350320999756</c:v>
                </c:pt>
                <c:pt idx="221">
                  <c:v>38.434506384727037</c:v>
                </c:pt>
                <c:pt idx="222">
                  <c:v>38.52276632868567</c:v>
                </c:pt>
                <c:pt idx="223">
                  <c:v>38.610157753787568</c:v>
                </c:pt>
                <c:pt idx="224">
                  <c:v>38.696706886733921</c:v>
                </c:pt>
                <c:pt idx="225">
                  <c:v>38.782438673801586</c:v>
                </c:pt>
                <c:pt idx="226">
                  <c:v>38.867376866561152</c:v>
                </c:pt>
                <c:pt idx="227">
                  <c:v>38.951544100358952</c:v>
                </c:pt>
                <c:pt idx="228">
                  <c:v>39.034961966295725</c:v>
                </c:pt>
                <c:pt idx="229">
                  <c:v>39.117651077348462</c:v>
                </c:pt>
                <c:pt idx="230">
                  <c:v>39.199631129207532</c:v>
                </c:pt>
                <c:pt idx="231">
                  <c:v>39.280920956336111</c:v>
                </c:pt>
                <c:pt idx="232">
                  <c:v>39.361538583702583</c:v>
                </c:pt>
                <c:pt idx="233">
                  <c:v>39.441501274587139</c:v>
                </c:pt>
                <c:pt idx="234">
                  <c:v>39.520825574820542</c:v>
                </c:pt>
                <c:pt idx="235">
                  <c:v>39.59952735377513</c:v>
                </c:pt>
                <c:pt idx="236">
                  <c:v>39.677621842394757</c:v>
                </c:pt>
                <c:pt idx="237">
                  <c:v>39.755123668520817</c:v>
                </c:pt>
                <c:pt idx="238">
                  <c:v>39.832046889745712</c:v>
                </c:pt>
                <c:pt idx="239">
                  <c:v>39.908405024001922</c:v>
                </c:pt>
                <c:pt idx="240">
                  <c:v>39.984211078074523</c:v>
                </c:pt>
                <c:pt idx="241">
                  <c:v>40.059477574206831</c:v>
                </c:pt>
                <c:pt idx="242">
                  <c:v>40.134216574952731</c:v>
                </c:pt>
                <c:pt idx="243">
                  <c:v>40.208439706414829</c:v>
                </c:pt>
                <c:pt idx="244">
                  <c:v>40.282158179994681</c:v>
                </c:pt>
                <c:pt idx="245">
                  <c:v>40.355807063406196</c:v>
                </c:pt>
                <c:pt idx="246">
                  <c:v>40.429455946817711</c:v>
                </c:pt>
                <c:pt idx="247">
                  <c:v>40.503104830229226</c:v>
                </c:pt>
                <c:pt idx="248">
                  <c:v>40.576753713640741</c:v>
                </c:pt>
                <c:pt idx="249">
                  <c:v>40.650402597052256</c:v>
                </c:pt>
                <c:pt idx="250">
                  <c:v>40.724051480463771</c:v>
                </c:pt>
                <c:pt idx="251">
                  <c:v>40.797700363875286</c:v>
                </c:pt>
                <c:pt idx="252">
                  <c:v>40.871349247286801</c:v>
                </c:pt>
                <c:pt idx="253">
                  <c:v>40.944998130698316</c:v>
                </c:pt>
                <c:pt idx="254">
                  <c:v>41.018647014109831</c:v>
                </c:pt>
                <c:pt idx="255">
                  <c:v>41.092295897521346</c:v>
                </c:pt>
                <c:pt idx="256">
                  <c:v>41.165944780932861</c:v>
                </c:pt>
                <c:pt idx="257">
                  <c:v>41.239593664344376</c:v>
                </c:pt>
                <c:pt idx="258">
                  <c:v>41.313242547755891</c:v>
                </c:pt>
                <c:pt idx="259">
                  <c:v>41.386891431167406</c:v>
                </c:pt>
                <c:pt idx="260">
                  <c:v>41.460540314578921</c:v>
                </c:pt>
                <c:pt idx="261">
                  <c:v>41.534189197990436</c:v>
                </c:pt>
                <c:pt idx="262">
                  <c:v>41.607838081401951</c:v>
                </c:pt>
                <c:pt idx="263">
                  <c:v>41.681486964813466</c:v>
                </c:pt>
                <c:pt idx="264">
                  <c:v>41.755135848224981</c:v>
                </c:pt>
                <c:pt idx="265">
                  <c:v>41.828784731636496</c:v>
                </c:pt>
                <c:pt idx="266">
                  <c:v>41.902433615048011</c:v>
                </c:pt>
                <c:pt idx="267">
                  <c:v>41.976082498459526</c:v>
                </c:pt>
                <c:pt idx="268">
                  <c:v>42.049731381871041</c:v>
                </c:pt>
                <c:pt idx="269">
                  <c:v>42.123380265282556</c:v>
                </c:pt>
                <c:pt idx="270">
                  <c:v>42.197029148694071</c:v>
                </c:pt>
                <c:pt idx="271">
                  <c:v>42.270678032105586</c:v>
                </c:pt>
                <c:pt idx="272">
                  <c:v>42.344326915517101</c:v>
                </c:pt>
                <c:pt idx="273">
                  <c:v>42.417975798928616</c:v>
                </c:pt>
                <c:pt idx="274">
                  <c:v>42.491624682340131</c:v>
                </c:pt>
                <c:pt idx="275">
                  <c:v>42.565273565751646</c:v>
                </c:pt>
                <c:pt idx="276">
                  <c:v>42.638922449163161</c:v>
                </c:pt>
                <c:pt idx="277">
                  <c:v>42.712571332574676</c:v>
                </c:pt>
                <c:pt idx="278">
                  <c:v>42.786220215986191</c:v>
                </c:pt>
                <c:pt idx="279">
                  <c:v>42.859869099397706</c:v>
                </c:pt>
                <c:pt idx="280">
                  <c:v>42.933517982809221</c:v>
                </c:pt>
                <c:pt idx="281">
                  <c:v>43.007166866220736</c:v>
                </c:pt>
                <c:pt idx="282">
                  <c:v>43.080815749632251</c:v>
                </c:pt>
                <c:pt idx="283">
                  <c:v>43.154464633043766</c:v>
                </c:pt>
                <c:pt idx="284">
                  <c:v>43.228113516455281</c:v>
                </c:pt>
                <c:pt idx="285">
                  <c:v>43.301762399866796</c:v>
                </c:pt>
                <c:pt idx="286">
                  <c:v>43.375411283278311</c:v>
                </c:pt>
                <c:pt idx="287">
                  <c:v>43.449060166689826</c:v>
                </c:pt>
                <c:pt idx="288">
                  <c:v>43.522709050101341</c:v>
                </c:pt>
                <c:pt idx="289">
                  <c:v>43.596357933512856</c:v>
                </c:pt>
                <c:pt idx="290">
                  <c:v>43.670006816924371</c:v>
                </c:pt>
                <c:pt idx="291">
                  <c:v>43.743655700335886</c:v>
                </c:pt>
                <c:pt idx="292">
                  <c:v>43.817304583747401</c:v>
                </c:pt>
                <c:pt idx="293">
                  <c:v>43.890953467158916</c:v>
                </c:pt>
                <c:pt idx="294">
                  <c:v>43.964602350570431</c:v>
                </c:pt>
                <c:pt idx="295">
                  <c:v>44.038251233981946</c:v>
                </c:pt>
                <c:pt idx="296">
                  <c:v>44.111900117393461</c:v>
                </c:pt>
                <c:pt idx="297">
                  <c:v>44.185549000804976</c:v>
                </c:pt>
                <c:pt idx="298">
                  <c:v>44.259197884216491</c:v>
                </c:pt>
                <c:pt idx="299">
                  <c:v>44.332846767628006</c:v>
                </c:pt>
                <c:pt idx="300">
                  <c:v>44.406495651039521</c:v>
                </c:pt>
                <c:pt idx="301">
                  <c:v>44.480144534451036</c:v>
                </c:pt>
                <c:pt idx="302">
                  <c:v>44.553793417862551</c:v>
                </c:pt>
                <c:pt idx="303">
                  <c:v>44.627442301274066</c:v>
                </c:pt>
                <c:pt idx="304">
                  <c:v>44.701091184685581</c:v>
                </c:pt>
                <c:pt idx="305">
                  <c:v>44.774740068097096</c:v>
                </c:pt>
                <c:pt idx="306">
                  <c:v>44.84838895150861</c:v>
                </c:pt>
                <c:pt idx="307">
                  <c:v>44.922037834920125</c:v>
                </c:pt>
                <c:pt idx="308">
                  <c:v>44.99568671833164</c:v>
                </c:pt>
                <c:pt idx="309">
                  <c:v>45.069335601743155</c:v>
                </c:pt>
                <c:pt idx="310">
                  <c:v>45.14298448515467</c:v>
                </c:pt>
                <c:pt idx="311">
                  <c:v>45.216633368566185</c:v>
                </c:pt>
                <c:pt idx="312">
                  <c:v>45.2902822519777</c:v>
                </c:pt>
                <c:pt idx="313">
                  <c:v>45.363931135389215</c:v>
                </c:pt>
                <c:pt idx="314">
                  <c:v>45.43758001880073</c:v>
                </c:pt>
              </c:numCache>
            </c:numRef>
          </c:cat>
          <c:val>
            <c:numRef>
              <c:f>Simulation!$J$5:$J$319</c:f>
              <c:numCache>
                <c:formatCode>General</c:formatCode>
                <c:ptCount val="315"/>
                <c:pt idx="0">
                  <c:v>4.844167171899401</c:v>
                </c:pt>
                <c:pt idx="1">
                  <c:v>6.1145737586475271</c:v>
                </c:pt>
                <c:pt idx="2">
                  <c:v>7.0728911438447115</c:v>
                </c:pt>
                <c:pt idx="3">
                  <c:v>10.948117756924342</c:v>
                </c:pt>
                <c:pt idx="4">
                  <c:v>13.132524813844922</c:v>
                </c:pt>
                <c:pt idx="5">
                  <c:v>14.931432929854621</c:v>
                </c:pt>
                <c:pt idx="6">
                  <c:v>15.645921203356993</c:v>
                </c:pt>
                <c:pt idx="7">
                  <c:v>17.025822854175832</c:v>
                </c:pt>
                <c:pt idx="8">
                  <c:v>17.87622352497802</c:v>
                </c:pt>
                <c:pt idx="9">
                  <c:v>18.773243019125704</c:v>
                </c:pt>
                <c:pt idx="10">
                  <c:v>19.075887065813003</c:v>
                </c:pt>
                <c:pt idx="11">
                  <c:v>18.878004419902073</c:v>
                </c:pt>
                <c:pt idx="12">
                  <c:v>18.777540922747292</c:v>
                </c:pt>
                <c:pt idx="13">
                  <c:v>19.341049811333633</c:v>
                </c:pt>
                <c:pt idx="14">
                  <c:v>20.421489058007275</c:v>
                </c:pt>
                <c:pt idx="15">
                  <c:v>20.924018940181064</c:v>
                </c:pt>
                <c:pt idx="16">
                  <c:v>21.403706554983312</c:v>
                </c:pt>
                <c:pt idx="17">
                  <c:v>21.862074720238795</c:v>
                </c:pt>
                <c:pt idx="18">
                  <c:v>21.835919796605356</c:v>
                </c:pt>
                <c:pt idx="19">
                  <c:v>21.786879314792646</c:v>
                </c:pt>
                <c:pt idx="20">
                  <c:v>21.763860313125459</c:v>
                </c:pt>
                <c:pt idx="21">
                  <c:v>21.741762071524949</c:v>
                </c:pt>
                <c:pt idx="22">
                  <c:v>21.809711927782367</c:v>
                </c:pt>
                <c:pt idx="23">
                  <c:v>21.841763746771711</c:v>
                </c:pt>
                <c:pt idx="24">
                  <c:v>21.872628461354036</c:v>
                </c:pt>
                <c:pt idx="25">
                  <c:v>21.941227778603171</c:v>
                </c:pt>
                <c:pt idx="26">
                  <c:v>21.689351439307977</c:v>
                </c:pt>
                <c:pt idx="27">
                  <c:v>21.383823609700396</c:v>
                </c:pt>
                <c:pt idx="28">
                  <c:v>21.101113593618585</c:v>
                </c:pt>
                <c:pt idx="29">
                  <c:v>20.815912772568705</c:v>
                </c:pt>
                <c:pt idx="30">
                  <c:v>20.563964563063138</c:v>
                </c:pt>
                <c:pt idx="31">
                  <c:v>20.285241990330903</c:v>
                </c:pt>
                <c:pt idx="32">
                  <c:v>20.038490388502264</c:v>
                </c:pt>
                <c:pt idx="33">
                  <c:v>21.786879314792646</c:v>
                </c:pt>
                <c:pt idx="34">
                  <c:v>21.763860313125459</c:v>
                </c:pt>
                <c:pt idx="35">
                  <c:v>21.741762071524949</c:v>
                </c:pt>
                <c:pt idx="36">
                  <c:v>21.776403174715004</c:v>
                </c:pt>
                <c:pt idx="37">
                  <c:v>21.776403174715004</c:v>
                </c:pt>
                <c:pt idx="38">
                  <c:v>21.809711927782367</c:v>
                </c:pt>
                <c:pt idx="39">
                  <c:v>21.809711927782367</c:v>
                </c:pt>
                <c:pt idx="40">
                  <c:v>21.841763746771711</c:v>
                </c:pt>
                <c:pt idx="41">
                  <c:v>21.841763746771711</c:v>
                </c:pt>
                <c:pt idx="42">
                  <c:v>21.872628461354036</c:v>
                </c:pt>
                <c:pt idx="43">
                  <c:v>21.872628461354036</c:v>
                </c:pt>
                <c:pt idx="44">
                  <c:v>21.941227778603171</c:v>
                </c:pt>
                <c:pt idx="45">
                  <c:v>21.941227778603171</c:v>
                </c:pt>
                <c:pt idx="46">
                  <c:v>21.689351439307977</c:v>
                </c:pt>
                <c:pt idx="47">
                  <c:v>21.383823609700396</c:v>
                </c:pt>
                <c:pt idx="48">
                  <c:v>21.383823609700396</c:v>
                </c:pt>
                <c:pt idx="49">
                  <c:v>21.101113593618585</c:v>
                </c:pt>
                <c:pt idx="50">
                  <c:v>21.101113593618585</c:v>
                </c:pt>
                <c:pt idx="51">
                  <c:v>20.815912772568705</c:v>
                </c:pt>
                <c:pt idx="52">
                  <c:v>20.815912772568705</c:v>
                </c:pt>
                <c:pt idx="53">
                  <c:v>20.563964563063138</c:v>
                </c:pt>
                <c:pt idx="54">
                  <c:v>20.563964563063138</c:v>
                </c:pt>
                <c:pt idx="55">
                  <c:v>20.285241990330903</c:v>
                </c:pt>
                <c:pt idx="56">
                  <c:v>20.038490388502264</c:v>
                </c:pt>
                <c:pt idx="57">
                  <c:v>20.038490388502264</c:v>
                </c:pt>
                <c:pt idx="58">
                  <c:v>19.788264591092322</c:v>
                </c:pt>
                <c:pt idx="59">
                  <c:v>19.788264591092322</c:v>
                </c:pt>
                <c:pt idx="60">
                  <c:v>19.812999921831185</c:v>
                </c:pt>
                <c:pt idx="61">
                  <c:v>19.727377623119729</c:v>
                </c:pt>
                <c:pt idx="62">
                  <c:v>19.727377623119729</c:v>
                </c:pt>
                <c:pt idx="63">
                  <c:v>18.133246098019146</c:v>
                </c:pt>
                <c:pt idx="64">
                  <c:v>18.133246098019146</c:v>
                </c:pt>
                <c:pt idx="65">
                  <c:v>18.133246098019146</c:v>
                </c:pt>
                <c:pt idx="66">
                  <c:v>18.133246098019146</c:v>
                </c:pt>
                <c:pt idx="67">
                  <c:v>18.133246098019146</c:v>
                </c:pt>
                <c:pt idx="68">
                  <c:v>18.133246098019146</c:v>
                </c:pt>
                <c:pt idx="69">
                  <c:v>18.133246098019146</c:v>
                </c:pt>
                <c:pt idx="70">
                  <c:v>18.133246098019146</c:v>
                </c:pt>
                <c:pt idx="71">
                  <c:v>18.133246098019146</c:v>
                </c:pt>
                <c:pt idx="72">
                  <c:v>18.133246098019146</c:v>
                </c:pt>
                <c:pt idx="73">
                  <c:v>18.133246098019146</c:v>
                </c:pt>
                <c:pt idx="74">
                  <c:v>18.133246098019146</c:v>
                </c:pt>
                <c:pt idx="75">
                  <c:v>18.133246098019146</c:v>
                </c:pt>
                <c:pt idx="76">
                  <c:v>18.133246098019146</c:v>
                </c:pt>
                <c:pt idx="77">
                  <c:v>18.133246098019146</c:v>
                </c:pt>
                <c:pt idx="78">
                  <c:v>18.133246098019146</c:v>
                </c:pt>
                <c:pt idx="79">
                  <c:v>18.133246098019146</c:v>
                </c:pt>
                <c:pt idx="80">
                  <c:v>18.133246098019146</c:v>
                </c:pt>
                <c:pt idx="81">
                  <c:v>18.133246098019146</c:v>
                </c:pt>
                <c:pt idx="82">
                  <c:v>18.133246098019146</c:v>
                </c:pt>
                <c:pt idx="83">
                  <c:v>18.133246098019146</c:v>
                </c:pt>
                <c:pt idx="84">
                  <c:v>12.670143128182255</c:v>
                </c:pt>
                <c:pt idx="85">
                  <c:v>12.670143128182255</c:v>
                </c:pt>
                <c:pt idx="86">
                  <c:v>13.390632612859172</c:v>
                </c:pt>
                <c:pt idx="87">
                  <c:v>13.390632612859172</c:v>
                </c:pt>
                <c:pt idx="88">
                  <c:v>13.390632612859172</c:v>
                </c:pt>
                <c:pt idx="89">
                  <c:v>13.390632612859172</c:v>
                </c:pt>
                <c:pt idx="90">
                  <c:v>13.390632612859172</c:v>
                </c:pt>
                <c:pt idx="91">
                  <c:v>13.390632612859172</c:v>
                </c:pt>
                <c:pt idx="92">
                  <c:v>13.390632612859172</c:v>
                </c:pt>
                <c:pt idx="93">
                  <c:v>14.121836824654824</c:v>
                </c:pt>
                <c:pt idx="94">
                  <c:v>14.121836824654824</c:v>
                </c:pt>
                <c:pt idx="95">
                  <c:v>14.121836824654824</c:v>
                </c:pt>
                <c:pt idx="96">
                  <c:v>14.121836824654824</c:v>
                </c:pt>
                <c:pt idx="97">
                  <c:v>14.121836824654824</c:v>
                </c:pt>
                <c:pt idx="98">
                  <c:v>14.121836824654824</c:v>
                </c:pt>
                <c:pt idx="99">
                  <c:v>14.88550052822467</c:v>
                </c:pt>
                <c:pt idx="100">
                  <c:v>14.88550052822467</c:v>
                </c:pt>
                <c:pt idx="101">
                  <c:v>14.88550052822467</c:v>
                </c:pt>
                <c:pt idx="102">
                  <c:v>14.88550052822467</c:v>
                </c:pt>
                <c:pt idx="103">
                  <c:v>14.88550052822467</c:v>
                </c:pt>
                <c:pt idx="104">
                  <c:v>14.88550052822467</c:v>
                </c:pt>
                <c:pt idx="105">
                  <c:v>14.88550052822467</c:v>
                </c:pt>
                <c:pt idx="106">
                  <c:v>14.88550052822467</c:v>
                </c:pt>
                <c:pt idx="107">
                  <c:v>18.133246098019146</c:v>
                </c:pt>
                <c:pt idx="108">
                  <c:v>18.133246098019146</c:v>
                </c:pt>
                <c:pt idx="109">
                  <c:v>18.133246098019146</c:v>
                </c:pt>
                <c:pt idx="110">
                  <c:v>18.133246098019146</c:v>
                </c:pt>
                <c:pt idx="111">
                  <c:v>18.133246098019146</c:v>
                </c:pt>
                <c:pt idx="112">
                  <c:v>18.133246098019146</c:v>
                </c:pt>
                <c:pt idx="113">
                  <c:v>18.133246098019146</c:v>
                </c:pt>
                <c:pt idx="114">
                  <c:v>18.133246098019146</c:v>
                </c:pt>
                <c:pt idx="115">
                  <c:v>18.133246098019146</c:v>
                </c:pt>
                <c:pt idx="116">
                  <c:v>19.727377623119729</c:v>
                </c:pt>
                <c:pt idx="117">
                  <c:v>19.727377623119729</c:v>
                </c:pt>
                <c:pt idx="118">
                  <c:v>19.727377623119729</c:v>
                </c:pt>
                <c:pt idx="119">
                  <c:v>19.727377623119729</c:v>
                </c:pt>
                <c:pt idx="120">
                  <c:v>19.812999921831185</c:v>
                </c:pt>
                <c:pt idx="121">
                  <c:v>19.812999921831185</c:v>
                </c:pt>
                <c:pt idx="122">
                  <c:v>19.812999921831185</c:v>
                </c:pt>
                <c:pt idx="123">
                  <c:v>19.812999921831185</c:v>
                </c:pt>
                <c:pt idx="124">
                  <c:v>19.812999921831185</c:v>
                </c:pt>
                <c:pt idx="125">
                  <c:v>19.812999921831185</c:v>
                </c:pt>
                <c:pt idx="126">
                  <c:v>19.812999921831185</c:v>
                </c:pt>
                <c:pt idx="127">
                  <c:v>19.812999921831185</c:v>
                </c:pt>
                <c:pt idx="128">
                  <c:v>19.812999921831185</c:v>
                </c:pt>
                <c:pt idx="129">
                  <c:v>19.812999921831185</c:v>
                </c:pt>
                <c:pt idx="130">
                  <c:v>19.812999921831185</c:v>
                </c:pt>
                <c:pt idx="131">
                  <c:v>19.812999921831185</c:v>
                </c:pt>
                <c:pt idx="132">
                  <c:v>19.812999921831185</c:v>
                </c:pt>
                <c:pt idx="133">
                  <c:v>19.812999921831185</c:v>
                </c:pt>
                <c:pt idx="134">
                  <c:v>19.812999921831185</c:v>
                </c:pt>
                <c:pt idx="135">
                  <c:v>19.812999921831185</c:v>
                </c:pt>
                <c:pt idx="136">
                  <c:v>19.812999921831185</c:v>
                </c:pt>
                <c:pt idx="137">
                  <c:v>19.812999921831185</c:v>
                </c:pt>
                <c:pt idx="138">
                  <c:v>19.812999921831185</c:v>
                </c:pt>
                <c:pt idx="139">
                  <c:v>19.812999921831185</c:v>
                </c:pt>
                <c:pt idx="140">
                  <c:v>19.812999921831185</c:v>
                </c:pt>
                <c:pt idx="141">
                  <c:v>19.812999921831185</c:v>
                </c:pt>
                <c:pt idx="142">
                  <c:v>19.812999921831185</c:v>
                </c:pt>
                <c:pt idx="143">
                  <c:v>19.812999921831185</c:v>
                </c:pt>
                <c:pt idx="144">
                  <c:v>19.812999921831185</c:v>
                </c:pt>
                <c:pt idx="145">
                  <c:v>19.812999921831185</c:v>
                </c:pt>
                <c:pt idx="146">
                  <c:v>19.812999921831185</c:v>
                </c:pt>
                <c:pt idx="147">
                  <c:v>19.812999921831185</c:v>
                </c:pt>
                <c:pt idx="148">
                  <c:v>19.812999921831185</c:v>
                </c:pt>
                <c:pt idx="149">
                  <c:v>19.812999921831185</c:v>
                </c:pt>
                <c:pt idx="150">
                  <c:v>19.812999921831185</c:v>
                </c:pt>
                <c:pt idx="151">
                  <c:v>19.812999921831185</c:v>
                </c:pt>
                <c:pt idx="152">
                  <c:v>19.812999921831185</c:v>
                </c:pt>
                <c:pt idx="153">
                  <c:v>19.812999921831185</c:v>
                </c:pt>
                <c:pt idx="154">
                  <c:v>19.812999921831185</c:v>
                </c:pt>
                <c:pt idx="155">
                  <c:v>19.812999921831185</c:v>
                </c:pt>
                <c:pt idx="156">
                  <c:v>19.812999921831185</c:v>
                </c:pt>
                <c:pt idx="157">
                  <c:v>19.812999921831185</c:v>
                </c:pt>
                <c:pt idx="158">
                  <c:v>19.812999921831185</c:v>
                </c:pt>
                <c:pt idx="159">
                  <c:v>19.812999921831185</c:v>
                </c:pt>
                <c:pt idx="160">
                  <c:v>19.812999921831185</c:v>
                </c:pt>
                <c:pt idx="161">
                  <c:v>19.812999921831185</c:v>
                </c:pt>
                <c:pt idx="162">
                  <c:v>19.812999921831185</c:v>
                </c:pt>
                <c:pt idx="163">
                  <c:v>19.812999921831185</c:v>
                </c:pt>
                <c:pt idx="164">
                  <c:v>19.812999921831185</c:v>
                </c:pt>
                <c:pt idx="165">
                  <c:v>19.812999921831185</c:v>
                </c:pt>
                <c:pt idx="166">
                  <c:v>19.812999921831185</c:v>
                </c:pt>
                <c:pt idx="167">
                  <c:v>19.508184538418398</c:v>
                </c:pt>
                <c:pt idx="168">
                  <c:v>19.508184538418398</c:v>
                </c:pt>
                <c:pt idx="169">
                  <c:v>19.508184538418398</c:v>
                </c:pt>
                <c:pt idx="170">
                  <c:v>21.776403174715004</c:v>
                </c:pt>
                <c:pt idx="171">
                  <c:v>21.776403174715004</c:v>
                </c:pt>
                <c:pt idx="172">
                  <c:v>21.809711927782367</c:v>
                </c:pt>
                <c:pt idx="173">
                  <c:v>21.809711927782367</c:v>
                </c:pt>
                <c:pt idx="174">
                  <c:v>21.809711927782367</c:v>
                </c:pt>
                <c:pt idx="175">
                  <c:v>21.841763746771711</c:v>
                </c:pt>
                <c:pt idx="176">
                  <c:v>21.841763746771711</c:v>
                </c:pt>
                <c:pt idx="177">
                  <c:v>21.872628461354036</c:v>
                </c:pt>
                <c:pt idx="178">
                  <c:v>21.872628461354036</c:v>
                </c:pt>
                <c:pt idx="179">
                  <c:v>21.941227778603171</c:v>
                </c:pt>
                <c:pt idx="180">
                  <c:v>21.941227778603171</c:v>
                </c:pt>
                <c:pt idx="181">
                  <c:v>21.689351439307977</c:v>
                </c:pt>
                <c:pt idx="182">
                  <c:v>21.689351439307977</c:v>
                </c:pt>
                <c:pt idx="183">
                  <c:v>21.689351439307977</c:v>
                </c:pt>
                <c:pt idx="184">
                  <c:v>21.689351439307977</c:v>
                </c:pt>
                <c:pt idx="185">
                  <c:v>21.383823609700396</c:v>
                </c:pt>
                <c:pt idx="186">
                  <c:v>21.383823609700396</c:v>
                </c:pt>
                <c:pt idx="187">
                  <c:v>21.383823609700396</c:v>
                </c:pt>
                <c:pt idx="188">
                  <c:v>21.383823609700396</c:v>
                </c:pt>
                <c:pt idx="189">
                  <c:v>21.101113593618585</c:v>
                </c:pt>
                <c:pt idx="190">
                  <c:v>21.101113593618585</c:v>
                </c:pt>
                <c:pt idx="191">
                  <c:v>21.101113593618585</c:v>
                </c:pt>
                <c:pt idx="192">
                  <c:v>20.815912772568705</c:v>
                </c:pt>
                <c:pt idx="193">
                  <c:v>20.815912772568705</c:v>
                </c:pt>
                <c:pt idx="194">
                  <c:v>20.815912772568705</c:v>
                </c:pt>
                <c:pt idx="195">
                  <c:v>20.563964563063138</c:v>
                </c:pt>
                <c:pt idx="196">
                  <c:v>20.563964563063138</c:v>
                </c:pt>
                <c:pt idx="197">
                  <c:v>20.563964563063138</c:v>
                </c:pt>
                <c:pt idx="198">
                  <c:v>20.563964563063138</c:v>
                </c:pt>
                <c:pt idx="199">
                  <c:v>20.285241990330903</c:v>
                </c:pt>
                <c:pt idx="200">
                  <c:v>20.285241990330903</c:v>
                </c:pt>
                <c:pt idx="201">
                  <c:v>20.285241990330903</c:v>
                </c:pt>
                <c:pt idx="202">
                  <c:v>20.285241990330903</c:v>
                </c:pt>
                <c:pt idx="203">
                  <c:v>20.038490388502264</c:v>
                </c:pt>
                <c:pt idx="204">
                  <c:v>20.038490388502264</c:v>
                </c:pt>
                <c:pt idx="205">
                  <c:v>20.038490388502264</c:v>
                </c:pt>
                <c:pt idx="206">
                  <c:v>20.038490388502264</c:v>
                </c:pt>
                <c:pt idx="207">
                  <c:v>19.788264591092322</c:v>
                </c:pt>
                <c:pt idx="208">
                  <c:v>19.788264591092322</c:v>
                </c:pt>
                <c:pt idx="209">
                  <c:v>19.788264591092322</c:v>
                </c:pt>
                <c:pt idx="210">
                  <c:v>19.788264591092322</c:v>
                </c:pt>
                <c:pt idx="211">
                  <c:v>19.812999921831185</c:v>
                </c:pt>
                <c:pt idx="212">
                  <c:v>19.812999921831185</c:v>
                </c:pt>
                <c:pt idx="213">
                  <c:v>19.812999921831185</c:v>
                </c:pt>
                <c:pt idx="214">
                  <c:v>19.508184538418398</c:v>
                </c:pt>
                <c:pt idx="215">
                  <c:v>19.508184538418398</c:v>
                </c:pt>
                <c:pt idx="216">
                  <c:v>19.508184538418398</c:v>
                </c:pt>
                <c:pt idx="217">
                  <c:v>19.508184538418398</c:v>
                </c:pt>
                <c:pt idx="218">
                  <c:v>19.508184538418398</c:v>
                </c:pt>
                <c:pt idx="219">
                  <c:v>19.508184538418398</c:v>
                </c:pt>
                <c:pt idx="220">
                  <c:v>19.508184538418398</c:v>
                </c:pt>
                <c:pt idx="221">
                  <c:v>19.508184538418398</c:v>
                </c:pt>
                <c:pt idx="222">
                  <c:v>19.508184538418398</c:v>
                </c:pt>
                <c:pt idx="223">
                  <c:v>19.508184538418398</c:v>
                </c:pt>
                <c:pt idx="224">
                  <c:v>19.508184538418398</c:v>
                </c:pt>
                <c:pt idx="225">
                  <c:v>19.508184538418398</c:v>
                </c:pt>
                <c:pt idx="226">
                  <c:v>19.508184538418398</c:v>
                </c:pt>
                <c:pt idx="227">
                  <c:v>12.670143128182255</c:v>
                </c:pt>
                <c:pt idx="228">
                  <c:v>12.670143128182255</c:v>
                </c:pt>
                <c:pt idx="229">
                  <c:v>12.670143128182255</c:v>
                </c:pt>
                <c:pt idx="230">
                  <c:v>12.670143128182255</c:v>
                </c:pt>
                <c:pt idx="231">
                  <c:v>12.670143128182255</c:v>
                </c:pt>
                <c:pt idx="232">
                  <c:v>12.670143128182255</c:v>
                </c:pt>
                <c:pt idx="233">
                  <c:v>13.390632612859172</c:v>
                </c:pt>
                <c:pt idx="234">
                  <c:v>13.390632612859172</c:v>
                </c:pt>
                <c:pt idx="235">
                  <c:v>13.390632612859172</c:v>
                </c:pt>
                <c:pt idx="236">
                  <c:v>13.390632612859172</c:v>
                </c:pt>
                <c:pt idx="237">
                  <c:v>13.390632612859172</c:v>
                </c:pt>
                <c:pt idx="238">
                  <c:v>13.390632612859172</c:v>
                </c:pt>
                <c:pt idx="239">
                  <c:v>13.390632612859172</c:v>
                </c:pt>
                <c:pt idx="240">
                  <c:v>14.121836824654824</c:v>
                </c:pt>
                <c:pt idx="241">
                  <c:v>14.121836824654824</c:v>
                </c:pt>
                <c:pt idx="242">
                  <c:v>14.121836824654824</c:v>
                </c:pt>
                <c:pt idx="243">
                  <c:v>14.121836824654824</c:v>
                </c:pt>
                <c:pt idx="244">
                  <c:v>14.121836824654824</c:v>
                </c:pt>
                <c:pt idx="245">
                  <c:v>14.121836824654824</c:v>
                </c:pt>
                <c:pt idx="246">
                  <c:v>14.88550052822467</c:v>
                </c:pt>
                <c:pt idx="247">
                  <c:v>14.88550052822467</c:v>
                </c:pt>
                <c:pt idx="248">
                  <c:v>14.88550052822467</c:v>
                </c:pt>
                <c:pt idx="249">
                  <c:v>14.88550052822467</c:v>
                </c:pt>
                <c:pt idx="250">
                  <c:v>14.88550052822467</c:v>
                </c:pt>
                <c:pt idx="251">
                  <c:v>14.88550052822467</c:v>
                </c:pt>
                <c:pt idx="252">
                  <c:v>18.133246098019146</c:v>
                </c:pt>
                <c:pt idx="253">
                  <c:v>18.133246098019146</c:v>
                </c:pt>
                <c:pt idx="254">
                  <c:v>18.133246098019146</c:v>
                </c:pt>
                <c:pt idx="255">
                  <c:v>18.133246098019146</c:v>
                </c:pt>
                <c:pt idx="256">
                  <c:v>18.133246098019146</c:v>
                </c:pt>
                <c:pt idx="257">
                  <c:v>19.727377623119729</c:v>
                </c:pt>
                <c:pt idx="258">
                  <c:v>19.727377623119729</c:v>
                </c:pt>
                <c:pt idx="259">
                  <c:v>19.727377623119729</c:v>
                </c:pt>
                <c:pt idx="260">
                  <c:v>19.727377623119729</c:v>
                </c:pt>
                <c:pt idx="261">
                  <c:v>19.812999921831185</c:v>
                </c:pt>
                <c:pt idx="262">
                  <c:v>19.812999921831185</c:v>
                </c:pt>
                <c:pt idx="263">
                  <c:v>19.812999921831185</c:v>
                </c:pt>
                <c:pt idx="264">
                  <c:v>19.812999921831185</c:v>
                </c:pt>
                <c:pt idx="265">
                  <c:v>19.788264591092322</c:v>
                </c:pt>
                <c:pt idx="266">
                  <c:v>20.038490388502264</c:v>
                </c:pt>
                <c:pt idx="267">
                  <c:v>20.038490388502264</c:v>
                </c:pt>
                <c:pt idx="268">
                  <c:v>20.285241990330903</c:v>
                </c:pt>
                <c:pt idx="269">
                  <c:v>20.285241990330903</c:v>
                </c:pt>
                <c:pt idx="270">
                  <c:v>20.563964563063138</c:v>
                </c:pt>
                <c:pt idx="271">
                  <c:v>20.815912772568705</c:v>
                </c:pt>
                <c:pt idx="272">
                  <c:v>21.101113593618585</c:v>
                </c:pt>
                <c:pt idx="273">
                  <c:v>21.101113593618585</c:v>
                </c:pt>
                <c:pt idx="274">
                  <c:v>21.101113593618585</c:v>
                </c:pt>
                <c:pt idx="275">
                  <c:v>21.689351439307977</c:v>
                </c:pt>
                <c:pt idx="276">
                  <c:v>21.689351439307977</c:v>
                </c:pt>
                <c:pt idx="277">
                  <c:v>21.383823609700396</c:v>
                </c:pt>
                <c:pt idx="278">
                  <c:v>21.383823609700396</c:v>
                </c:pt>
                <c:pt idx="279">
                  <c:v>21.101113593618585</c:v>
                </c:pt>
                <c:pt idx="280">
                  <c:v>20.815912772568705</c:v>
                </c:pt>
                <c:pt idx="281">
                  <c:v>20.815912772568705</c:v>
                </c:pt>
                <c:pt idx="282">
                  <c:v>20.563964563063138</c:v>
                </c:pt>
                <c:pt idx="283">
                  <c:v>20.563964563063138</c:v>
                </c:pt>
                <c:pt idx="284">
                  <c:v>20.563964563063138</c:v>
                </c:pt>
                <c:pt idx="285">
                  <c:v>20.285241990330903</c:v>
                </c:pt>
                <c:pt idx="286">
                  <c:v>20.285241990330903</c:v>
                </c:pt>
                <c:pt idx="287">
                  <c:v>20.038490388502264</c:v>
                </c:pt>
                <c:pt idx="288">
                  <c:v>20.038490388502264</c:v>
                </c:pt>
                <c:pt idx="289">
                  <c:v>19.788264591092322</c:v>
                </c:pt>
                <c:pt idx="290">
                  <c:v>19.812999921831185</c:v>
                </c:pt>
                <c:pt idx="291">
                  <c:v>19.812999921831185</c:v>
                </c:pt>
                <c:pt idx="292">
                  <c:v>19.727377623119729</c:v>
                </c:pt>
                <c:pt idx="293">
                  <c:v>19.727377623119729</c:v>
                </c:pt>
                <c:pt idx="294">
                  <c:v>18.133246098019146</c:v>
                </c:pt>
                <c:pt idx="295">
                  <c:v>21.809711927782367</c:v>
                </c:pt>
                <c:pt idx="296">
                  <c:v>21.809711927782367</c:v>
                </c:pt>
                <c:pt idx="297">
                  <c:v>21.841763746771711</c:v>
                </c:pt>
                <c:pt idx="298">
                  <c:v>21.841763746771711</c:v>
                </c:pt>
                <c:pt idx="299">
                  <c:v>21.841763746771711</c:v>
                </c:pt>
                <c:pt idx="300">
                  <c:v>21.872628461354036</c:v>
                </c:pt>
                <c:pt idx="301">
                  <c:v>21.872628461354036</c:v>
                </c:pt>
                <c:pt idx="302">
                  <c:v>21.872628461354036</c:v>
                </c:pt>
                <c:pt idx="303">
                  <c:v>21.941227778603171</c:v>
                </c:pt>
                <c:pt idx="304">
                  <c:v>21.941227778603171</c:v>
                </c:pt>
                <c:pt idx="305">
                  <c:v>21.941227778603171</c:v>
                </c:pt>
                <c:pt idx="306">
                  <c:v>21.689351439307977</c:v>
                </c:pt>
                <c:pt idx="307">
                  <c:v>21.689351439307977</c:v>
                </c:pt>
                <c:pt idx="308">
                  <c:v>21.383823609700396</c:v>
                </c:pt>
                <c:pt idx="309">
                  <c:v>21.383823609700396</c:v>
                </c:pt>
                <c:pt idx="310">
                  <c:v>21.383823609700396</c:v>
                </c:pt>
                <c:pt idx="311">
                  <c:v>21.383823609700396</c:v>
                </c:pt>
                <c:pt idx="312">
                  <c:v>21.101113593618585</c:v>
                </c:pt>
                <c:pt idx="313">
                  <c:v>21.101113593618585</c:v>
                </c:pt>
                <c:pt idx="314">
                  <c:v>21.101113593618585</c:v>
                </c:pt>
              </c:numCache>
            </c:numRef>
          </c:val>
        </c:ser>
        <c:ser>
          <c:idx val="2"/>
          <c:order val="2"/>
          <c:tx>
            <c:v>Gear</c:v>
          </c:tx>
          <c:marker>
            <c:symbol val="none"/>
          </c:marker>
          <c:val>
            <c:numRef>
              <c:f>Simulation!$L$5:$L$319</c:f>
              <c:numCache>
                <c:formatCode>General</c:formatCode>
                <c:ptCount val="3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2</c:v>
                </c:pt>
                <c:pt idx="84">
                  <c:v>2</c:v>
                </c:pt>
                <c:pt idx="85">
                  <c:v>2</c:v>
                </c:pt>
                <c:pt idx="86">
                  <c:v>2</c:v>
                </c:pt>
                <c:pt idx="87">
                  <c:v>2</c:v>
                </c:pt>
                <c:pt idx="88">
                  <c:v>2</c:v>
                </c:pt>
                <c:pt idx="89">
                  <c:v>2</c:v>
                </c:pt>
                <c:pt idx="90">
                  <c:v>2</c:v>
                </c:pt>
                <c:pt idx="91">
                  <c:v>2</c:v>
                </c:pt>
                <c:pt idx="92">
                  <c:v>2</c:v>
                </c:pt>
                <c:pt idx="93">
                  <c:v>2</c:v>
                </c:pt>
                <c:pt idx="94">
                  <c:v>2</c:v>
                </c:pt>
                <c:pt idx="95">
                  <c:v>2</c:v>
                </c:pt>
                <c:pt idx="96">
                  <c:v>2</c:v>
                </c:pt>
                <c:pt idx="97">
                  <c:v>2</c:v>
                </c:pt>
                <c:pt idx="98">
                  <c:v>2</c:v>
                </c:pt>
                <c:pt idx="99">
                  <c:v>2</c:v>
                </c:pt>
                <c:pt idx="100">
                  <c:v>2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2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3</c:v>
                </c:pt>
                <c:pt idx="111">
                  <c:v>3</c:v>
                </c:pt>
                <c:pt idx="112">
                  <c:v>3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3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3</c:v>
                </c:pt>
                <c:pt idx="123">
                  <c:v>3</c:v>
                </c:pt>
                <c:pt idx="124">
                  <c:v>3</c:v>
                </c:pt>
                <c:pt idx="125">
                  <c:v>3</c:v>
                </c:pt>
                <c:pt idx="126">
                  <c:v>3</c:v>
                </c:pt>
                <c:pt idx="127">
                  <c:v>3</c:v>
                </c:pt>
                <c:pt idx="128">
                  <c:v>3</c:v>
                </c:pt>
                <c:pt idx="129">
                  <c:v>3</c:v>
                </c:pt>
                <c:pt idx="130">
                  <c:v>3</c:v>
                </c:pt>
                <c:pt idx="131">
                  <c:v>3</c:v>
                </c:pt>
                <c:pt idx="132">
                  <c:v>3</c:v>
                </c:pt>
                <c:pt idx="133">
                  <c:v>3</c:v>
                </c:pt>
                <c:pt idx="134">
                  <c:v>3</c:v>
                </c:pt>
                <c:pt idx="135">
                  <c:v>3</c:v>
                </c:pt>
                <c:pt idx="136">
                  <c:v>3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3</c:v>
                </c:pt>
                <c:pt idx="141">
                  <c:v>3</c:v>
                </c:pt>
                <c:pt idx="142">
                  <c:v>3</c:v>
                </c:pt>
                <c:pt idx="143">
                  <c:v>3</c:v>
                </c:pt>
                <c:pt idx="144">
                  <c:v>3</c:v>
                </c:pt>
                <c:pt idx="145">
                  <c:v>3</c:v>
                </c:pt>
                <c:pt idx="146">
                  <c:v>3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  <c:pt idx="150">
                  <c:v>3</c:v>
                </c:pt>
                <c:pt idx="151">
                  <c:v>3</c:v>
                </c:pt>
                <c:pt idx="152">
                  <c:v>3</c:v>
                </c:pt>
                <c:pt idx="153">
                  <c:v>3</c:v>
                </c:pt>
                <c:pt idx="154">
                  <c:v>3</c:v>
                </c:pt>
                <c:pt idx="155">
                  <c:v>3</c:v>
                </c:pt>
                <c:pt idx="156">
                  <c:v>3</c:v>
                </c:pt>
                <c:pt idx="157">
                  <c:v>3</c:v>
                </c:pt>
                <c:pt idx="158">
                  <c:v>3</c:v>
                </c:pt>
                <c:pt idx="159">
                  <c:v>3</c:v>
                </c:pt>
                <c:pt idx="160">
                  <c:v>3</c:v>
                </c:pt>
                <c:pt idx="161">
                  <c:v>3</c:v>
                </c:pt>
                <c:pt idx="162">
                  <c:v>3</c:v>
                </c:pt>
                <c:pt idx="163">
                  <c:v>3</c:v>
                </c:pt>
                <c:pt idx="164">
                  <c:v>3</c:v>
                </c:pt>
                <c:pt idx="165">
                  <c:v>3</c:v>
                </c:pt>
                <c:pt idx="166">
                  <c:v>3</c:v>
                </c:pt>
                <c:pt idx="167">
                  <c:v>3</c:v>
                </c:pt>
                <c:pt idx="168">
                  <c:v>3</c:v>
                </c:pt>
                <c:pt idx="169">
                  <c:v>3</c:v>
                </c:pt>
                <c:pt idx="170">
                  <c:v>3</c:v>
                </c:pt>
                <c:pt idx="171">
                  <c:v>3</c:v>
                </c:pt>
                <c:pt idx="172">
                  <c:v>3</c:v>
                </c:pt>
                <c:pt idx="173">
                  <c:v>3</c:v>
                </c:pt>
                <c:pt idx="174">
                  <c:v>3</c:v>
                </c:pt>
                <c:pt idx="175">
                  <c:v>3</c:v>
                </c:pt>
                <c:pt idx="176">
                  <c:v>3</c:v>
                </c:pt>
                <c:pt idx="177">
                  <c:v>3</c:v>
                </c:pt>
                <c:pt idx="178">
                  <c:v>3</c:v>
                </c:pt>
                <c:pt idx="179">
                  <c:v>3</c:v>
                </c:pt>
                <c:pt idx="180">
                  <c:v>3</c:v>
                </c:pt>
                <c:pt idx="181">
                  <c:v>3</c:v>
                </c:pt>
                <c:pt idx="182">
                  <c:v>3</c:v>
                </c:pt>
                <c:pt idx="183">
                  <c:v>3</c:v>
                </c:pt>
                <c:pt idx="184">
                  <c:v>3</c:v>
                </c:pt>
                <c:pt idx="185">
                  <c:v>3</c:v>
                </c:pt>
                <c:pt idx="186">
                  <c:v>3</c:v>
                </c:pt>
                <c:pt idx="187">
                  <c:v>3</c:v>
                </c:pt>
                <c:pt idx="188">
                  <c:v>3</c:v>
                </c:pt>
                <c:pt idx="189">
                  <c:v>3</c:v>
                </c:pt>
                <c:pt idx="190">
                  <c:v>3</c:v>
                </c:pt>
                <c:pt idx="191">
                  <c:v>3</c:v>
                </c:pt>
                <c:pt idx="192">
                  <c:v>3</c:v>
                </c:pt>
                <c:pt idx="193">
                  <c:v>3</c:v>
                </c:pt>
                <c:pt idx="194">
                  <c:v>3</c:v>
                </c:pt>
                <c:pt idx="195">
                  <c:v>3</c:v>
                </c:pt>
                <c:pt idx="196">
                  <c:v>3</c:v>
                </c:pt>
                <c:pt idx="197">
                  <c:v>3</c:v>
                </c:pt>
                <c:pt idx="198">
                  <c:v>3</c:v>
                </c:pt>
                <c:pt idx="199">
                  <c:v>3</c:v>
                </c:pt>
                <c:pt idx="200">
                  <c:v>3</c:v>
                </c:pt>
                <c:pt idx="201">
                  <c:v>3</c:v>
                </c:pt>
                <c:pt idx="202">
                  <c:v>3</c:v>
                </c:pt>
                <c:pt idx="203">
                  <c:v>3</c:v>
                </c:pt>
                <c:pt idx="204">
                  <c:v>3</c:v>
                </c:pt>
                <c:pt idx="205">
                  <c:v>3</c:v>
                </c:pt>
                <c:pt idx="206">
                  <c:v>3</c:v>
                </c:pt>
                <c:pt idx="207">
                  <c:v>3</c:v>
                </c:pt>
                <c:pt idx="208">
                  <c:v>2</c:v>
                </c:pt>
                <c:pt idx="209">
                  <c:v>2</c:v>
                </c:pt>
                <c:pt idx="210">
                  <c:v>2</c:v>
                </c:pt>
                <c:pt idx="211">
                  <c:v>2</c:v>
                </c:pt>
                <c:pt idx="212">
                  <c:v>2</c:v>
                </c:pt>
                <c:pt idx="213">
                  <c:v>2</c:v>
                </c:pt>
                <c:pt idx="214">
                  <c:v>3</c:v>
                </c:pt>
                <c:pt idx="215">
                  <c:v>3</c:v>
                </c:pt>
                <c:pt idx="216">
                  <c:v>3</c:v>
                </c:pt>
                <c:pt idx="217">
                  <c:v>3</c:v>
                </c:pt>
                <c:pt idx="218">
                  <c:v>3</c:v>
                </c:pt>
                <c:pt idx="219">
                  <c:v>3</c:v>
                </c:pt>
                <c:pt idx="220">
                  <c:v>3</c:v>
                </c:pt>
                <c:pt idx="221">
                  <c:v>3</c:v>
                </c:pt>
                <c:pt idx="222">
                  <c:v>3</c:v>
                </c:pt>
                <c:pt idx="223">
                  <c:v>3</c:v>
                </c:pt>
                <c:pt idx="224">
                  <c:v>3</c:v>
                </c:pt>
                <c:pt idx="225">
                  <c:v>3</c:v>
                </c:pt>
                <c:pt idx="226">
                  <c:v>3</c:v>
                </c:pt>
                <c:pt idx="227">
                  <c:v>3</c:v>
                </c:pt>
                <c:pt idx="228">
                  <c:v>3</c:v>
                </c:pt>
                <c:pt idx="229">
                  <c:v>3</c:v>
                </c:pt>
                <c:pt idx="230">
                  <c:v>3</c:v>
                </c:pt>
                <c:pt idx="231">
                  <c:v>3</c:v>
                </c:pt>
                <c:pt idx="232">
                  <c:v>3</c:v>
                </c:pt>
                <c:pt idx="233">
                  <c:v>3</c:v>
                </c:pt>
                <c:pt idx="234">
                  <c:v>3</c:v>
                </c:pt>
                <c:pt idx="235">
                  <c:v>3</c:v>
                </c:pt>
                <c:pt idx="236">
                  <c:v>3</c:v>
                </c:pt>
                <c:pt idx="237">
                  <c:v>3</c:v>
                </c:pt>
                <c:pt idx="238">
                  <c:v>3</c:v>
                </c:pt>
                <c:pt idx="239">
                  <c:v>3</c:v>
                </c:pt>
                <c:pt idx="240">
                  <c:v>3</c:v>
                </c:pt>
                <c:pt idx="241">
                  <c:v>3</c:v>
                </c:pt>
                <c:pt idx="242">
                  <c:v>3</c:v>
                </c:pt>
                <c:pt idx="243">
                  <c:v>3</c:v>
                </c:pt>
                <c:pt idx="244">
                  <c:v>3</c:v>
                </c:pt>
                <c:pt idx="245">
                  <c:v>3</c:v>
                </c:pt>
                <c:pt idx="246">
                  <c:v>3</c:v>
                </c:pt>
                <c:pt idx="247">
                  <c:v>3</c:v>
                </c:pt>
                <c:pt idx="248">
                  <c:v>3</c:v>
                </c:pt>
                <c:pt idx="249">
                  <c:v>3</c:v>
                </c:pt>
                <c:pt idx="250">
                  <c:v>3</c:v>
                </c:pt>
                <c:pt idx="251">
                  <c:v>3</c:v>
                </c:pt>
                <c:pt idx="252">
                  <c:v>3</c:v>
                </c:pt>
                <c:pt idx="253">
                  <c:v>3</c:v>
                </c:pt>
                <c:pt idx="254">
                  <c:v>3</c:v>
                </c:pt>
                <c:pt idx="255">
                  <c:v>3</c:v>
                </c:pt>
                <c:pt idx="256">
                  <c:v>3</c:v>
                </c:pt>
                <c:pt idx="257">
                  <c:v>3</c:v>
                </c:pt>
                <c:pt idx="258">
                  <c:v>3</c:v>
                </c:pt>
                <c:pt idx="259">
                  <c:v>3</c:v>
                </c:pt>
                <c:pt idx="260">
                  <c:v>3</c:v>
                </c:pt>
                <c:pt idx="261">
                  <c:v>3</c:v>
                </c:pt>
                <c:pt idx="262">
                  <c:v>3</c:v>
                </c:pt>
                <c:pt idx="263">
                  <c:v>3</c:v>
                </c:pt>
                <c:pt idx="264">
                  <c:v>3</c:v>
                </c:pt>
                <c:pt idx="265">
                  <c:v>3</c:v>
                </c:pt>
                <c:pt idx="266">
                  <c:v>3</c:v>
                </c:pt>
                <c:pt idx="267">
                  <c:v>3</c:v>
                </c:pt>
                <c:pt idx="268">
                  <c:v>3</c:v>
                </c:pt>
                <c:pt idx="269">
                  <c:v>3</c:v>
                </c:pt>
                <c:pt idx="270">
                  <c:v>3</c:v>
                </c:pt>
                <c:pt idx="271">
                  <c:v>3</c:v>
                </c:pt>
                <c:pt idx="272">
                  <c:v>3</c:v>
                </c:pt>
                <c:pt idx="273">
                  <c:v>3</c:v>
                </c:pt>
                <c:pt idx="274">
                  <c:v>3</c:v>
                </c:pt>
                <c:pt idx="275">
                  <c:v>3</c:v>
                </c:pt>
                <c:pt idx="276">
                  <c:v>3</c:v>
                </c:pt>
                <c:pt idx="277">
                  <c:v>3</c:v>
                </c:pt>
                <c:pt idx="278">
                  <c:v>3</c:v>
                </c:pt>
                <c:pt idx="279">
                  <c:v>3</c:v>
                </c:pt>
                <c:pt idx="280">
                  <c:v>3</c:v>
                </c:pt>
                <c:pt idx="281">
                  <c:v>3</c:v>
                </c:pt>
                <c:pt idx="282">
                  <c:v>3</c:v>
                </c:pt>
                <c:pt idx="283">
                  <c:v>3</c:v>
                </c:pt>
                <c:pt idx="284">
                  <c:v>3</c:v>
                </c:pt>
                <c:pt idx="285">
                  <c:v>3</c:v>
                </c:pt>
                <c:pt idx="286">
                  <c:v>3</c:v>
                </c:pt>
                <c:pt idx="287">
                  <c:v>3</c:v>
                </c:pt>
                <c:pt idx="288">
                  <c:v>3</c:v>
                </c:pt>
                <c:pt idx="289">
                  <c:v>3</c:v>
                </c:pt>
                <c:pt idx="290">
                  <c:v>3</c:v>
                </c:pt>
                <c:pt idx="291">
                  <c:v>3</c:v>
                </c:pt>
                <c:pt idx="292">
                  <c:v>3</c:v>
                </c:pt>
                <c:pt idx="293">
                  <c:v>3</c:v>
                </c:pt>
                <c:pt idx="294">
                  <c:v>3</c:v>
                </c:pt>
                <c:pt idx="295">
                  <c:v>3</c:v>
                </c:pt>
                <c:pt idx="296">
                  <c:v>3</c:v>
                </c:pt>
                <c:pt idx="297">
                  <c:v>3</c:v>
                </c:pt>
                <c:pt idx="298">
                  <c:v>3</c:v>
                </c:pt>
                <c:pt idx="299">
                  <c:v>3</c:v>
                </c:pt>
                <c:pt idx="300">
                  <c:v>3</c:v>
                </c:pt>
                <c:pt idx="301">
                  <c:v>3</c:v>
                </c:pt>
                <c:pt idx="302">
                  <c:v>3</c:v>
                </c:pt>
                <c:pt idx="303">
                  <c:v>3</c:v>
                </c:pt>
                <c:pt idx="304">
                  <c:v>3</c:v>
                </c:pt>
                <c:pt idx="305">
                  <c:v>3</c:v>
                </c:pt>
                <c:pt idx="306">
                  <c:v>3</c:v>
                </c:pt>
                <c:pt idx="307">
                  <c:v>3</c:v>
                </c:pt>
                <c:pt idx="308">
                  <c:v>3</c:v>
                </c:pt>
                <c:pt idx="309">
                  <c:v>3</c:v>
                </c:pt>
                <c:pt idx="310">
                  <c:v>3</c:v>
                </c:pt>
                <c:pt idx="311">
                  <c:v>3</c:v>
                </c:pt>
                <c:pt idx="312">
                  <c:v>3</c:v>
                </c:pt>
                <c:pt idx="313">
                  <c:v>3</c:v>
                </c:pt>
                <c:pt idx="314">
                  <c:v>3</c:v>
                </c:pt>
              </c:numCache>
            </c:numRef>
          </c:val>
        </c:ser>
        <c:marker val="1"/>
        <c:axId val="92405760"/>
        <c:axId val="92407680"/>
      </c:lineChart>
      <c:catAx>
        <c:axId val="924057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Time(S)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 sz="8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2407680"/>
        <c:crosses val="autoZero"/>
        <c:auto val="1"/>
        <c:lblAlgn val="ctr"/>
        <c:lblOffset val="100"/>
      </c:catAx>
      <c:valAx>
        <c:axId val="92407680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2405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0342504203529495"/>
          <c:y val="0.33194176383963819"/>
          <c:w val="6.9114511413518431E-2"/>
          <c:h val="0.13919320124442286"/>
        </c:manualLayout>
      </c:layout>
      <c:overlay val="1"/>
      <c:txPr>
        <a:bodyPr/>
        <a:lstStyle/>
        <a:p>
          <a:pPr>
            <a:defRPr>
              <a:latin typeface="Times New Roman" pitchFamily="18" charset="0"/>
              <a:cs typeface="Times New Roman" pitchFamily="18" charset="0"/>
            </a:defRPr>
          </a:pPr>
          <a:endParaRPr lang="en-US"/>
        </a:p>
      </c:txPr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r>
              <a:rPr lang="en-US" sz="1800" b="0" i="0" u="none" strike="noStrike" baseline="0">
                <a:latin typeface="Times New Roman" pitchFamily="18" charset="0"/>
                <a:cs typeface="Times New Roman" pitchFamily="18" charset="0"/>
              </a:rPr>
              <a:t>Power(HP), Torque(Nm) vs  RPM</a:t>
            </a:r>
            <a:endParaRPr lang="en-US">
              <a:latin typeface="Times New Roman" pitchFamily="18" charset="0"/>
              <a:cs typeface="Times New Roman" pitchFamily="18" charset="0"/>
            </a:endParaRPr>
          </a:p>
        </c:rich>
      </c:tx>
      <c:overlay val="1"/>
    </c:title>
    <c:plotArea>
      <c:layout/>
      <c:lineChart>
        <c:grouping val="standard"/>
        <c:ser>
          <c:idx val="0"/>
          <c:order val="0"/>
          <c:tx>
            <c:strRef>
              <c:f>BSFC!$C$3</c:f>
              <c:strCache>
                <c:ptCount val="1"/>
                <c:pt idx="0">
                  <c:v>Power  (Hp)</c:v>
                </c:pt>
              </c:strCache>
            </c:strRef>
          </c:tx>
          <c:marker>
            <c:symbol val="none"/>
          </c:marker>
          <c:cat>
            <c:numRef>
              <c:f>BSFC!$B$4:$B$64</c:f>
              <c:numCache>
                <c:formatCode>General</c:formatCode>
                <c:ptCount val="61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  <c:pt idx="3">
                  <c:v>1300</c:v>
                </c:pt>
                <c:pt idx="4">
                  <c:v>1400</c:v>
                </c:pt>
                <c:pt idx="5">
                  <c:v>1500</c:v>
                </c:pt>
                <c:pt idx="6">
                  <c:v>1600</c:v>
                </c:pt>
                <c:pt idx="7">
                  <c:v>1700</c:v>
                </c:pt>
                <c:pt idx="8">
                  <c:v>1800</c:v>
                </c:pt>
                <c:pt idx="9">
                  <c:v>1900</c:v>
                </c:pt>
                <c:pt idx="10">
                  <c:v>2000</c:v>
                </c:pt>
                <c:pt idx="11">
                  <c:v>2100</c:v>
                </c:pt>
                <c:pt idx="12">
                  <c:v>2200</c:v>
                </c:pt>
                <c:pt idx="13">
                  <c:v>2300</c:v>
                </c:pt>
                <c:pt idx="14">
                  <c:v>2400</c:v>
                </c:pt>
                <c:pt idx="15">
                  <c:v>2500</c:v>
                </c:pt>
                <c:pt idx="16">
                  <c:v>2600</c:v>
                </c:pt>
                <c:pt idx="17">
                  <c:v>2700</c:v>
                </c:pt>
                <c:pt idx="18">
                  <c:v>2800</c:v>
                </c:pt>
                <c:pt idx="19">
                  <c:v>2900</c:v>
                </c:pt>
                <c:pt idx="20">
                  <c:v>3000</c:v>
                </c:pt>
                <c:pt idx="21">
                  <c:v>3100</c:v>
                </c:pt>
                <c:pt idx="22">
                  <c:v>3200</c:v>
                </c:pt>
                <c:pt idx="23">
                  <c:v>3300</c:v>
                </c:pt>
                <c:pt idx="24">
                  <c:v>3400</c:v>
                </c:pt>
                <c:pt idx="25">
                  <c:v>3500</c:v>
                </c:pt>
                <c:pt idx="26">
                  <c:v>3600</c:v>
                </c:pt>
                <c:pt idx="27">
                  <c:v>3700</c:v>
                </c:pt>
                <c:pt idx="28">
                  <c:v>3800</c:v>
                </c:pt>
                <c:pt idx="29">
                  <c:v>3900</c:v>
                </c:pt>
                <c:pt idx="30">
                  <c:v>4000</c:v>
                </c:pt>
                <c:pt idx="31">
                  <c:v>4100</c:v>
                </c:pt>
                <c:pt idx="32">
                  <c:v>4200</c:v>
                </c:pt>
                <c:pt idx="33">
                  <c:v>4300</c:v>
                </c:pt>
                <c:pt idx="34">
                  <c:v>4400</c:v>
                </c:pt>
                <c:pt idx="35">
                  <c:v>4500</c:v>
                </c:pt>
                <c:pt idx="36">
                  <c:v>4600</c:v>
                </c:pt>
                <c:pt idx="37">
                  <c:v>4700</c:v>
                </c:pt>
                <c:pt idx="38">
                  <c:v>4800</c:v>
                </c:pt>
                <c:pt idx="39">
                  <c:v>4900</c:v>
                </c:pt>
                <c:pt idx="40">
                  <c:v>5000</c:v>
                </c:pt>
                <c:pt idx="41">
                  <c:v>5100</c:v>
                </c:pt>
                <c:pt idx="42">
                  <c:v>5200</c:v>
                </c:pt>
                <c:pt idx="43">
                  <c:v>5300</c:v>
                </c:pt>
                <c:pt idx="44">
                  <c:v>5400</c:v>
                </c:pt>
                <c:pt idx="45">
                  <c:v>5500</c:v>
                </c:pt>
                <c:pt idx="46">
                  <c:v>5600</c:v>
                </c:pt>
                <c:pt idx="47">
                  <c:v>5700</c:v>
                </c:pt>
                <c:pt idx="48">
                  <c:v>5800</c:v>
                </c:pt>
                <c:pt idx="49">
                  <c:v>5900</c:v>
                </c:pt>
                <c:pt idx="50">
                  <c:v>6000</c:v>
                </c:pt>
                <c:pt idx="51">
                  <c:v>6100</c:v>
                </c:pt>
                <c:pt idx="52">
                  <c:v>6200</c:v>
                </c:pt>
                <c:pt idx="53">
                  <c:v>6300</c:v>
                </c:pt>
                <c:pt idx="54">
                  <c:v>6400</c:v>
                </c:pt>
                <c:pt idx="55">
                  <c:v>6500</c:v>
                </c:pt>
                <c:pt idx="56">
                  <c:v>6600</c:v>
                </c:pt>
                <c:pt idx="57">
                  <c:v>6700</c:v>
                </c:pt>
                <c:pt idx="58">
                  <c:v>6800</c:v>
                </c:pt>
                <c:pt idx="59">
                  <c:v>6900</c:v>
                </c:pt>
                <c:pt idx="60">
                  <c:v>7000</c:v>
                </c:pt>
              </c:numCache>
            </c:numRef>
          </c:cat>
          <c:val>
            <c:numRef>
              <c:f>BSFC!$C$4:$C$64</c:f>
              <c:numCache>
                <c:formatCode>0.00</c:formatCode>
                <c:ptCount val="61"/>
                <c:pt idx="0">
                  <c:v>0.68</c:v>
                </c:pt>
                <c:pt idx="1">
                  <c:v>0.86</c:v>
                </c:pt>
                <c:pt idx="2">
                  <c:v>1.03</c:v>
                </c:pt>
                <c:pt idx="3">
                  <c:v>1.2</c:v>
                </c:pt>
                <c:pt idx="4">
                  <c:v>1.39</c:v>
                </c:pt>
                <c:pt idx="5">
                  <c:v>1.56</c:v>
                </c:pt>
                <c:pt idx="6">
                  <c:v>1.9</c:v>
                </c:pt>
                <c:pt idx="7">
                  <c:v>2.2400000000000002</c:v>
                </c:pt>
                <c:pt idx="8">
                  <c:v>2.58</c:v>
                </c:pt>
                <c:pt idx="9">
                  <c:v>2.92</c:v>
                </c:pt>
                <c:pt idx="10">
                  <c:v>3.26</c:v>
                </c:pt>
                <c:pt idx="11">
                  <c:v>3.66</c:v>
                </c:pt>
                <c:pt idx="12">
                  <c:v>4.05</c:v>
                </c:pt>
                <c:pt idx="13">
                  <c:v>4.24</c:v>
                </c:pt>
                <c:pt idx="14">
                  <c:v>4.45</c:v>
                </c:pt>
                <c:pt idx="15">
                  <c:v>5.24</c:v>
                </c:pt>
                <c:pt idx="16">
                  <c:v>5.5419999999999998</c:v>
                </c:pt>
                <c:pt idx="17">
                  <c:v>5.9340000000000002</c:v>
                </c:pt>
                <c:pt idx="18">
                  <c:v>6.3259999999999996</c:v>
                </c:pt>
                <c:pt idx="19">
                  <c:v>6.718</c:v>
                </c:pt>
                <c:pt idx="20">
                  <c:v>7.17</c:v>
                </c:pt>
                <c:pt idx="21">
                  <c:v>7.5720000000000001</c:v>
                </c:pt>
                <c:pt idx="22">
                  <c:v>8.0340000000000007</c:v>
                </c:pt>
                <c:pt idx="23">
                  <c:v>8.4960000000000004</c:v>
                </c:pt>
                <c:pt idx="24">
                  <c:v>8.9580000000000002</c:v>
                </c:pt>
                <c:pt idx="25">
                  <c:v>9.2200000000000006</c:v>
                </c:pt>
                <c:pt idx="26">
                  <c:v>9.6359999999999992</c:v>
                </c:pt>
                <c:pt idx="27">
                  <c:v>9.8520000000000003</c:v>
                </c:pt>
                <c:pt idx="28">
                  <c:v>10.068</c:v>
                </c:pt>
                <c:pt idx="29">
                  <c:v>10.284000000000001</c:v>
                </c:pt>
                <c:pt idx="30">
                  <c:v>10.86</c:v>
                </c:pt>
                <c:pt idx="31">
                  <c:v>11.45</c:v>
                </c:pt>
                <c:pt idx="32">
                  <c:v>12.04</c:v>
                </c:pt>
                <c:pt idx="33">
                  <c:v>12.63</c:v>
                </c:pt>
                <c:pt idx="34">
                  <c:v>13.22</c:v>
                </c:pt>
                <c:pt idx="35">
                  <c:v>13.81</c:v>
                </c:pt>
                <c:pt idx="36">
                  <c:v>14.1</c:v>
                </c:pt>
                <c:pt idx="37">
                  <c:v>14.39</c:v>
                </c:pt>
                <c:pt idx="38">
                  <c:v>14.68</c:v>
                </c:pt>
                <c:pt idx="39">
                  <c:v>14.97</c:v>
                </c:pt>
                <c:pt idx="40">
                  <c:v>15.26</c:v>
                </c:pt>
                <c:pt idx="41">
                  <c:v>15.59</c:v>
                </c:pt>
                <c:pt idx="42">
                  <c:v>15.92</c:v>
                </c:pt>
                <c:pt idx="43">
                  <c:v>16.25</c:v>
                </c:pt>
                <c:pt idx="44">
                  <c:v>16.579999999999998</c:v>
                </c:pt>
                <c:pt idx="45">
                  <c:v>16.940000000000001</c:v>
                </c:pt>
                <c:pt idx="46">
                  <c:v>17.045000000000002</c:v>
                </c:pt>
                <c:pt idx="47">
                  <c:v>17.11</c:v>
                </c:pt>
                <c:pt idx="48">
                  <c:v>17.175000000000001</c:v>
                </c:pt>
                <c:pt idx="49">
                  <c:v>17.239999999999998</c:v>
                </c:pt>
                <c:pt idx="50">
                  <c:v>17.32</c:v>
                </c:pt>
                <c:pt idx="51">
                  <c:v>17.37</c:v>
                </c:pt>
                <c:pt idx="52">
                  <c:v>17.434999999999999</c:v>
                </c:pt>
                <c:pt idx="53">
                  <c:v>17.5</c:v>
                </c:pt>
                <c:pt idx="54">
                  <c:v>17.8</c:v>
                </c:pt>
                <c:pt idx="55">
                  <c:v>18</c:v>
                </c:pt>
                <c:pt idx="56">
                  <c:v>16.8</c:v>
                </c:pt>
                <c:pt idx="57">
                  <c:v>14</c:v>
                </c:pt>
                <c:pt idx="58">
                  <c:v>13.483333333333301</c:v>
                </c:pt>
                <c:pt idx="59">
                  <c:v>12.966666666666701</c:v>
                </c:pt>
                <c:pt idx="60">
                  <c:v>12.45</c:v>
                </c:pt>
              </c:numCache>
            </c:numRef>
          </c:val>
        </c:ser>
        <c:ser>
          <c:idx val="1"/>
          <c:order val="1"/>
          <c:tx>
            <c:strRef>
              <c:f>BSFC!$D$3</c:f>
              <c:strCache>
                <c:ptCount val="1"/>
                <c:pt idx="0">
                  <c:v>Torque (Nm)</c:v>
                </c:pt>
              </c:strCache>
            </c:strRef>
          </c:tx>
          <c:marker>
            <c:symbol val="none"/>
          </c:marker>
          <c:cat>
            <c:numRef>
              <c:f>BSFC!$B$4:$B$64</c:f>
              <c:numCache>
                <c:formatCode>General</c:formatCode>
                <c:ptCount val="61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  <c:pt idx="3">
                  <c:v>1300</c:v>
                </c:pt>
                <c:pt idx="4">
                  <c:v>1400</c:v>
                </c:pt>
                <c:pt idx="5">
                  <c:v>1500</c:v>
                </c:pt>
                <c:pt idx="6">
                  <c:v>1600</c:v>
                </c:pt>
                <c:pt idx="7">
                  <c:v>1700</c:v>
                </c:pt>
                <c:pt idx="8">
                  <c:v>1800</c:v>
                </c:pt>
                <c:pt idx="9">
                  <c:v>1900</c:v>
                </c:pt>
                <c:pt idx="10">
                  <c:v>2000</c:v>
                </c:pt>
                <c:pt idx="11">
                  <c:v>2100</c:v>
                </c:pt>
                <c:pt idx="12">
                  <c:v>2200</c:v>
                </c:pt>
                <c:pt idx="13">
                  <c:v>2300</c:v>
                </c:pt>
                <c:pt idx="14">
                  <c:v>2400</c:v>
                </c:pt>
                <c:pt idx="15">
                  <c:v>2500</c:v>
                </c:pt>
                <c:pt idx="16">
                  <c:v>2600</c:v>
                </c:pt>
                <c:pt idx="17">
                  <c:v>2700</c:v>
                </c:pt>
                <c:pt idx="18">
                  <c:v>2800</c:v>
                </c:pt>
                <c:pt idx="19">
                  <c:v>2900</c:v>
                </c:pt>
                <c:pt idx="20">
                  <c:v>3000</c:v>
                </c:pt>
                <c:pt idx="21">
                  <c:v>3100</c:v>
                </c:pt>
                <c:pt idx="22">
                  <c:v>3200</c:v>
                </c:pt>
                <c:pt idx="23">
                  <c:v>3300</c:v>
                </c:pt>
                <c:pt idx="24">
                  <c:v>3400</c:v>
                </c:pt>
                <c:pt idx="25">
                  <c:v>3500</c:v>
                </c:pt>
                <c:pt idx="26">
                  <c:v>3600</c:v>
                </c:pt>
                <c:pt idx="27">
                  <c:v>3700</c:v>
                </c:pt>
                <c:pt idx="28">
                  <c:v>3800</c:v>
                </c:pt>
                <c:pt idx="29">
                  <c:v>3900</c:v>
                </c:pt>
                <c:pt idx="30">
                  <c:v>4000</c:v>
                </c:pt>
                <c:pt idx="31">
                  <c:v>4100</c:v>
                </c:pt>
                <c:pt idx="32">
                  <c:v>4200</c:v>
                </c:pt>
                <c:pt idx="33">
                  <c:v>4300</c:v>
                </c:pt>
                <c:pt idx="34">
                  <c:v>4400</c:v>
                </c:pt>
                <c:pt idx="35">
                  <c:v>4500</c:v>
                </c:pt>
                <c:pt idx="36">
                  <c:v>4600</c:v>
                </c:pt>
                <c:pt idx="37">
                  <c:v>4700</c:v>
                </c:pt>
                <c:pt idx="38">
                  <c:v>4800</c:v>
                </c:pt>
                <c:pt idx="39">
                  <c:v>4900</c:v>
                </c:pt>
                <c:pt idx="40">
                  <c:v>5000</c:v>
                </c:pt>
                <c:pt idx="41">
                  <c:v>5100</c:v>
                </c:pt>
                <c:pt idx="42">
                  <c:v>5200</c:v>
                </c:pt>
                <c:pt idx="43">
                  <c:v>5300</c:v>
                </c:pt>
                <c:pt idx="44">
                  <c:v>5400</c:v>
                </c:pt>
                <c:pt idx="45">
                  <c:v>5500</c:v>
                </c:pt>
                <c:pt idx="46">
                  <c:v>5600</c:v>
                </c:pt>
                <c:pt idx="47">
                  <c:v>5700</c:v>
                </c:pt>
                <c:pt idx="48">
                  <c:v>5800</c:v>
                </c:pt>
                <c:pt idx="49">
                  <c:v>5900</c:v>
                </c:pt>
                <c:pt idx="50">
                  <c:v>6000</c:v>
                </c:pt>
                <c:pt idx="51">
                  <c:v>6100</c:v>
                </c:pt>
                <c:pt idx="52">
                  <c:v>6200</c:v>
                </c:pt>
                <c:pt idx="53">
                  <c:v>6300</c:v>
                </c:pt>
                <c:pt idx="54">
                  <c:v>6400</c:v>
                </c:pt>
                <c:pt idx="55">
                  <c:v>6500</c:v>
                </c:pt>
                <c:pt idx="56">
                  <c:v>6600</c:v>
                </c:pt>
                <c:pt idx="57">
                  <c:v>6700</c:v>
                </c:pt>
                <c:pt idx="58">
                  <c:v>6800</c:v>
                </c:pt>
                <c:pt idx="59">
                  <c:v>6900</c:v>
                </c:pt>
                <c:pt idx="60">
                  <c:v>7000</c:v>
                </c:pt>
              </c:numCache>
            </c:numRef>
          </c:cat>
          <c:val>
            <c:numRef>
              <c:f>BSFC!$D$4:$D$64</c:f>
              <c:numCache>
                <c:formatCode>General</c:formatCode>
                <c:ptCount val="61"/>
                <c:pt idx="0">
                  <c:v>4.844167171899401</c:v>
                </c:pt>
                <c:pt idx="1">
                  <c:v>5.5694970158201658</c:v>
                </c:pt>
                <c:pt idx="2">
                  <c:v>6.1145737586475279</c:v>
                </c:pt>
                <c:pt idx="3">
                  <c:v>6.5757925410399096</c:v>
                </c:pt>
                <c:pt idx="4">
                  <c:v>7.0728911438447124</c:v>
                </c:pt>
                <c:pt idx="5">
                  <c:v>7.4087262629049659</c:v>
                </c:pt>
                <c:pt idx="6">
                  <c:v>8.4594831126919665</c:v>
                </c:pt>
                <c:pt idx="7">
                  <c:v>9.3866215095628522</c:v>
                </c:pt>
                <c:pt idx="8">
                  <c:v>10.210744529003637</c:v>
                </c:pt>
                <c:pt idx="9">
                  <c:v>10.94811775692434</c:v>
                </c:pt>
                <c:pt idx="10">
                  <c:v>11.611753662052973</c:v>
                </c:pt>
                <c:pt idx="11">
                  <c:v>12.41572258343964</c:v>
                </c:pt>
                <c:pt idx="12">
                  <c:v>13.114222624460274</c:v>
                </c:pt>
                <c:pt idx="13">
                  <c:v>13.132524813844924</c:v>
                </c:pt>
                <c:pt idx="14">
                  <c:v>13.208666614554124</c:v>
                </c:pt>
                <c:pt idx="15">
                  <c:v>14.931432929854623</c:v>
                </c:pt>
                <c:pt idx="16">
                  <c:v>15.184600942684657</c:v>
                </c:pt>
                <c:pt idx="17">
                  <c:v>15.656474944472244</c:v>
                </c:pt>
                <c:pt idx="18">
                  <c:v>16.094643660417862</c:v>
                </c:pt>
                <c:pt idx="19">
                  <c:v>16.502593844229295</c:v>
                </c:pt>
                <c:pt idx="20">
                  <c:v>17.025822854175832</c:v>
                </c:pt>
                <c:pt idx="21">
                  <c:v>17.400395552951736</c:v>
                </c:pt>
                <c:pt idx="22">
                  <c:v>17.885128244044019</c:v>
                </c:pt>
                <c:pt idx="23">
                  <c:v>18.340483196282221</c:v>
                </c:pt>
                <c:pt idx="24">
                  <c:v>18.76905256309465</c:v>
                </c:pt>
                <c:pt idx="25">
                  <c:v>18.766059380215324</c:v>
                </c:pt>
                <c:pt idx="26">
                  <c:v>19.067971759976562</c:v>
                </c:pt>
                <c:pt idx="27">
                  <c:v>18.968495619059176</c:v>
                </c:pt>
                <c:pt idx="28">
                  <c:v>18.874255064505867</c:v>
                </c:pt>
                <c:pt idx="29">
                  <c:v>18.78484735890401</c:v>
                </c:pt>
                <c:pt idx="30">
                  <c:v>19.341049811333633</c:v>
                </c:pt>
                <c:pt idx="31">
                  <c:v>19.894445523044521</c:v>
                </c:pt>
                <c:pt idx="32">
                  <c:v>20.421489058007271</c:v>
                </c:pt>
                <c:pt idx="33">
                  <c:v>20.924018940181064</c:v>
                </c:pt>
                <c:pt idx="34">
                  <c:v>21.403706554983312</c:v>
                </c:pt>
                <c:pt idx="35">
                  <c:v>21.862074720238795</c:v>
                </c:pt>
                <c:pt idx="36">
                  <c:v>21.835919796605353</c:v>
                </c:pt>
                <c:pt idx="37">
                  <c:v>21.810877848445674</c:v>
                </c:pt>
                <c:pt idx="38">
                  <c:v>21.786879314792643</c:v>
                </c:pt>
                <c:pt idx="39">
                  <c:v>21.763860313125459</c:v>
                </c:pt>
                <c:pt idx="40">
                  <c:v>21.741762071524953</c:v>
                </c:pt>
                <c:pt idx="41">
                  <c:v>21.776403174715007</c:v>
                </c:pt>
                <c:pt idx="42">
                  <c:v>21.809711927782367</c:v>
                </c:pt>
                <c:pt idx="43">
                  <c:v>21.841763746771711</c:v>
                </c:pt>
                <c:pt idx="44">
                  <c:v>21.87262846135404</c:v>
                </c:pt>
                <c:pt idx="45">
                  <c:v>21.941227778603167</c:v>
                </c:pt>
                <c:pt idx="46">
                  <c:v>21.682990925689413</c:v>
                </c:pt>
                <c:pt idx="47">
                  <c:v>21.383823609700396</c:v>
                </c:pt>
                <c:pt idx="48">
                  <c:v>21.094972408055831</c:v>
                </c:pt>
                <c:pt idx="49">
                  <c:v>20.815912772568705</c:v>
                </c:pt>
                <c:pt idx="50">
                  <c:v>20.563964563063141</c:v>
                </c:pt>
                <c:pt idx="51">
                  <c:v>20.285241990330903</c:v>
                </c:pt>
                <c:pt idx="52">
                  <c:v>20.032745408459686</c:v>
                </c:pt>
                <c:pt idx="53">
                  <c:v>19.788264591092322</c:v>
                </c:pt>
                <c:pt idx="54">
                  <c:v>19.812999921831185</c:v>
                </c:pt>
                <c:pt idx="55">
                  <c:v>19.727377623119729</c:v>
                </c:pt>
                <c:pt idx="56">
                  <c:v>18.133246098019143</c:v>
                </c:pt>
                <c:pt idx="57">
                  <c:v>14.88550052822467</c:v>
                </c:pt>
                <c:pt idx="58">
                  <c:v>14.125328871347337</c:v>
                </c:pt>
                <c:pt idx="59">
                  <c:v>13.387191175539014</c:v>
                </c:pt>
                <c:pt idx="60">
                  <c:v>12.670143128182255</c:v>
                </c:pt>
              </c:numCache>
            </c:numRef>
          </c:val>
        </c:ser>
        <c:marker val="1"/>
        <c:axId val="92420352"/>
        <c:axId val="92438912"/>
      </c:lineChart>
      <c:catAx>
        <c:axId val="924203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RPM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 sz="8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2438912"/>
        <c:crosses val="autoZero"/>
        <c:auto val="1"/>
        <c:lblAlgn val="ctr"/>
        <c:lblOffset val="100"/>
      </c:catAx>
      <c:valAx>
        <c:axId val="92438912"/>
        <c:scaling>
          <c:orientation val="minMax"/>
        </c:scaling>
        <c:axPos val="l"/>
        <c:majorGridlines/>
        <c:numFmt formatCode="0.00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24203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5.7629153269024652E-2"/>
          <c:y val="0.23861772769353687"/>
          <c:w val="7.1202572347266888E-2"/>
          <c:h val="0.11674271330017287"/>
        </c:manualLayout>
      </c:layout>
      <c:overlay val="1"/>
      <c:txPr>
        <a:bodyPr/>
        <a:lstStyle/>
        <a:p>
          <a:pPr>
            <a:defRPr>
              <a:latin typeface="Times New Roman" pitchFamily="18" charset="0"/>
              <a:cs typeface="Times New Roman" pitchFamily="18" charset="0"/>
            </a:defRPr>
          </a:pPr>
          <a:endParaRPr lang="en-US"/>
        </a:p>
      </c:txPr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b="0">
                <a:latin typeface="Times New Roman" pitchFamily="18" charset="0"/>
                <a:cs typeface="Times New Roman" pitchFamily="18" charset="0"/>
              </a:defRPr>
            </a:pPr>
            <a:r>
              <a:rPr lang="en-US" b="0">
                <a:latin typeface="Times New Roman" pitchFamily="18" charset="0"/>
                <a:cs typeface="Times New Roman" pitchFamily="18" charset="0"/>
              </a:rPr>
              <a:t>Kinetic Energy(KJ) vs Distance(m)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Simulation!$Z$4</c:f>
              <c:strCache>
                <c:ptCount val="1"/>
                <c:pt idx="0">
                  <c:v>Kinetic Energy(KJ)</c:v>
                </c:pt>
              </c:strCache>
            </c:strRef>
          </c:tx>
          <c:marker>
            <c:symbol val="none"/>
          </c:marker>
          <c:cat>
            <c:numRef>
              <c:f>Simulation!$N$5:$N$319</c:f>
              <c:numCache>
                <c:formatCode>General</c:formatCode>
                <c:ptCount val="31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</c:numCache>
            </c:numRef>
          </c:cat>
          <c:val>
            <c:numRef>
              <c:f>Simulation!$Z$5:$Z$319</c:f>
              <c:numCache>
                <c:formatCode>General</c:formatCode>
                <c:ptCount val="315"/>
                <c:pt idx="0">
                  <c:v>0</c:v>
                </c:pt>
                <c:pt idx="1">
                  <c:v>0.11984607833283442</c:v>
                </c:pt>
                <c:pt idx="2">
                  <c:v>0.23950238921287667</c:v>
                </c:pt>
                <c:pt idx="3">
                  <c:v>0.35896923312293444</c:v>
                </c:pt>
                <c:pt idx="4">
                  <c:v>0.47824691007002351</c:v>
                </c:pt>
                <c:pt idx="5">
                  <c:v>0.5973357195861202</c:v>
                </c:pt>
                <c:pt idx="6">
                  <c:v>0.71623596072891405</c:v>
                </c:pt>
                <c:pt idx="7">
                  <c:v>0.83494793208255924</c:v>
                </c:pt>
                <c:pt idx="8">
                  <c:v>0.95347193175842304</c:v>
                </c:pt>
                <c:pt idx="9">
                  <c:v>1.0718082573958354</c:v>
                </c:pt>
                <c:pt idx="10">
                  <c:v>1.189957206162837</c:v>
                </c:pt>
                <c:pt idx="11">
                  <c:v>1.3079190747569249</c:v>
                </c:pt>
                <c:pt idx="12">
                  <c:v>1.4256941594057957</c:v>
                </c:pt>
                <c:pt idx="13">
                  <c:v>1.5432827558680935</c:v>
                </c:pt>
                <c:pt idx="14">
                  <c:v>1.6606851594341492</c:v>
                </c:pt>
                <c:pt idx="15">
                  <c:v>1.7779016649267225</c:v>
                </c:pt>
                <c:pt idx="16">
                  <c:v>1.8949325667017449</c:v>
                </c:pt>
                <c:pt idx="17">
                  <c:v>2.0117781586490553</c:v>
                </c:pt>
                <c:pt idx="18">
                  <c:v>2.1284387341931397</c:v>
                </c:pt>
                <c:pt idx="19">
                  <c:v>2.2449145862938686</c:v>
                </c:pt>
                <c:pt idx="20">
                  <c:v>2.3612060074472319</c:v>
                </c:pt>
                <c:pt idx="21">
                  <c:v>2.4773132896860734</c:v>
                </c:pt>
                <c:pt idx="22">
                  <c:v>2.5932367245808257</c:v>
                </c:pt>
                <c:pt idx="23">
                  <c:v>2.7089766032402385</c:v>
                </c:pt>
                <c:pt idx="24">
                  <c:v>2.8245332163121142</c:v>
                </c:pt>
                <c:pt idx="25">
                  <c:v>2.9399068539840361</c:v>
                </c:pt>
                <c:pt idx="26">
                  <c:v>3.0550978059840941</c:v>
                </c:pt>
                <c:pt idx="27">
                  <c:v>3.1701063615816181</c:v>
                </c:pt>
                <c:pt idx="28">
                  <c:v>3.2849328095878985</c:v>
                </c:pt>
                <c:pt idx="29">
                  <c:v>3.3995774383569173</c:v>
                </c:pt>
                <c:pt idx="30">
                  <c:v>3.5140405357860667</c:v>
                </c:pt>
                <c:pt idx="31">
                  <c:v>3.6283223893168768</c:v>
                </c:pt>
                <c:pt idx="32">
                  <c:v>3.742423285935732</c:v>
                </c:pt>
                <c:pt idx="33">
                  <c:v>3.8563435121745977</c:v>
                </c:pt>
                <c:pt idx="34">
                  <c:v>3.9700833541117357</c:v>
                </c:pt>
                <c:pt idx="35">
                  <c:v>4.0836430973724243</c:v>
                </c:pt>
                <c:pt idx="36">
                  <c:v>4.1970230271296742</c:v>
                </c:pt>
                <c:pt idx="37">
                  <c:v>4.3102234281049476</c:v>
                </c:pt>
                <c:pt idx="38">
                  <c:v>4.4232445845688702</c:v>
                </c:pt>
                <c:pt idx="39">
                  <c:v>4.5360867803419458</c:v>
                </c:pt>
                <c:pt idx="40">
                  <c:v>4.6487502987952682</c:v>
                </c:pt>
                <c:pt idx="41">
                  <c:v>4.7612354228512341</c:v>
                </c:pt>
                <c:pt idx="42">
                  <c:v>4.8735424349842571</c:v>
                </c:pt>
                <c:pt idx="43">
                  <c:v>4.9856716172214712</c:v>
                </c:pt>
                <c:pt idx="44">
                  <c:v>5.0976232511434389</c:v>
                </c:pt>
                <c:pt idx="45">
                  <c:v>5.2093976178848642</c:v>
                </c:pt>
                <c:pt idx="46">
                  <c:v>5.3209949981352889</c:v>
                </c:pt>
                <c:pt idx="47">
                  <c:v>5.4324156721398129</c:v>
                </c:pt>
                <c:pt idx="48">
                  <c:v>5.5436599196997793</c:v>
                </c:pt>
                <c:pt idx="49">
                  <c:v>5.6547280201734917</c:v>
                </c:pt>
                <c:pt idx="50">
                  <c:v>5.7656202524769116</c:v>
                </c:pt>
                <c:pt idx="51">
                  <c:v>5.87633689508435</c:v>
                </c:pt>
                <c:pt idx="52">
                  <c:v>5.9868782260291846</c:v>
                </c:pt>
                <c:pt idx="53">
                  <c:v>6.09724452290454</c:v>
                </c:pt>
                <c:pt idx="54">
                  <c:v>6.2074360628639962</c:v>
                </c:pt>
                <c:pt idx="55">
                  <c:v>6.317453122622279</c:v>
                </c:pt>
                <c:pt idx="56">
                  <c:v>6.4272959784559589</c:v>
                </c:pt>
                <c:pt idx="57">
                  <c:v>6.5369649062041359</c:v>
                </c:pt>
                <c:pt idx="58">
                  <c:v>6.6464601812691502</c:v>
                </c:pt>
                <c:pt idx="59">
                  <c:v>6.7557820786172531</c:v>
                </c:pt>
                <c:pt idx="60">
                  <c:v>6.8649308727793166</c:v>
                </c:pt>
                <c:pt idx="61">
                  <c:v>6.9739068378515032</c:v>
                </c:pt>
                <c:pt idx="62">
                  <c:v>6.9739068378515032</c:v>
                </c:pt>
                <c:pt idx="63">
                  <c:v>6.9739068378515032</c:v>
                </c:pt>
                <c:pt idx="64">
                  <c:v>6.9739068378515032</c:v>
                </c:pt>
                <c:pt idx="65">
                  <c:v>6.9739068378515032</c:v>
                </c:pt>
                <c:pt idx="66">
                  <c:v>7.5559061997987218</c:v>
                </c:pt>
                <c:pt idx="67">
                  <c:v>8.1365684755007628</c:v>
                </c:pt>
                <c:pt idx="68">
                  <c:v>8.7159124021901349</c:v>
                </c:pt>
                <c:pt idx="69">
                  <c:v>9.293954924290297</c:v>
                </c:pt>
                <c:pt idx="70">
                  <c:v>9.8707114894470553</c:v>
                </c:pt>
                <c:pt idx="71">
                  <c:v>10.446196279991449</c:v>
                </c:pt>
                <c:pt idx="72">
                  <c:v>11.020422396908023</c:v>
                </c:pt>
                <c:pt idx="73">
                  <c:v>11.593402008165546</c:v>
                </c:pt>
                <c:pt idx="74">
                  <c:v>12.165146469836262</c:v>
                </c:pt>
                <c:pt idx="75">
                  <c:v>12.735666426114198</c:v>
                </c:pt>
                <c:pt idx="76">
                  <c:v>13.304971892743959</c:v>
                </c:pt>
                <c:pt idx="77">
                  <c:v>13.873072327245008</c:v>
                </c:pt>
                <c:pt idx="78">
                  <c:v>14.439976688508004</c:v>
                </c:pt>
                <c:pt idx="79">
                  <c:v>15.005693487750126</c:v>
                </c:pt>
                <c:pt idx="80">
                  <c:v>15.570230832380032</c:v>
                </c:pt>
                <c:pt idx="81">
                  <c:v>16.133596463995566</c:v>
                </c:pt>
                <c:pt idx="82">
                  <c:v>16.695797791488769</c:v>
                </c:pt>
                <c:pt idx="83">
                  <c:v>17.010828988184429</c:v>
                </c:pt>
                <c:pt idx="84">
                  <c:v>17.570722744790508</c:v>
                </c:pt>
                <c:pt idx="85">
                  <c:v>18.129456188902768</c:v>
                </c:pt>
                <c:pt idx="86">
                  <c:v>18.687035837823156</c:v>
                </c:pt>
                <c:pt idx="87">
                  <c:v>19.243467981913977</c:v>
                </c:pt>
                <c:pt idx="88">
                  <c:v>19.798758701478377</c:v>
                </c:pt>
                <c:pt idx="89">
                  <c:v>20.352913881896676</c:v>
                </c:pt>
                <c:pt idx="90">
                  <c:v>20.905939227244325</c:v>
                </c:pt>
                <c:pt idx="91">
                  <c:v>21.457840272582686</c:v>
                </c:pt>
                <c:pt idx="92">
                  <c:v>22.008622395085048</c:v>
                </c:pt>
                <c:pt idx="93">
                  <c:v>22.558290824136691</c:v>
                </c:pt>
                <c:pt idx="94">
                  <c:v>23.106850650528056</c:v>
                </c:pt>
                <c:pt idx="95">
                  <c:v>23.65430683484345</c:v>
                </c:pt>
                <c:pt idx="96">
                  <c:v>24.200664215134211</c:v>
                </c:pt>
                <c:pt idx="97">
                  <c:v>24.745927513953088</c:v>
                </c:pt>
                <c:pt idx="98">
                  <c:v>25.29010134481717</c:v>
                </c:pt>
                <c:pt idx="99">
                  <c:v>25.833190218157863</c:v>
                </c:pt>
                <c:pt idx="100">
                  <c:v>26.375198546809443</c:v>
                </c:pt>
                <c:pt idx="101">
                  <c:v>26.916130651081446</c:v>
                </c:pt>
                <c:pt idx="102">
                  <c:v>27.455990763454853</c:v>
                </c:pt>
                <c:pt idx="103">
                  <c:v>27.994783032937331</c:v>
                </c:pt>
                <c:pt idx="104">
                  <c:v>28.53251152910903</c:v>
                </c:pt>
                <c:pt idx="105">
                  <c:v>29.069180245886713</c:v>
                </c:pt>
                <c:pt idx="106">
                  <c:v>29.604793105031199</c:v>
                </c:pt>
                <c:pt idx="107">
                  <c:v>30.139353959420227</c:v>
                </c:pt>
                <c:pt idx="108">
                  <c:v>30.672866596106797</c:v>
                </c:pt>
                <c:pt idx="109">
                  <c:v>31.205334739180802</c:v>
                </c:pt>
                <c:pt idx="110">
                  <c:v>31.51408303668423</c:v>
                </c:pt>
                <c:pt idx="111">
                  <c:v>32.044473126189267</c:v>
                </c:pt>
                <c:pt idx="112">
                  <c:v>32.573822243949373</c:v>
                </c:pt>
                <c:pt idx="113">
                  <c:v>33.102133936704242</c:v>
                </c:pt>
                <c:pt idx="114">
                  <c:v>33.629411699029042</c:v>
                </c:pt>
                <c:pt idx="115">
                  <c:v>34.155658975358918</c:v>
                </c:pt>
                <c:pt idx="116">
                  <c:v>34.680879161897835</c:v>
                </c:pt>
                <c:pt idx="117">
                  <c:v>35.205075608420259</c:v>
                </c:pt>
                <c:pt idx="118">
                  <c:v>35.728251619973456</c:v>
                </c:pt>
                <c:pt idx="119">
                  <c:v>36.250410458487195</c:v>
                </c:pt>
                <c:pt idx="120">
                  <c:v>36.771555344297511</c:v>
                </c:pt>
                <c:pt idx="121">
                  <c:v>37.291689457590273</c:v>
                </c:pt>
                <c:pt idx="122">
                  <c:v>37.810815939769967</c:v>
                </c:pt>
                <c:pt idx="123">
                  <c:v>38.328937894758781</c:v>
                </c:pt>
                <c:pt idx="124">
                  <c:v>38.846058390230311</c:v>
                </c:pt>
                <c:pt idx="125">
                  <c:v>39.362180458782376</c:v>
                </c:pt>
                <c:pt idx="126">
                  <c:v>39.87730709905253</c:v>
                </c:pt>
                <c:pt idx="127">
                  <c:v>40.39144127678005</c:v>
                </c:pt>
                <c:pt idx="128">
                  <c:v>40.904585925817749</c:v>
                </c:pt>
                <c:pt idx="129">
                  <c:v>41.416743949096329</c:v>
                </c:pt>
                <c:pt idx="130">
                  <c:v>41.927918219544516</c:v>
                </c:pt>
                <c:pt idx="131">
                  <c:v>42.438111580967401</c:v>
                </c:pt>
                <c:pt idx="132">
                  <c:v>42.947326848885439</c:v>
                </c:pt>
                <c:pt idx="133">
                  <c:v>43.455566811336354</c:v>
                </c:pt>
                <c:pt idx="134">
                  <c:v>43.962834229642205</c:v>
                </c:pt>
                <c:pt idx="135">
                  <c:v>44.46913183914333</c:v>
                </c:pt>
                <c:pt idx="136">
                  <c:v>44.974462349901181</c:v>
                </c:pt>
                <c:pt idx="137">
                  <c:v>45.478828447371782</c:v>
                </c:pt>
                <c:pt idx="138">
                  <c:v>45.982232793051232</c:v>
                </c:pt>
                <c:pt idx="139">
                  <c:v>46.484678025094865</c:v>
                </c:pt>
                <c:pt idx="140">
                  <c:v>46.986166758911423</c:v>
                </c:pt>
                <c:pt idx="141">
                  <c:v>47.486701587733599</c:v>
                </c:pt>
                <c:pt idx="142">
                  <c:v>47.986285083166067</c:v>
                </c:pt>
                <c:pt idx="143">
                  <c:v>48.484919795712216</c:v>
                </c:pt>
                <c:pt idx="144">
                  <c:v>48.982608255280667</c:v>
                </c:pt>
                <c:pt idx="145">
                  <c:v>49.479352971672554</c:v>
                </c:pt>
                <c:pt idx="146">
                  <c:v>49.975156435050458</c:v>
                </c:pt>
                <c:pt idx="147">
                  <c:v>50.470021116390036</c:v>
                </c:pt>
                <c:pt idx="148">
                  <c:v>50.963949467915029</c:v>
                </c:pt>
                <c:pt idx="149">
                  <c:v>51.456943923516548</c:v>
                </c:pt>
                <c:pt idx="150">
                  <c:v>51.949006899157226</c:v>
                </c:pt>
                <c:pt idx="151">
                  <c:v>52.440140793261214</c:v>
                </c:pt>
                <c:pt idx="152">
                  <c:v>52.930347987090379</c:v>
                </c:pt>
                <c:pt idx="153">
                  <c:v>53.419630845107463</c:v>
                </c:pt>
                <c:pt idx="154">
                  <c:v>53.578457521658208</c:v>
                </c:pt>
                <c:pt idx="155">
                  <c:v>53.578457521658208</c:v>
                </c:pt>
                <c:pt idx="156">
                  <c:v>53.578457521658208</c:v>
                </c:pt>
                <c:pt idx="157">
                  <c:v>53.578457521658208</c:v>
                </c:pt>
                <c:pt idx="158">
                  <c:v>53.578457521658208</c:v>
                </c:pt>
                <c:pt idx="159">
                  <c:v>53.578457521658208</c:v>
                </c:pt>
                <c:pt idx="160">
                  <c:v>53.578457521658208</c:v>
                </c:pt>
                <c:pt idx="161">
                  <c:v>53.578457521658208</c:v>
                </c:pt>
                <c:pt idx="162">
                  <c:v>53.578457521658208</c:v>
                </c:pt>
                <c:pt idx="163">
                  <c:v>53.578457521658208</c:v>
                </c:pt>
                <c:pt idx="164">
                  <c:v>53.578457521658208</c:v>
                </c:pt>
                <c:pt idx="165">
                  <c:v>53.578457521658208</c:v>
                </c:pt>
                <c:pt idx="166">
                  <c:v>53.578457521658208</c:v>
                </c:pt>
                <c:pt idx="167">
                  <c:v>53.578457521658208</c:v>
                </c:pt>
                <c:pt idx="168">
                  <c:v>53.578457521658208</c:v>
                </c:pt>
                <c:pt idx="169">
                  <c:v>53.578457521658208</c:v>
                </c:pt>
                <c:pt idx="170">
                  <c:v>53.578457521658208</c:v>
                </c:pt>
                <c:pt idx="171">
                  <c:v>53.578457521658208</c:v>
                </c:pt>
                <c:pt idx="172">
                  <c:v>53.578457521658208</c:v>
                </c:pt>
                <c:pt idx="173">
                  <c:v>53.578457521658208</c:v>
                </c:pt>
                <c:pt idx="174">
                  <c:v>52.95581435896127</c:v>
                </c:pt>
                <c:pt idx="175">
                  <c:v>52.331962513989666</c:v>
                </c:pt>
                <c:pt idx="176">
                  <c:v>51.706899640435097</c:v>
                </c:pt>
                <c:pt idx="177">
                  <c:v>51.080623387434528</c:v>
                </c:pt>
                <c:pt idx="178">
                  <c:v>50.453131399561428</c:v>
                </c:pt>
                <c:pt idx="179">
                  <c:v>49.824421316816881</c:v>
                </c:pt>
                <c:pt idx="180">
                  <c:v>49.194490774620697</c:v>
                </c:pt>
                <c:pt idx="181">
                  <c:v>48.563337403802564</c:v>
                </c:pt>
                <c:pt idx="182">
                  <c:v>47.930958830593084</c:v>
                </c:pt>
                <c:pt idx="183">
                  <c:v>47.297352676614864</c:v>
                </c:pt>
                <c:pt idx="184">
                  <c:v>46.662516558873619</c:v>
                </c:pt>
                <c:pt idx="185">
                  <c:v>46.026448089749131</c:v>
                </c:pt>
                <c:pt idx="186">
                  <c:v>45.389144876986293</c:v>
                </c:pt>
                <c:pt idx="187">
                  <c:v>44.750604523686164</c:v>
                </c:pt>
                <c:pt idx="188">
                  <c:v>44.110824628296889</c:v>
                </c:pt>
                <c:pt idx="189">
                  <c:v>43.469802784604703</c:v>
                </c:pt>
                <c:pt idx="190">
                  <c:v>42.827536581724864</c:v>
                </c:pt>
                <c:pt idx="191">
                  <c:v>42.184023604092602</c:v>
                </c:pt>
                <c:pt idx="192">
                  <c:v>41.539261431453994</c:v>
                </c:pt>
                <c:pt idx="193">
                  <c:v>40.89324763885692</c:v>
                </c:pt>
                <c:pt idx="194">
                  <c:v>40.245979796641912</c:v>
                </c:pt>
                <c:pt idx="195">
                  <c:v>39.597455470433012</c:v>
                </c:pt>
                <c:pt idx="196">
                  <c:v>38.947672221128634</c:v>
                </c:pt>
                <c:pt idx="197">
                  <c:v>38.296627604892372</c:v>
                </c:pt>
                <c:pt idx="198">
                  <c:v>37.644319173143785</c:v>
                </c:pt>
                <c:pt idx="199">
                  <c:v>36.990744472549274</c:v>
                </c:pt>
                <c:pt idx="200">
                  <c:v>36.335901045012754</c:v>
                </c:pt>
                <c:pt idx="201">
                  <c:v>35.679786427666485</c:v>
                </c:pt>
                <c:pt idx="202">
                  <c:v>35.022398152861761</c:v>
                </c:pt>
                <c:pt idx="203">
                  <c:v>34.363733748159653</c:v>
                </c:pt>
                <c:pt idx="204">
                  <c:v>33.703790736321707</c:v>
                </c:pt>
                <c:pt idx="205">
                  <c:v>33.042566635300631</c:v>
                </c:pt>
                <c:pt idx="206">
                  <c:v>32.38005895823094</c:v>
                </c:pt>
                <c:pt idx="207">
                  <c:v>31.716265213419611</c:v>
                </c:pt>
                <c:pt idx="208">
                  <c:v>31.270591060349155</c:v>
                </c:pt>
                <c:pt idx="209">
                  <c:v>30.604217685618519</c:v>
                </c:pt>
                <c:pt idx="210">
                  <c:v>29.936559815274798</c:v>
                </c:pt>
                <c:pt idx="211">
                  <c:v>29.267614973335245</c:v>
                </c:pt>
                <c:pt idx="212">
                  <c:v>30.023390776343135</c:v>
                </c:pt>
                <c:pt idx="213">
                  <c:v>30.778221556233266</c:v>
                </c:pt>
                <c:pt idx="214">
                  <c:v>31.310862082702059</c:v>
                </c:pt>
                <c:pt idx="215">
                  <c:v>32.063796423067132</c:v>
                </c:pt>
                <c:pt idx="216">
                  <c:v>32.815772882830203</c:v>
                </c:pt>
                <c:pt idx="217">
                  <c:v>33.566789649703466</c:v>
                </c:pt>
                <c:pt idx="218">
                  <c:v>34.316845028639825</c:v>
                </c:pt>
                <c:pt idx="219">
                  <c:v>35.065937435172913</c:v>
                </c:pt>
                <c:pt idx="220">
                  <c:v>35.814065389271555</c:v>
                </c:pt>
                <c:pt idx="221">
                  <c:v>36.561227509658195</c:v>
                </c:pt>
                <c:pt idx="222">
                  <c:v>37.307422508547397</c:v>
                </c:pt>
                <c:pt idx="223">
                  <c:v>38.052649186764761</c:v>
                </c:pt>
                <c:pt idx="224">
                  <c:v>38.796906429211759</c:v>
                </c:pt>
                <c:pt idx="225">
                  <c:v>39.540193200645128</c:v>
                </c:pt>
                <c:pt idx="226">
                  <c:v>40.282508541743482</c:v>
                </c:pt>
                <c:pt idx="227">
                  <c:v>41.023851565436189</c:v>
                </c:pt>
                <c:pt idx="228">
                  <c:v>41.764221453472388</c:v>
                </c:pt>
                <c:pt idx="229">
                  <c:v>42.503617453210197</c:v>
                </c:pt>
                <c:pt idx="230">
                  <c:v>43.24203887460822</c:v>
                </c:pt>
                <c:pt idx="231">
                  <c:v>43.979485087403184</c:v>
                </c:pt>
                <c:pt idx="232">
                  <c:v>44.715955518458969</c:v>
                </c:pt>
                <c:pt idx="233">
                  <c:v>45.451449649273947</c:v>
                </c:pt>
                <c:pt idx="234">
                  <c:v>46.185967013634496</c:v>
                </c:pt>
                <c:pt idx="235">
                  <c:v>46.919507195403909</c:v>
                </c:pt>
                <c:pt idx="236">
                  <c:v>47.652069826436659</c:v>
                </c:pt>
                <c:pt idx="237">
                  <c:v>48.383654584609012</c:v>
                </c:pt>
                <c:pt idx="238">
                  <c:v>49.114261191957745</c:v>
                </c:pt>
                <c:pt idx="239">
                  <c:v>49.843889412919424</c:v>
                </c:pt>
                <c:pt idx="240">
                  <c:v>50.572539052663238</c:v>
                </c:pt>
                <c:pt idx="241">
                  <c:v>51.300209955511228</c:v>
                </c:pt>
                <c:pt idx="242">
                  <c:v>52.026902003439815</c:v>
                </c:pt>
                <c:pt idx="243">
                  <c:v>52.752615114657644</c:v>
                </c:pt>
                <c:pt idx="244">
                  <c:v>53.477349242254391</c:v>
                </c:pt>
                <c:pt idx="245">
                  <c:v>53.578457521658208</c:v>
                </c:pt>
                <c:pt idx="246">
                  <c:v>53.578457521658208</c:v>
                </c:pt>
                <c:pt idx="247">
                  <c:v>53.578457521658208</c:v>
                </c:pt>
                <c:pt idx="248">
                  <c:v>53.578457521658208</c:v>
                </c:pt>
                <c:pt idx="249">
                  <c:v>53.578457521658208</c:v>
                </c:pt>
                <c:pt idx="250">
                  <c:v>53.578457521658208</c:v>
                </c:pt>
                <c:pt idx="251">
                  <c:v>53.578457521658208</c:v>
                </c:pt>
                <c:pt idx="252">
                  <c:v>53.578457521658208</c:v>
                </c:pt>
                <c:pt idx="253">
                  <c:v>53.578457521658208</c:v>
                </c:pt>
                <c:pt idx="254">
                  <c:v>53.578457521658208</c:v>
                </c:pt>
                <c:pt idx="255">
                  <c:v>53.578457521658208</c:v>
                </c:pt>
                <c:pt idx="256">
                  <c:v>53.578457521658208</c:v>
                </c:pt>
                <c:pt idx="257">
                  <c:v>53.578457521658208</c:v>
                </c:pt>
                <c:pt idx="258">
                  <c:v>53.578457521658208</c:v>
                </c:pt>
                <c:pt idx="259">
                  <c:v>53.578457521658208</c:v>
                </c:pt>
                <c:pt idx="260">
                  <c:v>53.578457521658208</c:v>
                </c:pt>
                <c:pt idx="261">
                  <c:v>53.578457521658208</c:v>
                </c:pt>
                <c:pt idx="262">
                  <c:v>53.578457521658208</c:v>
                </c:pt>
                <c:pt idx="263">
                  <c:v>53.578457521658208</c:v>
                </c:pt>
                <c:pt idx="264">
                  <c:v>53.578457521658208</c:v>
                </c:pt>
                <c:pt idx="265">
                  <c:v>53.578457521658208</c:v>
                </c:pt>
                <c:pt idx="266">
                  <c:v>53.578457521658208</c:v>
                </c:pt>
                <c:pt idx="267">
                  <c:v>53.578457521658208</c:v>
                </c:pt>
                <c:pt idx="268">
                  <c:v>53.578457521658208</c:v>
                </c:pt>
                <c:pt idx="269">
                  <c:v>53.578457521658208</c:v>
                </c:pt>
                <c:pt idx="270">
                  <c:v>53.578457521658208</c:v>
                </c:pt>
                <c:pt idx="271">
                  <c:v>53.578457521658208</c:v>
                </c:pt>
                <c:pt idx="272">
                  <c:v>53.578457521658208</c:v>
                </c:pt>
                <c:pt idx="273">
                  <c:v>53.578457521658208</c:v>
                </c:pt>
                <c:pt idx="274">
                  <c:v>53.578457521658208</c:v>
                </c:pt>
                <c:pt idx="275">
                  <c:v>53.578457521658208</c:v>
                </c:pt>
                <c:pt idx="276">
                  <c:v>53.578457521658208</c:v>
                </c:pt>
                <c:pt idx="277">
                  <c:v>53.578457521658208</c:v>
                </c:pt>
                <c:pt idx="278">
                  <c:v>53.578457521658208</c:v>
                </c:pt>
                <c:pt idx="279">
                  <c:v>53.578457521658208</c:v>
                </c:pt>
                <c:pt idx="280">
                  <c:v>53.578457521658208</c:v>
                </c:pt>
                <c:pt idx="281">
                  <c:v>53.578457521658208</c:v>
                </c:pt>
                <c:pt idx="282">
                  <c:v>53.578457521658208</c:v>
                </c:pt>
                <c:pt idx="283">
                  <c:v>53.578457521658208</c:v>
                </c:pt>
                <c:pt idx="284">
                  <c:v>53.578457521658208</c:v>
                </c:pt>
                <c:pt idx="285">
                  <c:v>53.578457521658208</c:v>
                </c:pt>
                <c:pt idx="286">
                  <c:v>53.578457521658208</c:v>
                </c:pt>
                <c:pt idx="287">
                  <c:v>53.578457521658208</c:v>
                </c:pt>
                <c:pt idx="288">
                  <c:v>53.578457521658208</c:v>
                </c:pt>
                <c:pt idx="289">
                  <c:v>53.578457521658208</c:v>
                </c:pt>
                <c:pt idx="290">
                  <c:v>53.578457521658208</c:v>
                </c:pt>
                <c:pt idx="291">
                  <c:v>53.578457521658208</c:v>
                </c:pt>
                <c:pt idx="292">
                  <c:v>53.578457521658208</c:v>
                </c:pt>
                <c:pt idx="293">
                  <c:v>53.578457521658208</c:v>
                </c:pt>
                <c:pt idx="294">
                  <c:v>53.578457521658208</c:v>
                </c:pt>
                <c:pt idx="295">
                  <c:v>53.578457521658208</c:v>
                </c:pt>
                <c:pt idx="296">
                  <c:v>53.578457521658208</c:v>
                </c:pt>
                <c:pt idx="297">
                  <c:v>53.578457521658208</c:v>
                </c:pt>
                <c:pt idx="298">
                  <c:v>53.578457521658208</c:v>
                </c:pt>
                <c:pt idx="299">
                  <c:v>53.578457521658208</c:v>
                </c:pt>
                <c:pt idx="300">
                  <c:v>53.578457521658208</c:v>
                </c:pt>
                <c:pt idx="301">
                  <c:v>53.578457521658208</c:v>
                </c:pt>
                <c:pt idx="302">
                  <c:v>53.578457521658208</c:v>
                </c:pt>
                <c:pt idx="303">
                  <c:v>53.578457521658208</c:v>
                </c:pt>
                <c:pt idx="304">
                  <c:v>53.578457521658208</c:v>
                </c:pt>
                <c:pt idx="305">
                  <c:v>53.578457521658208</c:v>
                </c:pt>
                <c:pt idx="306">
                  <c:v>53.578457521658208</c:v>
                </c:pt>
                <c:pt idx="307">
                  <c:v>53.578457521658208</c:v>
                </c:pt>
                <c:pt idx="308">
                  <c:v>53.578457521658208</c:v>
                </c:pt>
                <c:pt idx="309">
                  <c:v>53.578457521658208</c:v>
                </c:pt>
                <c:pt idx="310">
                  <c:v>53.578457521658208</c:v>
                </c:pt>
                <c:pt idx="311">
                  <c:v>53.578457521658208</c:v>
                </c:pt>
                <c:pt idx="312">
                  <c:v>53.578457521658208</c:v>
                </c:pt>
                <c:pt idx="313">
                  <c:v>53.578457521658208</c:v>
                </c:pt>
                <c:pt idx="314">
                  <c:v>53.578457521658208</c:v>
                </c:pt>
              </c:numCache>
            </c:numRef>
          </c:val>
        </c:ser>
        <c:marker val="1"/>
        <c:axId val="92540928"/>
        <c:axId val="92542848"/>
      </c:lineChart>
      <c:catAx>
        <c:axId val="925409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Distance(m)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 sz="8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2542848"/>
        <c:crosses val="autoZero"/>
        <c:auto val="1"/>
        <c:lblAlgn val="ctr"/>
        <c:lblOffset val="100"/>
      </c:catAx>
      <c:valAx>
        <c:axId val="9254284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Kinetic Energy (KJ)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2540928"/>
        <c:crosses val="autoZero"/>
        <c:crossBetween val="between"/>
      </c:valAx>
    </c:plotArea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b="0">
                <a:latin typeface="Times New Roman" pitchFamily="18" charset="0"/>
                <a:cs typeface="Times New Roman" pitchFamily="18" charset="0"/>
              </a:defRPr>
            </a:pPr>
            <a:r>
              <a:rPr lang="en-US" b="0">
                <a:latin typeface="Times New Roman" pitchFamily="18" charset="0"/>
                <a:cs typeface="Times New Roman" pitchFamily="18" charset="0"/>
              </a:rPr>
              <a:t>Rolling Resistance(N) vs Distance (m)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Simulation!$T$4</c:f>
              <c:strCache>
                <c:ptCount val="1"/>
                <c:pt idx="0">
                  <c:v>Rolling Resistance(N)</c:v>
                </c:pt>
              </c:strCache>
            </c:strRef>
          </c:tx>
          <c:marker>
            <c:symbol val="none"/>
          </c:marker>
          <c:val>
            <c:numRef>
              <c:f>Simulation!$T$5:$T$319</c:f>
              <c:numCache>
                <c:formatCode>General</c:formatCode>
                <c:ptCount val="315"/>
                <c:pt idx="0">
                  <c:v>409.43800800000002</c:v>
                </c:pt>
                <c:pt idx="1">
                  <c:v>409.43800800000002</c:v>
                </c:pt>
                <c:pt idx="2">
                  <c:v>409.43800800000002</c:v>
                </c:pt>
                <c:pt idx="3">
                  <c:v>409.43800800000002</c:v>
                </c:pt>
                <c:pt idx="4">
                  <c:v>409.43800800000002</c:v>
                </c:pt>
                <c:pt idx="5">
                  <c:v>409.43800800000002</c:v>
                </c:pt>
                <c:pt idx="6">
                  <c:v>409.43800800000002</c:v>
                </c:pt>
                <c:pt idx="7">
                  <c:v>409.43800800000002</c:v>
                </c:pt>
                <c:pt idx="8">
                  <c:v>409.43800800000002</c:v>
                </c:pt>
                <c:pt idx="9">
                  <c:v>409.43800800000002</c:v>
                </c:pt>
                <c:pt idx="10">
                  <c:v>409.43800800000002</c:v>
                </c:pt>
                <c:pt idx="11">
                  <c:v>409.43800800000002</c:v>
                </c:pt>
                <c:pt idx="12">
                  <c:v>409.43800800000002</c:v>
                </c:pt>
                <c:pt idx="13">
                  <c:v>409.43800800000002</c:v>
                </c:pt>
                <c:pt idx="14">
                  <c:v>409.43800800000002</c:v>
                </c:pt>
                <c:pt idx="15">
                  <c:v>409.43800800000002</c:v>
                </c:pt>
                <c:pt idx="16">
                  <c:v>409.43800800000002</c:v>
                </c:pt>
                <c:pt idx="17">
                  <c:v>409.43800800000002</c:v>
                </c:pt>
                <c:pt idx="18">
                  <c:v>409.43800800000002</c:v>
                </c:pt>
                <c:pt idx="19">
                  <c:v>409.43800800000002</c:v>
                </c:pt>
                <c:pt idx="20">
                  <c:v>409.43800800000002</c:v>
                </c:pt>
                <c:pt idx="21">
                  <c:v>409.43800800000002</c:v>
                </c:pt>
                <c:pt idx="22">
                  <c:v>409.43800800000002</c:v>
                </c:pt>
                <c:pt idx="23">
                  <c:v>409.43800800000002</c:v>
                </c:pt>
                <c:pt idx="24">
                  <c:v>409.43800800000002</c:v>
                </c:pt>
                <c:pt idx="25">
                  <c:v>409.43800800000002</c:v>
                </c:pt>
                <c:pt idx="26">
                  <c:v>409.43800800000002</c:v>
                </c:pt>
                <c:pt idx="27">
                  <c:v>409.43800800000002</c:v>
                </c:pt>
                <c:pt idx="28">
                  <c:v>409.43800800000002</c:v>
                </c:pt>
                <c:pt idx="29">
                  <c:v>409.43800800000002</c:v>
                </c:pt>
                <c:pt idx="30">
                  <c:v>409.43800800000002</c:v>
                </c:pt>
                <c:pt idx="31">
                  <c:v>409.43800800000002</c:v>
                </c:pt>
                <c:pt idx="32">
                  <c:v>409.43800800000002</c:v>
                </c:pt>
                <c:pt idx="33">
                  <c:v>409.43800800000002</c:v>
                </c:pt>
                <c:pt idx="34">
                  <c:v>409.43800800000002</c:v>
                </c:pt>
                <c:pt idx="35">
                  <c:v>409.43800800000002</c:v>
                </c:pt>
                <c:pt idx="36">
                  <c:v>409.43800800000002</c:v>
                </c:pt>
                <c:pt idx="37">
                  <c:v>409.43800800000002</c:v>
                </c:pt>
                <c:pt idx="38">
                  <c:v>409.43800800000002</c:v>
                </c:pt>
                <c:pt idx="39">
                  <c:v>409.43800800000002</c:v>
                </c:pt>
                <c:pt idx="40">
                  <c:v>409.43800800000002</c:v>
                </c:pt>
                <c:pt idx="41">
                  <c:v>409.43800800000002</c:v>
                </c:pt>
                <c:pt idx="42">
                  <c:v>409.43800800000002</c:v>
                </c:pt>
                <c:pt idx="43">
                  <c:v>409.43800800000002</c:v>
                </c:pt>
                <c:pt idx="44">
                  <c:v>409.43800800000002</c:v>
                </c:pt>
                <c:pt idx="45">
                  <c:v>409.43800800000002</c:v>
                </c:pt>
                <c:pt idx="46">
                  <c:v>409.43800800000002</c:v>
                </c:pt>
                <c:pt idx="47">
                  <c:v>409.43800800000002</c:v>
                </c:pt>
                <c:pt idx="48">
                  <c:v>409.43800800000002</c:v>
                </c:pt>
                <c:pt idx="49">
                  <c:v>409.43800800000002</c:v>
                </c:pt>
                <c:pt idx="50">
                  <c:v>409.43800800000002</c:v>
                </c:pt>
                <c:pt idx="51">
                  <c:v>409.43800800000002</c:v>
                </c:pt>
                <c:pt idx="52">
                  <c:v>409.43800800000002</c:v>
                </c:pt>
                <c:pt idx="53">
                  <c:v>409.43800800000002</c:v>
                </c:pt>
                <c:pt idx="54">
                  <c:v>409.43800800000002</c:v>
                </c:pt>
                <c:pt idx="55">
                  <c:v>409.43800800000002</c:v>
                </c:pt>
                <c:pt idx="56">
                  <c:v>409.43800800000002</c:v>
                </c:pt>
                <c:pt idx="57">
                  <c:v>409.43800800000002</c:v>
                </c:pt>
                <c:pt idx="58">
                  <c:v>409.43800800000002</c:v>
                </c:pt>
                <c:pt idx="59">
                  <c:v>409.43800800000002</c:v>
                </c:pt>
                <c:pt idx="60">
                  <c:v>409.43800800000002</c:v>
                </c:pt>
                <c:pt idx="61">
                  <c:v>102.35950200000001</c:v>
                </c:pt>
                <c:pt idx="62">
                  <c:v>102.35950200000001</c:v>
                </c:pt>
                <c:pt idx="63">
                  <c:v>102.35950200000001</c:v>
                </c:pt>
                <c:pt idx="64">
                  <c:v>102.35950200000001</c:v>
                </c:pt>
                <c:pt idx="65">
                  <c:v>102.35950200000001</c:v>
                </c:pt>
                <c:pt idx="66">
                  <c:v>102.35950200000001</c:v>
                </c:pt>
                <c:pt idx="67">
                  <c:v>102.35950200000001</c:v>
                </c:pt>
                <c:pt idx="68">
                  <c:v>102.35950200000001</c:v>
                </c:pt>
                <c:pt idx="69">
                  <c:v>102.35950200000001</c:v>
                </c:pt>
                <c:pt idx="70">
                  <c:v>102.35950200000001</c:v>
                </c:pt>
                <c:pt idx="71">
                  <c:v>102.35950200000001</c:v>
                </c:pt>
                <c:pt idx="72">
                  <c:v>102.35950200000001</c:v>
                </c:pt>
                <c:pt idx="73">
                  <c:v>102.35950200000001</c:v>
                </c:pt>
                <c:pt idx="74">
                  <c:v>102.35950200000001</c:v>
                </c:pt>
                <c:pt idx="75">
                  <c:v>102.35950200000001</c:v>
                </c:pt>
                <c:pt idx="76">
                  <c:v>102.35950200000001</c:v>
                </c:pt>
                <c:pt idx="77">
                  <c:v>102.35950200000001</c:v>
                </c:pt>
                <c:pt idx="78">
                  <c:v>102.35950200000001</c:v>
                </c:pt>
                <c:pt idx="79">
                  <c:v>102.35950200000001</c:v>
                </c:pt>
                <c:pt idx="80">
                  <c:v>102.35950200000001</c:v>
                </c:pt>
                <c:pt idx="81">
                  <c:v>102.35950200000001</c:v>
                </c:pt>
                <c:pt idx="82">
                  <c:v>102.35950200000001</c:v>
                </c:pt>
                <c:pt idx="83">
                  <c:v>102.35950200000001</c:v>
                </c:pt>
                <c:pt idx="84">
                  <c:v>102.35950200000001</c:v>
                </c:pt>
                <c:pt idx="85">
                  <c:v>102.35950200000001</c:v>
                </c:pt>
                <c:pt idx="86">
                  <c:v>102.35950200000001</c:v>
                </c:pt>
                <c:pt idx="87">
                  <c:v>102.35950200000001</c:v>
                </c:pt>
                <c:pt idx="88">
                  <c:v>102.35950200000001</c:v>
                </c:pt>
                <c:pt idx="89">
                  <c:v>102.35950200000001</c:v>
                </c:pt>
                <c:pt idx="90">
                  <c:v>102.35950200000001</c:v>
                </c:pt>
                <c:pt idx="91">
                  <c:v>102.35950200000001</c:v>
                </c:pt>
                <c:pt idx="92">
                  <c:v>102.35950200000001</c:v>
                </c:pt>
                <c:pt idx="93">
                  <c:v>102.35950200000001</c:v>
                </c:pt>
                <c:pt idx="94">
                  <c:v>102.35950200000001</c:v>
                </c:pt>
                <c:pt idx="95">
                  <c:v>102.35950200000001</c:v>
                </c:pt>
                <c:pt idx="96">
                  <c:v>102.35950200000001</c:v>
                </c:pt>
                <c:pt idx="97">
                  <c:v>102.35950200000001</c:v>
                </c:pt>
                <c:pt idx="98">
                  <c:v>102.35950200000001</c:v>
                </c:pt>
                <c:pt idx="99">
                  <c:v>102.35950200000001</c:v>
                </c:pt>
                <c:pt idx="100">
                  <c:v>102.35950200000001</c:v>
                </c:pt>
                <c:pt idx="101">
                  <c:v>102.35950200000001</c:v>
                </c:pt>
                <c:pt idx="102">
                  <c:v>102.35950200000001</c:v>
                </c:pt>
                <c:pt idx="103">
                  <c:v>102.35950200000001</c:v>
                </c:pt>
                <c:pt idx="104">
                  <c:v>102.35950200000001</c:v>
                </c:pt>
                <c:pt idx="105">
                  <c:v>102.35950200000001</c:v>
                </c:pt>
                <c:pt idx="106">
                  <c:v>102.35950200000001</c:v>
                </c:pt>
                <c:pt idx="107">
                  <c:v>102.35950200000001</c:v>
                </c:pt>
                <c:pt idx="108">
                  <c:v>102.35950200000001</c:v>
                </c:pt>
                <c:pt idx="109">
                  <c:v>102.35950200000001</c:v>
                </c:pt>
                <c:pt idx="110">
                  <c:v>102.35950200000001</c:v>
                </c:pt>
                <c:pt idx="111">
                  <c:v>102.35950200000001</c:v>
                </c:pt>
                <c:pt idx="112">
                  <c:v>102.35950200000001</c:v>
                </c:pt>
                <c:pt idx="113">
                  <c:v>102.35950200000001</c:v>
                </c:pt>
                <c:pt idx="114">
                  <c:v>102.35950200000001</c:v>
                </c:pt>
                <c:pt idx="115">
                  <c:v>102.35950200000001</c:v>
                </c:pt>
                <c:pt idx="116">
                  <c:v>102.35950200000001</c:v>
                </c:pt>
                <c:pt idx="117">
                  <c:v>102.35950200000001</c:v>
                </c:pt>
                <c:pt idx="118">
                  <c:v>102.35950200000001</c:v>
                </c:pt>
                <c:pt idx="119">
                  <c:v>102.35950200000001</c:v>
                </c:pt>
                <c:pt idx="120">
                  <c:v>102.35950200000001</c:v>
                </c:pt>
                <c:pt idx="121">
                  <c:v>102.35950200000001</c:v>
                </c:pt>
                <c:pt idx="122">
                  <c:v>102.35950200000001</c:v>
                </c:pt>
                <c:pt idx="123">
                  <c:v>102.35950200000001</c:v>
                </c:pt>
                <c:pt idx="124">
                  <c:v>102.35950200000001</c:v>
                </c:pt>
                <c:pt idx="125">
                  <c:v>102.35950200000001</c:v>
                </c:pt>
                <c:pt idx="126">
                  <c:v>102.35950200000001</c:v>
                </c:pt>
                <c:pt idx="127">
                  <c:v>102.35950200000001</c:v>
                </c:pt>
                <c:pt idx="128">
                  <c:v>102.35950200000001</c:v>
                </c:pt>
                <c:pt idx="129">
                  <c:v>102.35950200000001</c:v>
                </c:pt>
                <c:pt idx="130">
                  <c:v>102.35950200000001</c:v>
                </c:pt>
                <c:pt idx="131">
                  <c:v>102.35950200000001</c:v>
                </c:pt>
                <c:pt idx="132">
                  <c:v>102.35950200000001</c:v>
                </c:pt>
                <c:pt idx="133">
                  <c:v>102.35950200000001</c:v>
                </c:pt>
                <c:pt idx="134">
                  <c:v>102.35950200000001</c:v>
                </c:pt>
                <c:pt idx="135">
                  <c:v>102.35950200000001</c:v>
                </c:pt>
                <c:pt idx="136">
                  <c:v>102.35950200000001</c:v>
                </c:pt>
                <c:pt idx="137">
                  <c:v>102.35950200000001</c:v>
                </c:pt>
                <c:pt idx="138">
                  <c:v>102.35950200000001</c:v>
                </c:pt>
                <c:pt idx="139">
                  <c:v>102.35950200000001</c:v>
                </c:pt>
                <c:pt idx="140">
                  <c:v>102.35950200000001</c:v>
                </c:pt>
                <c:pt idx="141">
                  <c:v>102.35950200000001</c:v>
                </c:pt>
                <c:pt idx="142">
                  <c:v>102.35950200000001</c:v>
                </c:pt>
                <c:pt idx="143">
                  <c:v>102.35950200000001</c:v>
                </c:pt>
                <c:pt idx="144">
                  <c:v>102.35950200000001</c:v>
                </c:pt>
                <c:pt idx="145">
                  <c:v>102.35950200000001</c:v>
                </c:pt>
                <c:pt idx="146">
                  <c:v>102.35950200000001</c:v>
                </c:pt>
                <c:pt idx="147">
                  <c:v>102.35950200000001</c:v>
                </c:pt>
                <c:pt idx="148">
                  <c:v>102.35950200000001</c:v>
                </c:pt>
                <c:pt idx="149">
                  <c:v>102.35950200000001</c:v>
                </c:pt>
                <c:pt idx="150">
                  <c:v>102.35950200000001</c:v>
                </c:pt>
                <c:pt idx="151">
                  <c:v>102.35950200000001</c:v>
                </c:pt>
                <c:pt idx="152">
                  <c:v>102.35950200000001</c:v>
                </c:pt>
                <c:pt idx="153">
                  <c:v>102.35950200000001</c:v>
                </c:pt>
                <c:pt idx="154">
                  <c:v>102.35950200000001</c:v>
                </c:pt>
                <c:pt idx="155">
                  <c:v>102.35950200000001</c:v>
                </c:pt>
                <c:pt idx="156">
                  <c:v>102.35950200000001</c:v>
                </c:pt>
                <c:pt idx="157">
                  <c:v>102.35950200000001</c:v>
                </c:pt>
                <c:pt idx="158">
                  <c:v>102.35950200000001</c:v>
                </c:pt>
                <c:pt idx="159">
                  <c:v>102.35950200000001</c:v>
                </c:pt>
                <c:pt idx="160">
                  <c:v>102.35950200000001</c:v>
                </c:pt>
                <c:pt idx="161">
                  <c:v>102.35950200000001</c:v>
                </c:pt>
                <c:pt idx="162">
                  <c:v>102.35950200000001</c:v>
                </c:pt>
                <c:pt idx="163">
                  <c:v>102.35950200000001</c:v>
                </c:pt>
                <c:pt idx="164">
                  <c:v>102.35950200000001</c:v>
                </c:pt>
                <c:pt idx="165">
                  <c:v>102.35950200000001</c:v>
                </c:pt>
                <c:pt idx="166">
                  <c:v>102.35950200000001</c:v>
                </c:pt>
                <c:pt idx="167">
                  <c:v>102.35950200000001</c:v>
                </c:pt>
                <c:pt idx="168">
                  <c:v>102.35950200000001</c:v>
                </c:pt>
                <c:pt idx="169">
                  <c:v>102.35950200000001</c:v>
                </c:pt>
                <c:pt idx="170">
                  <c:v>102.35950200000001</c:v>
                </c:pt>
                <c:pt idx="171">
                  <c:v>102.35950200000001</c:v>
                </c:pt>
                <c:pt idx="172">
                  <c:v>102.35950200000001</c:v>
                </c:pt>
                <c:pt idx="173">
                  <c:v>102.35950200000001</c:v>
                </c:pt>
                <c:pt idx="174">
                  <c:v>102.35950200000001</c:v>
                </c:pt>
                <c:pt idx="175">
                  <c:v>102.35950200000001</c:v>
                </c:pt>
                <c:pt idx="176">
                  <c:v>102.35950200000001</c:v>
                </c:pt>
                <c:pt idx="177">
                  <c:v>102.35950200000001</c:v>
                </c:pt>
                <c:pt idx="178">
                  <c:v>102.35950200000001</c:v>
                </c:pt>
                <c:pt idx="179">
                  <c:v>102.35950200000001</c:v>
                </c:pt>
                <c:pt idx="180">
                  <c:v>102.35950200000001</c:v>
                </c:pt>
                <c:pt idx="181">
                  <c:v>102.35950200000001</c:v>
                </c:pt>
                <c:pt idx="182">
                  <c:v>102.35950200000001</c:v>
                </c:pt>
                <c:pt idx="183">
                  <c:v>102.35950200000001</c:v>
                </c:pt>
                <c:pt idx="184">
                  <c:v>102.35950200000001</c:v>
                </c:pt>
                <c:pt idx="185">
                  <c:v>102.35950200000001</c:v>
                </c:pt>
                <c:pt idx="186">
                  <c:v>102.35950200000001</c:v>
                </c:pt>
                <c:pt idx="187">
                  <c:v>102.35950200000001</c:v>
                </c:pt>
                <c:pt idx="188">
                  <c:v>102.35950200000001</c:v>
                </c:pt>
                <c:pt idx="189">
                  <c:v>102.35950200000001</c:v>
                </c:pt>
                <c:pt idx="190">
                  <c:v>102.35950200000001</c:v>
                </c:pt>
                <c:pt idx="191">
                  <c:v>102.35950200000001</c:v>
                </c:pt>
                <c:pt idx="192">
                  <c:v>102.35950200000001</c:v>
                </c:pt>
                <c:pt idx="193">
                  <c:v>102.35950200000001</c:v>
                </c:pt>
                <c:pt idx="194">
                  <c:v>102.35950200000001</c:v>
                </c:pt>
                <c:pt idx="195">
                  <c:v>102.35950200000001</c:v>
                </c:pt>
                <c:pt idx="196">
                  <c:v>102.35950200000001</c:v>
                </c:pt>
                <c:pt idx="197">
                  <c:v>102.35950200000001</c:v>
                </c:pt>
                <c:pt idx="198">
                  <c:v>102.35950200000001</c:v>
                </c:pt>
                <c:pt idx="199">
                  <c:v>102.35950200000001</c:v>
                </c:pt>
                <c:pt idx="200">
                  <c:v>102.35950200000001</c:v>
                </c:pt>
                <c:pt idx="201">
                  <c:v>102.35950200000001</c:v>
                </c:pt>
                <c:pt idx="202">
                  <c:v>102.35950200000001</c:v>
                </c:pt>
                <c:pt idx="203">
                  <c:v>102.35950200000001</c:v>
                </c:pt>
                <c:pt idx="204">
                  <c:v>102.35950200000001</c:v>
                </c:pt>
                <c:pt idx="205">
                  <c:v>102.35950200000001</c:v>
                </c:pt>
                <c:pt idx="206">
                  <c:v>102.35950200000001</c:v>
                </c:pt>
                <c:pt idx="207">
                  <c:v>102.35950200000001</c:v>
                </c:pt>
                <c:pt idx="208">
                  <c:v>102.35950200000001</c:v>
                </c:pt>
                <c:pt idx="209">
                  <c:v>102.35950200000001</c:v>
                </c:pt>
                <c:pt idx="210">
                  <c:v>102.35950200000001</c:v>
                </c:pt>
                <c:pt idx="211">
                  <c:v>102.35950200000001</c:v>
                </c:pt>
                <c:pt idx="212">
                  <c:v>102.35950200000001</c:v>
                </c:pt>
                <c:pt idx="213">
                  <c:v>102.35950200000001</c:v>
                </c:pt>
                <c:pt idx="214">
                  <c:v>102.35950200000001</c:v>
                </c:pt>
                <c:pt idx="215">
                  <c:v>102.35950200000001</c:v>
                </c:pt>
                <c:pt idx="216">
                  <c:v>102.35950200000001</c:v>
                </c:pt>
                <c:pt idx="217">
                  <c:v>102.35950200000001</c:v>
                </c:pt>
                <c:pt idx="218">
                  <c:v>102.35950200000001</c:v>
                </c:pt>
                <c:pt idx="219">
                  <c:v>102.35950200000001</c:v>
                </c:pt>
                <c:pt idx="220">
                  <c:v>102.35950200000001</c:v>
                </c:pt>
                <c:pt idx="221">
                  <c:v>102.35950200000001</c:v>
                </c:pt>
                <c:pt idx="222">
                  <c:v>102.35950200000001</c:v>
                </c:pt>
                <c:pt idx="223">
                  <c:v>102.35950200000001</c:v>
                </c:pt>
                <c:pt idx="224">
                  <c:v>102.35950200000001</c:v>
                </c:pt>
                <c:pt idx="225">
                  <c:v>102.35950200000001</c:v>
                </c:pt>
                <c:pt idx="226">
                  <c:v>102.35950200000001</c:v>
                </c:pt>
                <c:pt idx="227">
                  <c:v>102.35950200000001</c:v>
                </c:pt>
                <c:pt idx="228">
                  <c:v>102.35950200000001</c:v>
                </c:pt>
                <c:pt idx="229">
                  <c:v>102.35950200000001</c:v>
                </c:pt>
                <c:pt idx="230">
                  <c:v>102.35950200000001</c:v>
                </c:pt>
                <c:pt idx="231">
                  <c:v>102.35950200000001</c:v>
                </c:pt>
                <c:pt idx="232">
                  <c:v>102.35950200000001</c:v>
                </c:pt>
                <c:pt idx="233">
                  <c:v>102.35950200000001</c:v>
                </c:pt>
                <c:pt idx="234">
                  <c:v>102.35950200000001</c:v>
                </c:pt>
                <c:pt idx="235">
                  <c:v>102.35950200000001</c:v>
                </c:pt>
                <c:pt idx="236">
                  <c:v>102.35950200000001</c:v>
                </c:pt>
                <c:pt idx="237">
                  <c:v>102.35950200000001</c:v>
                </c:pt>
                <c:pt idx="238">
                  <c:v>102.35950200000001</c:v>
                </c:pt>
                <c:pt idx="239">
                  <c:v>102.35950200000001</c:v>
                </c:pt>
                <c:pt idx="240">
                  <c:v>102.35950200000001</c:v>
                </c:pt>
                <c:pt idx="241">
                  <c:v>102.35950200000001</c:v>
                </c:pt>
                <c:pt idx="242">
                  <c:v>102.35950200000001</c:v>
                </c:pt>
                <c:pt idx="243">
                  <c:v>102.35950200000001</c:v>
                </c:pt>
                <c:pt idx="244">
                  <c:v>102.35950200000001</c:v>
                </c:pt>
                <c:pt idx="245">
                  <c:v>102.35950200000001</c:v>
                </c:pt>
                <c:pt idx="246">
                  <c:v>102.35950200000001</c:v>
                </c:pt>
                <c:pt idx="247">
                  <c:v>102.35950200000001</c:v>
                </c:pt>
                <c:pt idx="248">
                  <c:v>102.35950200000001</c:v>
                </c:pt>
                <c:pt idx="249">
                  <c:v>102.35950200000001</c:v>
                </c:pt>
                <c:pt idx="250">
                  <c:v>102.35950200000001</c:v>
                </c:pt>
                <c:pt idx="251">
                  <c:v>102.35950200000001</c:v>
                </c:pt>
                <c:pt idx="252">
                  <c:v>102.35950200000001</c:v>
                </c:pt>
                <c:pt idx="253">
                  <c:v>102.35950200000001</c:v>
                </c:pt>
                <c:pt idx="254">
                  <c:v>102.35950200000001</c:v>
                </c:pt>
                <c:pt idx="255">
                  <c:v>102.35950200000001</c:v>
                </c:pt>
                <c:pt idx="256">
                  <c:v>102.35950200000001</c:v>
                </c:pt>
                <c:pt idx="257">
                  <c:v>102.35950200000001</c:v>
                </c:pt>
                <c:pt idx="258">
                  <c:v>102.35950200000001</c:v>
                </c:pt>
                <c:pt idx="259">
                  <c:v>102.35950200000001</c:v>
                </c:pt>
                <c:pt idx="260">
                  <c:v>102.35950200000001</c:v>
                </c:pt>
                <c:pt idx="261">
                  <c:v>102.35950200000001</c:v>
                </c:pt>
                <c:pt idx="262">
                  <c:v>102.35950200000001</c:v>
                </c:pt>
                <c:pt idx="263">
                  <c:v>102.35950200000001</c:v>
                </c:pt>
                <c:pt idx="264">
                  <c:v>102.35950200000001</c:v>
                </c:pt>
                <c:pt idx="265">
                  <c:v>102.35950200000001</c:v>
                </c:pt>
                <c:pt idx="266">
                  <c:v>102.35950200000001</c:v>
                </c:pt>
                <c:pt idx="267">
                  <c:v>102.35950200000001</c:v>
                </c:pt>
                <c:pt idx="268">
                  <c:v>102.35950200000001</c:v>
                </c:pt>
                <c:pt idx="269">
                  <c:v>102.35950200000001</c:v>
                </c:pt>
                <c:pt idx="270">
                  <c:v>102.35950200000001</c:v>
                </c:pt>
                <c:pt idx="271">
                  <c:v>102.35950200000001</c:v>
                </c:pt>
                <c:pt idx="272">
                  <c:v>102.35950200000001</c:v>
                </c:pt>
                <c:pt idx="273">
                  <c:v>102.35950200000001</c:v>
                </c:pt>
                <c:pt idx="274">
                  <c:v>102.35950200000001</c:v>
                </c:pt>
                <c:pt idx="275">
                  <c:v>102.35950200000001</c:v>
                </c:pt>
                <c:pt idx="276">
                  <c:v>102.35950200000001</c:v>
                </c:pt>
                <c:pt idx="277">
                  <c:v>102.35950200000001</c:v>
                </c:pt>
                <c:pt idx="278">
                  <c:v>102.35950200000001</c:v>
                </c:pt>
                <c:pt idx="279">
                  <c:v>102.35950200000001</c:v>
                </c:pt>
                <c:pt idx="280">
                  <c:v>102.35950200000001</c:v>
                </c:pt>
                <c:pt idx="281">
                  <c:v>102.35950200000001</c:v>
                </c:pt>
                <c:pt idx="282">
                  <c:v>102.35950200000001</c:v>
                </c:pt>
                <c:pt idx="283">
                  <c:v>102.35950200000001</c:v>
                </c:pt>
                <c:pt idx="284">
                  <c:v>102.35950200000001</c:v>
                </c:pt>
                <c:pt idx="285">
                  <c:v>102.35950200000001</c:v>
                </c:pt>
                <c:pt idx="286">
                  <c:v>102.35950200000001</c:v>
                </c:pt>
                <c:pt idx="287">
                  <c:v>102.35950200000001</c:v>
                </c:pt>
                <c:pt idx="288">
                  <c:v>102.35950200000001</c:v>
                </c:pt>
                <c:pt idx="289">
                  <c:v>102.35950200000001</c:v>
                </c:pt>
                <c:pt idx="290">
                  <c:v>102.35950200000001</c:v>
                </c:pt>
                <c:pt idx="291">
                  <c:v>102.35950200000001</c:v>
                </c:pt>
                <c:pt idx="292">
                  <c:v>102.35950200000001</c:v>
                </c:pt>
                <c:pt idx="293">
                  <c:v>102.35950200000001</c:v>
                </c:pt>
                <c:pt idx="294">
                  <c:v>102.35950200000001</c:v>
                </c:pt>
                <c:pt idx="295">
                  <c:v>102.35950200000001</c:v>
                </c:pt>
                <c:pt idx="296">
                  <c:v>102.35950200000001</c:v>
                </c:pt>
                <c:pt idx="297">
                  <c:v>102.35950200000001</c:v>
                </c:pt>
                <c:pt idx="298">
                  <c:v>102.35950200000001</c:v>
                </c:pt>
                <c:pt idx="299">
                  <c:v>102.35950200000001</c:v>
                </c:pt>
                <c:pt idx="300">
                  <c:v>102.35950200000001</c:v>
                </c:pt>
                <c:pt idx="301">
                  <c:v>102.35950200000001</c:v>
                </c:pt>
                <c:pt idx="302">
                  <c:v>102.35950200000001</c:v>
                </c:pt>
                <c:pt idx="303">
                  <c:v>102.35950200000001</c:v>
                </c:pt>
                <c:pt idx="304">
                  <c:v>102.35950200000001</c:v>
                </c:pt>
                <c:pt idx="305">
                  <c:v>102.35950200000001</c:v>
                </c:pt>
                <c:pt idx="306">
                  <c:v>102.35950200000001</c:v>
                </c:pt>
                <c:pt idx="307">
                  <c:v>102.35950200000001</c:v>
                </c:pt>
                <c:pt idx="308">
                  <c:v>102.35950200000001</c:v>
                </c:pt>
                <c:pt idx="309">
                  <c:v>102.35950200000001</c:v>
                </c:pt>
                <c:pt idx="310">
                  <c:v>102.35950200000001</c:v>
                </c:pt>
                <c:pt idx="311">
                  <c:v>102.35950200000001</c:v>
                </c:pt>
                <c:pt idx="312">
                  <c:v>102.35950200000001</c:v>
                </c:pt>
                <c:pt idx="313">
                  <c:v>102.35950200000001</c:v>
                </c:pt>
                <c:pt idx="314">
                  <c:v>102.35950200000001</c:v>
                </c:pt>
              </c:numCache>
            </c:numRef>
          </c:val>
        </c:ser>
        <c:marker val="1"/>
        <c:axId val="92567040"/>
        <c:axId val="92568960"/>
      </c:lineChart>
      <c:catAx>
        <c:axId val="925670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Distance(m</a:t>
                </a:r>
                <a:r>
                  <a:rPr lang="en-US">
                    <a:latin typeface="Times New Roman" pitchFamily="18" charset="0"/>
                    <a:cs typeface="Times New Roman" pitchFamily="18" charset="0"/>
                  </a:rPr>
                  <a:t>)</a:t>
                </a:r>
              </a:p>
            </c:rich>
          </c:tx>
        </c:title>
        <c:tickLblPos val="nextTo"/>
        <c:txPr>
          <a:bodyPr/>
          <a:lstStyle/>
          <a:p>
            <a:pPr>
              <a:defRPr sz="8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2568960"/>
        <c:crosses val="autoZero"/>
        <c:auto val="1"/>
        <c:lblAlgn val="ctr"/>
        <c:lblOffset val="100"/>
      </c:catAx>
      <c:valAx>
        <c:axId val="9256896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Rolling Resistance (N)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2567040"/>
        <c:crosses val="autoZero"/>
        <c:crossBetween val="between"/>
      </c:valAx>
    </c:plotArea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0">
                <a:latin typeface="Times New Roman" pitchFamily="18" charset="0"/>
                <a:cs typeface="Times New Roman" pitchFamily="18" charset="0"/>
              </a:defRPr>
            </a:pPr>
            <a:r>
              <a:rPr lang="en-US" sz="1400" b="0">
                <a:latin typeface="Times New Roman" pitchFamily="18" charset="0"/>
                <a:cs typeface="Times New Roman" pitchFamily="18" charset="0"/>
              </a:rPr>
              <a:t>Aerodynamic Resistance(N),</a:t>
            </a:r>
            <a:r>
              <a:rPr lang="en-US" sz="1400" b="0" baseline="0">
                <a:latin typeface="Times New Roman" pitchFamily="18" charset="0"/>
                <a:cs typeface="Times New Roman" pitchFamily="18" charset="0"/>
              </a:rPr>
              <a:t> </a:t>
            </a:r>
            <a:r>
              <a:rPr lang="en-US" sz="1400" b="0">
                <a:latin typeface="Times New Roman" pitchFamily="18" charset="0"/>
                <a:cs typeface="Times New Roman" pitchFamily="18" charset="0"/>
              </a:rPr>
              <a:t>Velocity(m/s)</a:t>
            </a:r>
            <a:r>
              <a:rPr lang="en-US" sz="1400" b="0" baseline="0">
                <a:latin typeface="Times New Roman" pitchFamily="18" charset="0"/>
                <a:cs typeface="Times New Roman" pitchFamily="18" charset="0"/>
              </a:rPr>
              <a:t> </a:t>
            </a:r>
            <a:r>
              <a:rPr lang="en-US" sz="1400" b="0">
                <a:latin typeface="Times New Roman" pitchFamily="18" charset="0"/>
                <a:cs typeface="Times New Roman" pitchFamily="18" charset="0"/>
              </a:rPr>
              <a:t>vs Distance(m)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4.1460571341435618E-2"/>
          <c:y val="0.13773915558400673"/>
          <c:w val="0.94741940746115061"/>
          <c:h val="0.55399412146417903"/>
        </c:manualLayout>
      </c:layout>
      <c:scatterChart>
        <c:scatterStyle val="smoothMarker"/>
        <c:ser>
          <c:idx val="0"/>
          <c:order val="0"/>
          <c:tx>
            <c:strRef>
              <c:f>Simulation!$Q$4</c:f>
              <c:strCache>
                <c:ptCount val="1"/>
                <c:pt idx="0">
                  <c:v>Speed (m/s)</c:v>
                </c:pt>
              </c:strCache>
            </c:strRef>
          </c:tx>
          <c:marker>
            <c:symbol val="none"/>
          </c:marker>
          <c:yVal>
            <c:numRef>
              <c:f>Simulation!$Q$5:$Q$319</c:f>
              <c:numCache>
                <c:formatCode>General</c:formatCode>
                <c:ptCount val="315"/>
                <c:pt idx="0">
                  <c:v>0</c:v>
                </c:pt>
                <c:pt idx="1">
                  <c:v>0.6353364208116532</c:v>
                </c:pt>
                <c:pt idx="2">
                  <c:v>0.89814563483649867</c:v>
                </c:pt>
                <c:pt idx="3">
                  <c:v>1.099563846873568</c:v>
                </c:pt>
                <c:pt idx="4">
                  <c:v>1.2691645259724966</c:v>
                </c:pt>
                <c:pt idx="5">
                  <c:v>1.418407703071745</c:v>
                </c:pt>
                <c:pt idx="6">
                  <c:v>1.5531732405122753</c:v>
                </c:pt>
                <c:pt idx="7">
                  <c:v>1.6769554878933683</c:v>
                </c:pt>
                <c:pt idx="8">
                  <c:v>1.7920321415075127</c:v>
                </c:pt>
                <c:pt idx="9">
                  <c:v>1.8999859423112526</c:v>
                </c:pt>
                <c:pt idx="10">
                  <c:v>2.0019697459296166</c:v>
                </c:pt>
                <c:pt idx="11">
                  <c:v>2.0988542215721404</c:v>
                </c:pt>
                <c:pt idx="12">
                  <c:v>2.191316069872852</c:v>
                </c:pt>
                <c:pt idx="13">
                  <c:v>2.2798936562424612</c:v>
                </c:pt>
                <c:pt idx="14">
                  <c:v>2.3650236647971257</c:v>
                </c:pt>
                <c:pt idx="15">
                  <c:v>2.4470661341492175</c:v>
                </c:pt>
                <c:pt idx="16">
                  <c:v>2.526322082542241</c:v>
                </c:pt>
                <c:pt idx="17">
                  <c:v>2.6030462393932883</c:v>
                </c:pt>
                <c:pt idx="18">
                  <c:v>2.6774564482390688</c:v>
                </c:pt>
                <c:pt idx="19">
                  <c:v>2.7497407468428801</c:v>
                </c:pt>
                <c:pt idx="20">
                  <c:v>2.8200627896317387</c:v>
                </c:pt>
                <c:pt idx="21">
                  <c:v>2.88856606357936</c:v>
                </c:pt>
                <c:pt idx="22">
                  <c:v>2.9553772103530056</c:v>
                </c:pt>
                <c:pt idx="23">
                  <c:v>3.020608675975863</c:v>
                </c:pt>
                <c:pt idx="24">
                  <c:v>3.0843608472924364</c:v>
                </c:pt>
                <c:pt idx="25">
                  <c:v>3.1467237917620552</c:v>
                </c:pt>
                <c:pt idx="26">
                  <c:v>3.2077786870673397</c:v>
                </c:pt>
                <c:pt idx="27">
                  <c:v>3.2675990055822215</c:v>
                </c:pt>
                <c:pt idx="28">
                  <c:v>3.3262515032118567</c:v>
                </c:pt>
                <c:pt idx="29">
                  <c:v>3.3837970507134791</c:v>
                </c:pt>
                <c:pt idx="30">
                  <c:v>3.4402913371312813</c:v>
                </c:pt>
                <c:pt idx="31">
                  <c:v>3.4957854686061545</c:v>
                </c:pt>
                <c:pt idx="32">
                  <c:v>3.5503264809796611</c:v>
                </c:pt>
                <c:pt idx="33">
                  <c:v>3.6039577808970487</c:v>
                </c:pt>
                <c:pt idx="34">
                  <c:v>3.6567195272380579</c:v>
                </c:pt>
                <c:pt idx="35">
                  <c:v>3.7086489624584691</c:v>
                </c:pt>
                <c:pt idx="36">
                  <c:v>3.7597807016576361</c:v>
                </c:pt>
                <c:pt idx="37">
                  <c:v>3.8101469857854995</c:v>
                </c:pt>
                <c:pt idx="38">
                  <c:v>3.8597779042831895</c:v>
                </c:pt>
                <c:pt idx="39">
                  <c:v>3.9087015915515182</c:v>
                </c:pt>
                <c:pt idx="40">
                  <c:v>3.9569444009138635</c:v>
                </c:pt>
                <c:pt idx="41">
                  <c:v>4.0045310591478014</c:v>
                </c:pt>
                <c:pt idx="42">
                  <c:v>4.0514848041753906</c:v>
                </c:pt>
                <c:pt idx="43">
                  <c:v>4.0978275081035793</c:v>
                </c:pt>
                <c:pt idx="44">
                  <c:v>4.1435797874768792</c:v>
                </c:pt>
                <c:pt idx="45">
                  <c:v>4.1887611023309379</c:v>
                </c:pt>
                <c:pt idx="46">
                  <c:v>4.2333898454074941</c:v>
                </c:pt>
                <c:pt idx="47">
                  <c:v>4.2774834227000103</c:v>
                </c:pt>
                <c:pt idx="48">
                  <c:v>4.3210583263384805</c:v>
                </c:pt>
                <c:pt idx="49">
                  <c:v>4.3641302006860787</c:v>
                </c:pt>
                <c:pt idx="50">
                  <c:v>4.4067139024051745</c:v>
                </c:pt>
                <c:pt idx="51">
                  <c:v>4.448823555152285</c:v>
                </c:pt>
                <c:pt idx="52">
                  <c:v>4.4904725994779264</c:v>
                </c:pt>
                <c:pt idx="53">
                  <c:v>4.5316738384356769</c:v>
                </c:pt>
                <c:pt idx="54">
                  <c:v>4.5724394793432612</c:v>
                </c:pt>
                <c:pt idx="55">
                  <c:v>4.6127811720854179</c:v>
                </c:pt>
                <c:pt idx="56">
                  <c:v>4.6527100443024834</c:v>
                </c:pt>
                <c:pt idx="57">
                  <c:v>4.6922367337689019</c:v>
                </c:pt>
                <c:pt idx="58">
                  <c:v>4.7313714182313635</c:v>
                </c:pt>
                <c:pt idx="59">
                  <c:v>4.7701238429461679</c:v>
                </c:pt>
                <c:pt idx="60">
                  <c:v>4.8085033461291742</c:v>
                </c:pt>
                <c:pt idx="61">
                  <c:v>4.8465188825086649</c:v>
                </c:pt>
                <c:pt idx="62">
                  <c:v>4.8465188825086649</c:v>
                </c:pt>
                <c:pt idx="63">
                  <c:v>4.8465188825086649</c:v>
                </c:pt>
                <c:pt idx="64">
                  <c:v>4.8465188825086649</c:v>
                </c:pt>
                <c:pt idx="65">
                  <c:v>4.8465188825086649</c:v>
                </c:pt>
                <c:pt idx="66">
                  <c:v>5.0446973605135446</c:v>
                </c:pt>
                <c:pt idx="67">
                  <c:v>5.234949303778949</c:v>
                </c:pt>
                <c:pt idx="68">
                  <c:v>5.4181155994577104</c:v>
                </c:pt>
                <c:pt idx="69">
                  <c:v>5.594897303558656</c:v>
                </c:pt>
                <c:pt idx="70">
                  <c:v>5.765886211766456</c:v>
                </c:pt>
                <c:pt idx="71">
                  <c:v>5.9315873360732834</c:v>
                </c:pt>
                <c:pt idx="72">
                  <c:v>6.0924357623155183</c:v>
                </c:pt>
                <c:pt idx="73">
                  <c:v>6.2488095160022095</c:v>
                </c:pt>
                <c:pt idx="74">
                  <c:v>6.4010395344626208</c:v>
                </c:pt>
                <c:pt idx="75">
                  <c:v>6.5494175032566542</c:v>
                </c:pt>
                <c:pt idx="76">
                  <c:v>6.6942020907529889</c:v>
                </c:pt>
                <c:pt idx="77">
                  <c:v>6.8356239638500123</c:v>
                </c:pt>
                <c:pt idx="78">
                  <c:v>6.97388986407661</c:v>
                </c:pt>
                <c:pt idx="79">
                  <c:v>7.1091859507060438</c:v>
                </c:pt>
                <c:pt idx="80">
                  <c:v>7.2416805658617003</c:v>
                </c:pt>
                <c:pt idx="81">
                  <c:v>7.3715265392899871</c:v>
                </c:pt>
                <c:pt idx="82">
                  <c:v>7.4988631231649681</c:v>
                </c:pt>
                <c:pt idx="83">
                  <c:v>7.62381762704167</c:v>
                </c:pt>
                <c:pt idx="84">
                  <c:v>7.7482669045596575</c:v>
                </c:pt>
                <c:pt idx="85">
                  <c:v>7.8704968256666437</c:v>
                </c:pt>
                <c:pt idx="86">
                  <c:v>7.9906106308785469</c:v>
                </c:pt>
                <c:pt idx="87">
                  <c:v>8.1087036837982946</c:v>
                </c:pt>
                <c:pt idx="88">
                  <c:v>8.2248642900664937</c:v>
                </c:pt>
                <c:pt idx="89">
                  <c:v>8.3391744098906937</c:v>
                </c:pt>
                <c:pt idx="90">
                  <c:v>8.4517102805894648</c:v>
                </c:pt>
                <c:pt idx="91">
                  <c:v>8.5625429626685374</c:v>
                </c:pt>
                <c:pt idx="92">
                  <c:v>8.6717388206096455</c:v>
                </c:pt>
                <c:pt idx="93">
                  <c:v>8.7793599476701765</c:v>
                </c:pt>
                <c:pt idx="94">
                  <c:v>8.885464542465769</c:v>
                </c:pt>
                <c:pt idx="95">
                  <c:v>8.99010724386393</c:v>
                </c:pt>
                <c:pt idx="96">
                  <c:v>9.093339429697016</c:v>
                </c:pt>
                <c:pt idx="97">
                  <c:v>9.1952094839626373</c:v>
                </c:pt>
                <c:pt idx="98">
                  <c:v>9.2957630364839012</c:v>
                </c:pt>
                <c:pt idx="99">
                  <c:v>9.3950431784231299</c:v>
                </c:pt>
                <c:pt idx="100">
                  <c:v>9.4930906565591684</c:v>
                </c:pt>
                <c:pt idx="101">
                  <c:v>9.5899440488326455</c:v>
                </c:pt>
                <c:pt idx="102">
                  <c:v>9.6856399233217285</c:v>
                </c:pt>
                <c:pt idx="103">
                  <c:v>9.7802129825218174</c:v>
                </c:pt>
                <c:pt idx="104">
                  <c:v>9.8736961945572617</c:v>
                </c:pt>
                <c:pt idx="105">
                  <c:v>9.9661209127441381</c:v>
                </c:pt>
                <c:pt idx="106">
                  <c:v>10.057516984744494</c:v>
                </c:pt>
                <c:pt idx="107">
                  <c:v>10.147912852399243</c:v>
                </c:pt>
                <c:pt idx="108">
                  <c:v>10.2373356431952</c:v>
                </c:pt>
                <c:pt idx="109">
                  <c:v>10.325811254208</c:v>
                </c:pt>
                <c:pt idx="110">
                  <c:v>10.413364429264355</c:v>
                </c:pt>
                <c:pt idx="111">
                  <c:v>10.500628587065103</c:v>
                </c:pt>
                <c:pt idx="112">
                  <c:v>10.58700433484494</c:v>
                </c:pt>
                <c:pt idx="113">
                  <c:v>10.672513814861372</c:v>
                </c:pt>
                <c:pt idx="114">
                  <c:v>10.757178244096645</c:v>
                </c:pt>
                <c:pt idx="115">
                  <c:v>10.841017967825163</c:v>
                </c:pt>
                <c:pt idx="116">
                  <c:v>10.92405250925114</c:v>
                </c:pt>
                <c:pt idx="117">
                  <c:v>11.006300615563481</c:v>
                </c:pt>
                <c:pt idx="118">
                  <c:v>11.087780300719233</c:v>
                </c:pt>
                <c:pt idx="119">
                  <c:v>11.168508885235459</c:v>
                </c:pt>
                <c:pt idx="120">
                  <c:v>11.248503033241491</c:v>
                </c:pt>
                <c:pt idx="121">
                  <c:v>11.327778787018847</c:v>
                </c:pt>
                <c:pt idx="122">
                  <c:v>11.406351599234096</c:v>
                </c:pt>
                <c:pt idx="123">
                  <c:v>11.484236363050439</c:v>
                </c:pt>
                <c:pt idx="124">
                  <c:v>11.561447440286315</c:v>
                </c:pt>
                <c:pt idx="125">
                  <c:v>11.637998687773814</c:v>
                </c:pt>
                <c:pt idx="126">
                  <c:v>11.713903482055695</c:v>
                </c:pt>
                <c:pt idx="127">
                  <c:v>11.789174742547376</c:v>
                </c:pt>
                <c:pt idx="128">
                  <c:v>11.863824953279027</c:v>
                </c:pt>
                <c:pt idx="129">
                  <c:v>11.93786618332282</c:v>
                </c:pt>
                <c:pt idx="130">
                  <c:v>12.011310106001341</c:v>
                </c:pt>
                <c:pt idx="131">
                  <c:v>12.08416801696497</c:v>
                </c:pt>
                <c:pt idx="132">
                  <c:v>12.156450851218661</c:v>
                </c:pt>
                <c:pt idx="133">
                  <c:v>12.228169199171885</c:v>
                </c:pt>
                <c:pt idx="134">
                  <c:v>12.29933332177942</c:v>
                </c:pt>
                <c:pt idx="135">
                  <c:v>12.369953164835247</c:v>
                </c:pt>
                <c:pt idx="136">
                  <c:v>12.440038372476769</c:v>
                </c:pt>
                <c:pt idx="137">
                  <c:v>12.509598299952122</c:v>
                </c:pt>
                <c:pt idx="138">
                  <c:v>12.578642025699166</c:v>
                </c:pt>
                <c:pt idx="139">
                  <c:v>12.647178362781034</c:v>
                </c:pt>
                <c:pt idx="140">
                  <c:v>12.7152158697197</c:v>
                </c:pt>
                <c:pt idx="141">
                  <c:v>12.78276286076588</c:v>
                </c:pt>
                <c:pt idx="142">
                  <c:v>12.84982741564076</c:v>
                </c:pt>
                <c:pt idx="143">
                  <c:v>12.916417388782397</c:v>
                </c:pt>
                <c:pt idx="144">
                  <c:v>12.982540418127289</c:v>
                </c:pt>
                <c:pt idx="145">
                  <c:v>13.048203933455374</c:v>
                </c:pt>
                <c:pt idx="146">
                  <c:v>13.113415164324749</c:v>
                </c:pt>
                <c:pt idx="147">
                  <c:v>13.178181147620514</c:v>
                </c:pt>
                <c:pt idx="148">
                  <c:v>13.242508734740456</c:v>
                </c:pt>
                <c:pt idx="149">
                  <c:v>13.30640459843876</c:v>
                </c:pt>
                <c:pt idx="150">
                  <c:v>13.369875239347406</c:v>
                </c:pt>
                <c:pt idx="151">
                  <c:v>13.432926992193686</c:v>
                </c:pt>
                <c:pt idx="152">
                  <c:v>13.495566031730965</c:v>
                </c:pt>
                <c:pt idx="153">
                  <c:v>13.55779837839872</c:v>
                </c:pt>
                <c:pt idx="154">
                  <c:v>13.577938370259508</c:v>
                </c:pt>
                <c:pt idx="155">
                  <c:v>13.577938370259508</c:v>
                </c:pt>
                <c:pt idx="156">
                  <c:v>13.577938370259508</c:v>
                </c:pt>
                <c:pt idx="157">
                  <c:v>13.577938370259508</c:v>
                </c:pt>
                <c:pt idx="158">
                  <c:v>13.577938370259508</c:v>
                </c:pt>
                <c:pt idx="159">
                  <c:v>13.577938370259508</c:v>
                </c:pt>
                <c:pt idx="160">
                  <c:v>13.577938370259508</c:v>
                </c:pt>
                <c:pt idx="161">
                  <c:v>13.577938370259508</c:v>
                </c:pt>
                <c:pt idx="162">
                  <c:v>13.577938370259508</c:v>
                </c:pt>
                <c:pt idx="163">
                  <c:v>13.577938370259508</c:v>
                </c:pt>
                <c:pt idx="164">
                  <c:v>13.577938370259508</c:v>
                </c:pt>
                <c:pt idx="165">
                  <c:v>13.577938370259508</c:v>
                </c:pt>
                <c:pt idx="166">
                  <c:v>13.577938370259508</c:v>
                </c:pt>
                <c:pt idx="167">
                  <c:v>13.577938370259508</c:v>
                </c:pt>
                <c:pt idx="168">
                  <c:v>13.577938370259508</c:v>
                </c:pt>
                <c:pt idx="169">
                  <c:v>13.577938370259508</c:v>
                </c:pt>
                <c:pt idx="170">
                  <c:v>13.577938370259508</c:v>
                </c:pt>
                <c:pt idx="171">
                  <c:v>13.577938370259508</c:v>
                </c:pt>
                <c:pt idx="172">
                  <c:v>13.577938370259508</c:v>
                </c:pt>
                <c:pt idx="173">
                  <c:v>13.577938370259508</c:v>
                </c:pt>
                <c:pt idx="174">
                  <c:v>13.498812201339989</c:v>
                </c:pt>
                <c:pt idx="175">
                  <c:v>13.419064509156104</c:v>
                </c:pt>
                <c:pt idx="176">
                  <c:v>13.338683843415565</c:v>
                </c:pt>
                <c:pt idx="177">
                  <c:v>13.257658385965728</c:v>
                </c:pt>
                <c:pt idx="178">
                  <c:v>13.175975933839618</c:v>
                </c:pt>
                <c:pt idx="179">
                  <c:v>13.093623881280317</c:v>
                </c:pt>
                <c:pt idx="180">
                  <c:v>13.01058920066737</c:v>
                </c:pt>
                <c:pt idx="181">
                  <c:v>12.926858422261986</c:v>
                </c:pt>
                <c:pt idx="182">
                  <c:v>12.842417612680221</c:v>
                </c:pt>
                <c:pt idx="183">
                  <c:v>12.75725235199501</c:v>
                </c:pt>
                <c:pt idx="184">
                  <c:v>12.671347709358608</c:v>
                </c:pt>
                <c:pt idx="185">
                  <c:v>12.584688217026704</c:v>
                </c:pt>
                <c:pt idx="186">
                  <c:v>12.497257842654063</c:v>
                </c:pt>
                <c:pt idx="187">
                  <c:v>12.409039959718822</c:v>
                </c:pt>
                <c:pt idx="188">
                  <c:v>12.320017315918356</c:v>
                </c:pt>
                <c:pt idx="189">
                  <c:v>12.23017199936384</c:v>
                </c:pt>
                <c:pt idx="190">
                  <c:v>12.139485402382897</c:v>
                </c:pt>
                <c:pt idx="191">
                  <c:v>12.047938182719903</c:v>
                </c:pt>
                <c:pt idx="192">
                  <c:v>11.955510221901285</c:v>
                </c:pt>
                <c:pt idx="193">
                  <c:v>11.862180580508102</c:v>
                </c:pt>
                <c:pt idx="194">
                  <c:v>11.76792745007009</c:v>
                </c:pt>
                <c:pt idx="195">
                  <c:v>11.672728101263488</c:v>
                </c:pt>
                <c:pt idx="196">
                  <c:v>11.576558828059134</c:v>
                </c:pt>
                <c:pt idx="197">
                  <c:v>11.479394887426535</c:v>
                </c:pt>
                <c:pt idx="198">
                  <c:v>11.381210434153424</c:v>
                </c:pt>
                <c:pt idx="199">
                  <c:v>11.281978450287784</c:v>
                </c:pt>
                <c:pt idx="200">
                  <c:v>11.181670668649295</c:v>
                </c:pt>
                <c:pt idx="201">
                  <c:v>11.080257489788655</c:v>
                </c:pt>
                <c:pt idx="202">
                  <c:v>10.977707891694727</c:v>
                </c:pt>
                <c:pt idx="203">
                  <c:v>10.873989331459189</c:v>
                </c:pt>
                <c:pt idx="204">
                  <c:v>10.76906763800452</c:v>
                </c:pt>
                <c:pt idx="205">
                  <c:v>10.662906894861168</c:v>
                </c:pt>
                <c:pt idx="206">
                  <c:v>10.555469311840708</c:v>
                </c:pt>
                <c:pt idx="207">
                  <c:v>10.446715084290487</c:v>
                </c:pt>
                <c:pt idx="208">
                  <c:v>10.336602238427062</c:v>
                </c:pt>
                <c:pt idx="209">
                  <c:v>10.225873140977846</c:v>
                </c:pt>
                <c:pt idx="210">
                  <c:v>10.113714861072392</c:v>
                </c:pt>
                <c:pt idx="211">
                  <c:v>10.000078887820411</c:v>
                </c:pt>
                <c:pt idx="212">
                  <c:v>10.128371650562666</c:v>
                </c:pt>
                <c:pt idx="213">
                  <c:v>10.254902138319794</c:v>
                </c:pt>
                <c:pt idx="214">
                  <c:v>10.379734440141164</c:v>
                </c:pt>
                <c:pt idx="215">
                  <c:v>10.503794128015935</c:v>
                </c:pt>
                <c:pt idx="216">
                  <c:v>10.626250472637173</c:v>
                </c:pt>
                <c:pt idx="217">
                  <c:v>10.747157990944066</c:v>
                </c:pt>
                <c:pt idx="218">
                  <c:v>10.866568114011679</c:v>
                </c:pt>
                <c:pt idx="219">
                  <c:v>10.984529427225862</c:v>
                </c:pt>
                <c:pt idx="220">
                  <c:v>11.101087886915266</c:v>
                </c:pt>
                <c:pt idx="221">
                  <c:v>11.216287016202646</c:v>
                </c:pt>
                <c:pt idx="222">
                  <c:v>11.330168082462519</c:v>
                </c:pt>
                <c:pt idx="223">
                  <c:v>11.442770258454697</c:v>
                </c:pt>
                <c:pt idx="224">
                  <c:v>11.554130768933446</c:v>
                </c:pt>
                <c:pt idx="225">
                  <c:v>11.664285024302053</c:v>
                </c:pt>
                <c:pt idx="226">
                  <c:v>11.773266742685866</c:v>
                </c:pt>
                <c:pt idx="227">
                  <c:v>11.881108061628046</c:v>
                </c:pt>
                <c:pt idx="228">
                  <c:v>11.987839640467014</c:v>
                </c:pt>
                <c:pt idx="229">
                  <c:v>12.093490754329101</c:v>
                </c:pt>
                <c:pt idx="230">
                  <c:v>12.198089380561344</c:v>
                </c:pt>
                <c:pt idx="231">
                  <c:v>12.301662278335082</c:v>
                </c:pt>
                <c:pt idx="232">
                  <c:v>12.404235062068979</c:v>
                </c:pt>
                <c:pt idx="233">
                  <c:v>12.505832269248469</c:v>
                </c:pt>
                <c:pt idx="234">
                  <c:v>12.606477423156024</c:v>
                </c:pt>
                <c:pt idx="235">
                  <c:v>12.706193090971723</c:v>
                </c:pt>
                <c:pt idx="236">
                  <c:v>12.805000937655317</c:v>
                </c:pt>
                <c:pt idx="237">
                  <c:v>12.902921775978539</c:v>
                </c:pt>
                <c:pt idx="238">
                  <c:v>12.999975613038854</c:v>
                </c:pt>
                <c:pt idx="239">
                  <c:v>13.096181693552683</c:v>
                </c:pt>
                <c:pt idx="240">
                  <c:v>13.191558540196759</c:v>
                </c:pt>
                <c:pt idx="241">
                  <c:v>13.286123991240137</c:v>
                </c:pt>
                <c:pt idx="242">
                  <c:v>13.379895235686197</c:v>
                </c:pt>
                <c:pt idx="243">
                  <c:v>13.472888846123277</c:v>
                </c:pt>
                <c:pt idx="244">
                  <c:v>13.565120809464082</c:v>
                </c:pt>
                <c:pt idx="245">
                  <c:v>13.577938370259508</c:v>
                </c:pt>
                <c:pt idx="246">
                  <c:v>13.577938370259508</c:v>
                </c:pt>
                <c:pt idx="247">
                  <c:v>13.577938370259508</c:v>
                </c:pt>
                <c:pt idx="248">
                  <c:v>13.577938370259508</c:v>
                </c:pt>
                <c:pt idx="249">
                  <c:v>13.577938370259508</c:v>
                </c:pt>
                <c:pt idx="250">
                  <c:v>13.577938370259508</c:v>
                </c:pt>
                <c:pt idx="251">
                  <c:v>13.577938370259508</c:v>
                </c:pt>
                <c:pt idx="252">
                  <c:v>13.577938370259508</c:v>
                </c:pt>
                <c:pt idx="253">
                  <c:v>13.577938370259508</c:v>
                </c:pt>
                <c:pt idx="254">
                  <c:v>13.577938370259508</c:v>
                </c:pt>
                <c:pt idx="255">
                  <c:v>13.577938370259508</c:v>
                </c:pt>
                <c:pt idx="256">
                  <c:v>13.577938370259508</c:v>
                </c:pt>
                <c:pt idx="257">
                  <c:v>13.577938370259508</c:v>
                </c:pt>
                <c:pt idx="258">
                  <c:v>13.577938370259508</c:v>
                </c:pt>
                <c:pt idx="259">
                  <c:v>13.577938370259508</c:v>
                </c:pt>
                <c:pt idx="260">
                  <c:v>13.577938370259508</c:v>
                </c:pt>
                <c:pt idx="261">
                  <c:v>13.577938370259508</c:v>
                </c:pt>
                <c:pt idx="262">
                  <c:v>13.577938370259508</c:v>
                </c:pt>
                <c:pt idx="263">
                  <c:v>13.577938370259508</c:v>
                </c:pt>
                <c:pt idx="264">
                  <c:v>13.577938370259508</c:v>
                </c:pt>
                <c:pt idx="265">
                  <c:v>13.577938370259508</c:v>
                </c:pt>
                <c:pt idx="266">
                  <c:v>13.577938370259508</c:v>
                </c:pt>
                <c:pt idx="267">
                  <c:v>13.577938370259508</c:v>
                </c:pt>
                <c:pt idx="268">
                  <c:v>13.577938370259508</c:v>
                </c:pt>
                <c:pt idx="269">
                  <c:v>13.577938370259508</c:v>
                </c:pt>
                <c:pt idx="270">
                  <c:v>13.577938370259508</c:v>
                </c:pt>
                <c:pt idx="271">
                  <c:v>13.577938370259508</c:v>
                </c:pt>
                <c:pt idx="272">
                  <c:v>13.577938370259508</c:v>
                </c:pt>
                <c:pt idx="273">
                  <c:v>13.577938370259508</c:v>
                </c:pt>
                <c:pt idx="274">
                  <c:v>13.577938370259508</c:v>
                </c:pt>
                <c:pt idx="275">
                  <c:v>13.577938370259508</c:v>
                </c:pt>
                <c:pt idx="276">
                  <c:v>13.577938370259508</c:v>
                </c:pt>
                <c:pt idx="277">
                  <c:v>13.577938370259508</c:v>
                </c:pt>
                <c:pt idx="278">
                  <c:v>13.577938370259508</c:v>
                </c:pt>
                <c:pt idx="279">
                  <c:v>13.577938370259508</c:v>
                </c:pt>
                <c:pt idx="280">
                  <c:v>13.577938370259508</c:v>
                </c:pt>
                <c:pt idx="281">
                  <c:v>13.577938370259508</c:v>
                </c:pt>
                <c:pt idx="282">
                  <c:v>13.577938370259508</c:v>
                </c:pt>
                <c:pt idx="283">
                  <c:v>13.577938370259508</c:v>
                </c:pt>
                <c:pt idx="284">
                  <c:v>13.577938370259508</c:v>
                </c:pt>
                <c:pt idx="285">
                  <c:v>13.577938370259508</c:v>
                </c:pt>
                <c:pt idx="286">
                  <c:v>13.577938370259508</c:v>
                </c:pt>
                <c:pt idx="287">
                  <c:v>13.577938370259508</c:v>
                </c:pt>
                <c:pt idx="288">
                  <c:v>13.577938370259508</c:v>
                </c:pt>
                <c:pt idx="289">
                  <c:v>13.577938370259508</c:v>
                </c:pt>
                <c:pt idx="290">
                  <c:v>13.577938370259508</c:v>
                </c:pt>
                <c:pt idx="291">
                  <c:v>13.577938370259508</c:v>
                </c:pt>
                <c:pt idx="292">
                  <c:v>13.577938370259508</c:v>
                </c:pt>
                <c:pt idx="293">
                  <c:v>13.577938370259508</c:v>
                </c:pt>
                <c:pt idx="294">
                  <c:v>13.577938370259508</c:v>
                </c:pt>
                <c:pt idx="295">
                  <c:v>13.577938370259508</c:v>
                </c:pt>
                <c:pt idx="296">
                  <c:v>13.577938370259508</c:v>
                </c:pt>
                <c:pt idx="297">
                  <c:v>13.577938370259508</c:v>
                </c:pt>
                <c:pt idx="298">
                  <c:v>13.577938370259508</c:v>
                </c:pt>
                <c:pt idx="299">
                  <c:v>13.577938370259508</c:v>
                </c:pt>
                <c:pt idx="300">
                  <c:v>13.577938370259508</c:v>
                </c:pt>
                <c:pt idx="301">
                  <c:v>13.577938370259508</c:v>
                </c:pt>
                <c:pt idx="302">
                  <c:v>13.577938370259508</c:v>
                </c:pt>
                <c:pt idx="303">
                  <c:v>13.577938370259508</c:v>
                </c:pt>
                <c:pt idx="304">
                  <c:v>13.577938370259508</c:v>
                </c:pt>
                <c:pt idx="305">
                  <c:v>13.577938370259508</c:v>
                </c:pt>
                <c:pt idx="306">
                  <c:v>13.577938370259508</c:v>
                </c:pt>
                <c:pt idx="307">
                  <c:v>13.577938370259508</c:v>
                </c:pt>
                <c:pt idx="308">
                  <c:v>13.577938370259508</c:v>
                </c:pt>
                <c:pt idx="309">
                  <c:v>13.577938370259508</c:v>
                </c:pt>
                <c:pt idx="310">
                  <c:v>13.577938370259508</c:v>
                </c:pt>
                <c:pt idx="311">
                  <c:v>13.577938370259508</c:v>
                </c:pt>
                <c:pt idx="312">
                  <c:v>13.577938370259508</c:v>
                </c:pt>
                <c:pt idx="313">
                  <c:v>13.577938370259508</c:v>
                </c:pt>
                <c:pt idx="314">
                  <c:v>13.577938370259508</c:v>
                </c:pt>
              </c:numCache>
            </c:numRef>
          </c:yVal>
          <c:smooth val="1"/>
        </c:ser>
        <c:ser>
          <c:idx val="1"/>
          <c:order val="1"/>
          <c:tx>
            <c:v>Aerodynamic Resistance (N)</c:v>
          </c:tx>
          <c:marker>
            <c:symbol val="none"/>
          </c:marker>
          <c:yVal>
            <c:numRef>
              <c:f>Simulation!$S$5:$S$319</c:f>
              <c:numCache>
                <c:formatCode>General</c:formatCode>
                <c:ptCount val="315"/>
                <c:pt idx="0">
                  <c:v>0</c:v>
                </c:pt>
                <c:pt idx="1">
                  <c:v>0.18976745279228863</c:v>
                </c:pt>
                <c:pt idx="2">
                  <c:v>0.37923442277662717</c:v>
                </c:pt>
                <c:pt idx="3">
                  <c:v>0.5684013857454473</c:v>
                </c:pt>
                <c:pt idx="4">
                  <c:v>0.757268816737799</c:v>
                </c:pt>
                <c:pt idx="5">
                  <c:v>0.94583719004054212</c:v>
                </c:pt>
                <c:pt idx="6">
                  <c:v>1.1341069791895388</c:v>
                </c:pt>
                <c:pt idx="7">
                  <c:v>1.322078656970842</c:v>
                </c:pt>
                <c:pt idx="8">
                  <c:v>1.5097526954218818</c:v>
                </c:pt>
                <c:pt idx="9">
                  <c:v>1.6971295658326524</c:v>
                </c:pt>
                <c:pt idx="10">
                  <c:v>1.8842097387468946</c:v>
                </c:pt>
                <c:pt idx="11">
                  <c:v>2.0709936839632794</c:v>
                </c:pt>
                <c:pt idx="12">
                  <c:v>2.2574818705365836</c:v>
                </c:pt>
                <c:pt idx="13">
                  <c:v>2.4436747667788716</c:v>
                </c:pt>
                <c:pt idx="14">
                  <c:v>2.6295728402606704</c:v>
                </c:pt>
                <c:pt idx="15">
                  <c:v>2.8151765578121424</c:v>
                </c:pt>
                <c:pt idx="16">
                  <c:v>3.0004863855242601</c:v>
                </c:pt>
                <c:pt idx="17">
                  <c:v>3.1855027887499747</c:v>
                </c:pt>
                <c:pt idx="18">
                  <c:v>3.3702262321053835</c:v>
                </c:pt>
                <c:pt idx="19">
                  <c:v>3.554657179470901</c:v>
                </c:pt>
                <c:pt idx="20">
                  <c:v>3.7387960939924199</c:v>
                </c:pt>
                <c:pt idx="21">
                  <c:v>3.9226434380824746</c:v>
                </c:pt>
                <c:pt idx="22">
                  <c:v>4.1061996734214059</c:v>
                </c:pt>
                <c:pt idx="23">
                  <c:v>4.289465260958516</c:v>
                </c:pt>
                <c:pt idx="24">
                  <c:v>4.4724406609132261</c:v>
                </c:pt>
                <c:pt idx="25">
                  <c:v>4.6551263327762378</c:v>
                </c:pt>
                <c:pt idx="26">
                  <c:v>4.8375227353106798</c:v>
                </c:pt>
                <c:pt idx="27">
                  <c:v>5.019630326553262</c:v>
                </c:pt>
                <c:pt idx="28">
                  <c:v>5.201449563815431</c:v>
                </c:pt>
                <c:pt idx="29">
                  <c:v>5.382980903684512</c:v>
                </c:pt>
                <c:pt idx="30">
                  <c:v>5.5642248020248566</c:v>
                </c:pt>
                <c:pt idx="31">
                  <c:v>5.7451817139789929</c:v>
                </c:pt>
                <c:pt idx="32">
                  <c:v>5.925852093968758</c:v>
                </c:pt>
                <c:pt idx="33">
                  <c:v>6.1062363956964516</c:v>
                </c:pt>
                <c:pt idx="34">
                  <c:v>6.2863350721459659</c:v>
                </c:pt>
                <c:pt idx="35">
                  <c:v>6.466148575583925</c:v>
                </c:pt>
                <c:pt idx="36">
                  <c:v>6.6456773575608254</c:v>
                </c:pt>
                <c:pt idx="37">
                  <c:v>6.824921868912166</c:v>
                </c:pt>
                <c:pt idx="38">
                  <c:v>7.0038825597595791</c:v>
                </c:pt>
                <c:pt idx="39">
                  <c:v>7.182559879511965</c:v>
                </c:pt>
                <c:pt idx="40">
                  <c:v>7.3609542768666127</c:v>
                </c:pt>
                <c:pt idx="41">
                  <c:v>7.5390661998103372</c:v>
                </c:pt>
                <c:pt idx="42">
                  <c:v>7.7168960956205988</c:v>
                </c:pt>
                <c:pt idx="43">
                  <c:v>7.8944444108666278</c:v>
                </c:pt>
                <c:pt idx="44">
                  <c:v>8.0717115914105424</c:v>
                </c:pt>
                <c:pt idx="45">
                  <c:v>8.2486980824084704</c:v>
                </c:pt>
                <c:pt idx="46">
                  <c:v>8.425404328311668</c:v>
                </c:pt>
                <c:pt idx="47">
                  <c:v>8.6018307728676398</c:v>
                </c:pt>
                <c:pt idx="48">
                  <c:v>8.7779778591212416</c:v>
                </c:pt>
                <c:pt idx="49">
                  <c:v>8.9538460294158035</c:v>
                </c:pt>
                <c:pt idx="50">
                  <c:v>9.1294357253942433</c:v>
                </c:pt>
                <c:pt idx="51">
                  <c:v>9.3047473880001572</c:v>
                </c:pt>
                <c:pt idx="52">
                  <c:v>9.4797814574789534</c:v>
                </c:pt>
                <c:pt idx="53">
                  <c:v>9.6545383733789354</c:v>
                </c:pt>
                <c:pt idx="54">
                  <c:v>9.8290185745524159</c:v>
                </c:pt>
                <c:pt idx="55">
                  <c:v>10.003222499156818</c:v>
                </c:pt>
                <c:pt idx="56">
                  <c:v>10.177150584655775</c:v>
                </c:pt>
                <c:pt idx="57">
                  <c:v>10.350803267820222</c:v>
                </c:pt>
                <c:pt idx="58">
                  <c:v>10.524180984729512</c:v>
                </c:pt>
                <c:pt idx="59">
                  <c:v>10.697284170772487</c:v>
                </c:pt>
                <c:pt idx="60">
                  <c:v>10.870113260648594</c:v>
                </c:pt>
                <c:pt idx="61">
                  <c:v>11.042668688368956</c:v>
                </c:pt>
                <c:pt idx="62">
                  <c:v>11.042668688368956</c:v>
                </c:pt>
                <c:pt idx="63">
                  <c:v>11.042668688368956</c:v>
                </c:pt>
                <c:pt idx="64">
                  <c:v>11.042668688368956</c:v>
                </c:pt>
                <c:pt idx="65">
                  <c:v>23.542553375616126</c:v>
                </c:pt>
                <c:pt idx="66">
                  <c:v>24.879639620790968</c:v>
                </c:pt>
                <c:pt idx="67">
                  <c:v>26.197988633463417</c:v>
                </c:pt>
                <c:pt idx="68">
                  <c:v>27.499393222670584</c:v>
                </c:pt>
                <c:pt idx="69">
                  <c:v>28.785350166075897</c:v>
                </c:pt>
                <c:pt idx="70">
                  <c:v>30.057124778438389</c:v>
                </c:pt>
                <c:pt idx="71">
                  <c:v>31.315798406258345</c:v>
                </c:pt>
                <c:pt idx="72">
                  <c:v>32.562304065315487</c:v>
                </c:pt>
                <c:pt idx="73">
                  <c:v>33.797453652116673</c:v>
                </c:pt>
                <c:pt idx="74">
                  <c:v>35.021959044896626</c:v>
                </c:pt>
                <c:pt idx="75">
                  <c:v>36.236448693075147</c:v>
                </c:pt>
                <c:pt idx="76">
                  <c:v>37.44148082178539</c:v>
                </c:pt>
                <c:pt idx="77">
                  <c:v>38.637554059840561</c:v>
                </c:pt>
                <c:pt idx="78">
                  <c:v>39.825116080712469</c:v>
                </c:pt>
                <c:pt idx="79">
                  <c:v>41.004570692928873</c:v>
                </c:pt>
                <c:pt idx="80">
                  <c:v>42.176283707298261</c:v>
                </c:pt>
                <c:pt idx="81">
                  <c:v>43.340587829636149</c:v>
                </c:pt>
                <c:pt idx="82">
                  <c:v>44.49778677000868</c:v>
                </c:pt>
                <c:pt idx="83">
                  <c:v>45.648158716752754</c:v>
                </c:pt>
                <c:pt idx="84">
                  <c:v>46.808471210578595</c:v>
                </c:pt>
                <c:pt idx="85">
                  <c:v>47.962266402441905</c:v>
                </c:pt>
                <c:pt idx="86">
                  <c:v>49.109771232019042</c:v>
                </c:pt>
                <c:pt idx="87">
                  <c:v>50.251195758437532</c:v>
                </c:pt>
                <c:pt idx="88">
                  <c:v>51.386734904535984</c:v>
                </c:pt>
                <c:pt idx="89">
                  <c:v>52.516569975182158</c:v>
                </c:pt>
                <c:pt idx="90">
                  <c:v>53.640869984474421</c:v>
                </c:pt>
                <c:pt idx="91">
                  <c:v>54.759792820476257</c:v>
                </c:pt>
                <c:pt idx="92">
                  <c:v>55.873486271188021</c:v>
                </c:pt>
                <c:pt idx="93">
                  <c:v>56.982088931474522</c:v>
                </c:pt>
                <c:pt idx="94">
                  <c:v>58.085731007436216</c:v>
                </c:pt>
                <c:pt idx="95">
                  <c:v>59.184535032076397</c:v>
                </c:pt>
                <c:pt idx="96">
                  <c:v>60.278616503956712</c:v>
                </c:pt>
                <c:pt idx="97">
                  <c:v>61.368084458752229</c:v>
                </c:pt>
                <c:pt idx="98">
                  <c:v>62.453041982143496</c:v>
                </c:pt>
                <c:pt idx="99">
                  <c:v>63.533586671255001</c:v>
                </c:pt>
                <c:pt idx="100">
                  <c:v>64.60981105082486</c:v>
                </c:pt>
                <c:pt idx="101">
                  <c:v>65.681802949429269</c:v>
                </c:pt>
                <c:pt idx="102">
                  <c:v>66.749645840360401</c:v>
                </c:pt>
                <c:pt idx="103">
                  <c:v>67.813419151142526</c:v>
                </c:pt>
                <c:pt idx="104">
                  <c:v>68.87319854515053</c:v>
                </c:pt>
                <c:pt idx="105">
                  <c:v>69.929056178351047</c:v>
                </c:pt>
                <c:pt idx="106">
                  <c:v>70.981060933806944</c:v>
                </c:pt>
                <c:pt idx="107">
                  <c:v>72.029278636260429</c:v>
                </c:pt>
                <c:pt idx="108">
                  <c:v>73.073772248830323</c:v>
                </c:pt>
                <c:pt idx="109">
                  <c:v>74.114602053617105</c:v>
                </c:pt>
                <c:pt idx="110">
                  <c:v>75.151825817800258</c:v>
                </c:pt>
                <c:pt idx="111">
                  <c:v>76.19279756273238</c:v>
                </c:pt>
                <c:pt idx="112">
                  <c:v>77.230222567969022</c:v>
                </c:pt>
                <c:pt idx="113">
                  <c:v>78.264152998026063</c:v>
                </c:pt>
                <c:pt idx="114">
                  <c:v>79.294638992952301</c:v>
                </c:pt>
                <c:pt idx="115">
                  <c:v>80.321728783922467</c:v>
                </c:pt>
                <c:pt idx="116">
                  <c:v>81.345468800403594</c:v>
                </c:pt>
                <c:pt idx="117">
                  <c:v>82.365903769635594</c:v>
                </c:pt>
                <c:pt idx="118">
                  <c:v>83.383076809091691</c:v>
                </c:pt>
                <c:pt idx="119">
                  <c:v>84.397029512516568</c:v>
                </c:pt>
                <c:pt idx="120">
                  <c:v>85.407802030081001</c:v>
                </c:pt>
                <c:pt idx="121">
                  <c:v>86.415433143139055</c:v>
                </c:pt>
                <c:pt idx="122">
                  <c:v>87.419960334027053</c:v>
                </c:pt>
                <c:pt idx="123">
                  <c:v>88.421419851301792</c:v>
                </c:pt>
                <c:pt idx="124">
                  <c:v>89.419846770778236</c:v>
                </c:pt>
                <c:pt idx="125">
                  <c:v>90.415275052693985</c:v>
                </c:pt>
                <c:pt idx="126">
                  <c:v>91.407737595297647</c:v>
                </c:pt>
                <c:pt idx="127">
                  <c:v>92.397266285131991</c:v>
                </c:pt>
                <c:pt idx="128">
                  <c:v>93.383892044258602</c:v>
                </c:pt>
                <c:pt idx="129">
                  <c:v>94.367644874649045</c:v>
                </c:pt>
                <c:pt idx="130">
                  <c:v>95.348553899948868</c:v>
                </c:pt>
                <c:pt idx="131">
                  <c:v>96.326647404802301</c:v>
                </c:pt>
                <c:pt idx="132">
                  <c:v>97.301952871910672</c:v>
                </c:pt>
                <c:pt idx="133">
                  <c:v>98.274497016982579</c:v>
                </c:pt>
                <c:pt idx="134">
                  <c:v>99.244305821721156</c:v>
                </c:pt>
                <c:pt idx="135">
                  <c:v>100.21140456498262</c:v>
                </c:pt>
                <c:pt idx="136">
                  <c:v>101.17581785222801</c:v>
                </c:pt>
                <c:pt idx="137">
                  <c:v>102.13756964338285</c:v>
                </c:pt>
                <c:pt idx="138">
                  <c:v>103.09668327920802</c:v>
                </c:pt>
                <c:pt idx="139">
                  <c:v>104.05318150627907</c:v>
                </c:pt>
                <c:pt idx="140">
                  <c:v>105.00708650066272</c:v>
                </c:pt>
                <c:pt idx="141">
                  <c:v>105.95841989037341</c:v>
                </c:pt>
                <c:pt idx="142">
                  <c:v>106.90720277668586</c:v>
                </c:pt>
                <c:pt idx="143">
                  <c:v>107.85345575437474</c:v>
                </c:pt>
                <c:pt idx="144">
                  <c:v>108.79719893094683</c:v>
                </c:pt>
                <c:pt idx="145">
                  <c:v>109.73845194492681</c:v>
                </c:pt>
                <c:pt idx="146">
                  <c:v>110.67723398325299</c:v>
                </c:pt>
                <c:pt idx="147">
                  <c:v>111.61356379783616</c:v>
                </c:pt>
                <c:pt idx="148">
                  <c:v>112.54745972132982</c:v>
                </c:pt>
                <c:pt idx="149">
                  <c:v>113.47893968215811</c:v>
                </c:pt>
                <c:pt idx="150">
                  <c:v>114.40802121884354</c:v>
                </c:pt>
                <c:pt idx="151">
                  <c:v>115.33472149367431</c:v>
                </c:pt>
                <c:pt idx="152">
                  <c:v>116.25905730574841</c:v>
                </c:pt>
                <c:pt idx="153">
                  <c:v>117.18104510342894</c:v>
                </c:pt>
                <c:pt idx="154">
                  <c:v>117.48020405423323</c:v>
                </c:pt>
                <c:pt idx="155">
                  <c:v>117.48020405423323</c:v>
                </c:pt>
                <c:pt idx="156">
                  <c:v>117.48020405423323</c:v>
                </c:pt>
                <c:pt idx="157">
                  <c:v>117.48020405423323</c:v>
                </c:pt>
                <c:pt idx="158">
                  <c:v>117.48020405423323</c:v>
                </c:pt>
                <c:pt idx="159">
                  <c:v>117.48020405423323</c:v>
                </c:pt>
                <c:pt idx="160">
                  <c:v>117.48020405423323</c:v>
                </c:pt>
                <c:pt idx="161">
                  <c:v>117.48020405423323</c:v>
                </c:pt>
                <c:pt idx="162">
                  <c:v>117.48020405423323</c:v>
                </c:pt>
                <c:pt idx="163">
                  <c:v>117.48020405423323</c:v>
                </c:pt>
                <c:pt idx="164">
                  <c:v>117.48020405423323</c:v>
                </c:pt>
                <c:pt idx="165">
                  <c:v>117.48020405423323</c:v>
                </c:pt>
                <c:pt idx="166">
                  <c:v>117.48020405423323</c:v>
                </c:pt>
                <c:pt idx="167">
                  <c:v>117.48020405423323</c:v>
                </c:pt>
                <c:pt idx="168">
                  <c:v>117.48020405423323</c:v>
                </c:pt>
                <c:pt idx="169">
                  <c:v>117.48020405423323</c:v>
                </c:pt>
                <c:pt idx="170">
                  <c:v>117.48020405423323</c:v>
                </c:pt>
                <c:pt idx="171">
                  <c:v>117.48020405423323</c:v>
                </c:pt>
                <c:pt idx="172">
                  <c:v>117.48020405423323</c:v>
                </c:pt>
                <c:pt idx="173">
                  <c:v>86.672613075373945</c:v>
                </c:pt>
                <c:pt idx="174">
                  <c:v>85.665377846501499</c:v>
                </c:pt>
                <c:pt idx="175">
                  <c:v>84.656187360684996</c:v>
                </c:pt>
                <c:pt idx="176">
                  <c:v>83.645037822356514</c:v>
                </c:pt>
                <c:pt idx="177">
                  <c:v>82.631925428580132</c:v>
                </c:pt>
                <c:pt idx="178">
                  <c:v>81.616846369037646</c:v>
                </c:pt>
                <c:pt idx="179">
                  <c:v>80.599796826014185</c:v>
                </c:pt>
                <c:pt idx="180">
                  <c:v>79.580772974383876</c:v>
                </c:pt>
                <c:pt idx="181">
                  <c:v>78.559770981595548</c:v>
                </c:pt>
                <c:pt idx="182">
                  <c:v>77.536787007658134</c:v>
                </c:pt>
                <c:pt idx="183">
                  <c:v>76.511817205126391</c:v>
                </c:pt>
                <c:pt idx="184">
                  <c:v>75.484857719086364</c:v>
                </c:pt>
                <c:pt idx="185">
                  <c:v>74.455904687140887</c:v>
                </c:pt>
                <c:pt idx="186">
                  <c:v>73.424954239395021</c:v>
                </c:pt>
                <c:pt idx="187">
                  <c:v>72.392002498441613</c:v>
                </c:pt>
                <c:pt idx="188">
                  <c:v>71.357045579346618</c:v>
                </c:pt>
                <c:pt idx="189">
                  <c:v>70.320079589634489</c:v>
                </c:pt>
                <c:pt idx="190">
                  <c:v>69.281100629273581</c:v>
                </c:pt>
                <c:pt idx="191">
                  <c:v>68.240104790661448</c:v>
                </c:pt>
                <c:pt idx="192">
                  <c:v>67.197088158610157</c:v>
                </c:pt>
                <c:pt idx="193">
                  <c:v>66.152046810331555</c:v>
                </c:pt>
                <c:pt idx="194">
                  <c:v>65.104976815422575</c:v>
                </c:pt>
                <c:pt idx="195">
                  <c:v>64.055874235850382</c:v>
                </c:pt>
                <c:pt idx="196">
                  <c:v>63.004735125937557</c:v>
                </c:pt>
                <c:pt idx="197">
                  <c:v>61.951555532347328</c:v>
                </c:pt>
                <c:pt idx="198">
                  <c:v>60.896331494068612</c:v>
                </c:pt>
                <c:pt idx="199">
                  <c:v>59.839059042401203</c:v>
                </c:pt>
                <c:pt idx="200">
                  <c:v>58.779734200940787</c:v>
                </c:pt>
                <c:pt idx="201">
                  <c:v>57.71835298556401</c:v>
                </c:pt>
                <c:pt idx="202">
                  <c:v>56.654911404413504</c:v>
                </c:pt>
                <c:pt idx="203">
                  <c:v>55.589405457882854</c:v>
                </c:pt>
                <c:pt idx="204">
                  <c:v>54.521831138601534</c:v>
                </c:pt>
                <c:pt idx="205">
                  <c:v>53.452184431419916</c:v>
                </c:pt>
                <c:pt idx="206">
                  <c:v>52.380461313394079</c:v>
                </c:pt>
                <c:pt idx="207">
                  <c:v>51.306657753770722</c:v>
                </c:pt>
                <c:pt idx="208">
                  <c:v>50.230769713971988</c:v>
                </c:pt>
                <c:pt idx="209">
                  <c:v>49.16035670306924</c:v>
                </c:pt>
                <c:pt idx="210">
                  <c:v>48.087880373209238</c:v>
                </c:pt>
                <c:pt idx="211">
                  <c:v>28.383443304947658</c:v>
                </c:pt>
                <c:pt idx="212">
                  <c:v>29.328466422695939</c:v>
                </c:pt>
                <c:pt idx="213">
                  <c:v>30.275666595809327</c:v>
                </c:pt>
                <c:pt idx="214">
                  <c:v>31.224905947760288</c:v>
                </c:pt>
                <c:pt idx="215">
                  <c:v>32.182786549756656</c:v>
                </c:pt>
                <c:pt idx="216">
                  <c:v>33.14247943957298</c:v>
                </c:pt>
                <c:pt idx="217">
                  <c:v>34.103867376481674</c:v>
                </c:pt>
                <c:pt idx="218">
                  <c:v>35.066839779734572</c:v>
                </c:pt>
                <c:pt idx="219">
                  <c:v>36.031292214199624</c:v>
                </c:pt>
                <c:pt idx="220">
                  <c:v>36.99712592619359</c:v>
                </c:pt>
                <c:pt idx="221">
                  <c:v>37.964247423637772</c:v>
                </c:pt>
                <c:pt idx="222">
                  <c:v>38.932568095459999</c:v>
                </c:pt>
                <c:pt idx="223">
                  <c:v>39.902003865840115</c:v>
                </c:pt>
                <c:pt idx="224">
                  <c:v>40.872474879468946</c:v>
                </c:pt>
                <c:pt idx="225">
                  <c:v>41.843905214479086</c:v>
                </c:pt>
                <c:pt idx="226">
                  <c:v>42.816222620123803</c:v>
                </c:pt>
                <c:pt idx="227">
                  <c:v>43.7893582766389</c:v>
                </c:pt>
                <c:pt idx="228">
                  <c:v>44.763246575031481</c:v>
                </c:pt>
                <c:pt idx="229">
                  <c:v>45.737824914805721</c:v>
                </c:pt>
                <c:pt idx="230">
                  <c:v>46.713033517867075</c:v>
                </c:pt>
                <c:pt idx="231">
                  <c:v>47.688815257046869</c:v>
                </c:pt>
                <c:pt idx="232">
                  <c:v>48.665115497863283</c:v>
                </c:pt>
                <c:pt idx="233">
                  <c:v>49.641881952287825</c:v>
                </c:pt>
                <c:pt idx="234">
                  <c:v>50.619064543419022</c:v>
                </c:pt>
                <c:pt idx="235">
                  <c:v>51.596615280082631</c:v>
                </c:pt>
                <c:pt idx="236">
                  <c:v>52.574488140479602</c:v>
                </c:pt>
                <c:pt idx="237">
                  <c:v>53.552638964094534</c:v>
                </c:pt>
                <c:pt idx="238">
                  <c:v>54.531025351156423</c:v>
                </c:pt>
                <c:pt idx="239">
                  <c:v>55.509606569014771</c:v>
                </c:pt>
                <c:pt idx="240">
                  <c:v>56.488343464856548</c:v>
                </c:pt>
                <c:pt idx="241">
                  <c:v>57.46719838424513</c:v>
                </c:pt>
                <c:pt idx="242">
                  <c:v>58.446135095011968</c:v>
                </c:pt>
                <c:pt idx="243">
                  <c:v>59.425118716076014</c:v>
                </c:pt>
                <c:pt idx="244">
                  <c:v>60.404115650804684</c:v>
                </c:pt>
                <c:pt idx="245">
                  <c:v>60.54080077002466</c:v>
                </c:pt>
                <c:pt idx="246">
                  <c:v>60.54080077002466</c:v>
                </c:pt>
                <c:pt idx="247">
                  <c:v>60.54080077002466</c:v>
                </c:pt>
                <c:pt idx="248">
                  <c:v>60.54080077002466</c:v>
                </c:pt>
                <c:pt idx="249">
                  <c:v>60.54080077002466</c:v>
                </c:pt>
                <c:pt idx="250">
                  <c:v>60.54080077002466</c:v>
                </c:pt>
                <c:pt idx="251">
                  <c:v>60.54080077002466</c:v>
                </c:pt>
                <c:pt idx="252">
                  <c:v>60.54080077002466</c:v>
                </c:pt>
                <c:pt idx="253">
                  <c:v>60.54080077002466</c:v>
                </c:pt>
                <c:pt idx="254">
                  <c:v>60.54080077002466</c:v>
                </c:pt>
                <c:pt idx="255">
                  <c:v>60.54080077002466</c:v>
                </c:pt>
                <c:pt idx="256">
                  <c:v>60.54080077002466</c:v>
                </c:pt>
                <c:pt idx="257">
                  <c:v>60.54080077002466</c:v>
                </c:pt>
                <c:pt idx="258">
                  <c:v>60.54080077002466</c:v>
                </c:pt>
                <c:pt idx="259">
                  <c:v>60.54080077002466</c:v>
                </c:pt>
                <c:pt idx="260">
                  <c:v>60.54080077002466</c:v>
                </c:pt>
                <c:pt idx="261">
                  <c:v>60.54080077002466</c:v>
                </c:pt>
                <c:pt idx="262">
                  <c:v>60.54080077002466</c:v>
                </c:pt>
                <c:pt idx="263">
                  <c:v>60.54080077002466</c:v>
                </c:pt>
                <c:pt idx="264">
                  <c:v>60.54080077002466</c:v>
                </c:pt>
                <c:pt idx="265">
                  <c:v>60.54080077002466</c:v>
                </c:pt>
                <c:pt idx="266">
                  <c:v>60.54080077002466</c:v>
                </c:pt>
                <c:pt idx="267">
                  <c:v>60.54080077002466</c:v>
                </c:pt>
                <c:pt idx="268">
                  <c:v>60.54080077002466</c:v>
                </c:pt>
                <c:pt idx="269">
                  <c:v>60.54080077002466</c:v>
                </c:pt>
                <c:pt idx="270">
                  <c:v>60.54080077002466</c:v>
                </c:pt>
                <c:pt idx="271">
                  <c:v>60.54080077002466</c:v>
                </c:pt>
                <c:pt idx="272">
                  <c:v>60.54080077002466</c:v>
                </c:pt>
                <c:pt idx="273">
                  <c:v>60.54080077002466</c:v>
                </c:pt>
                <c:pt idx="274">
                  <c:v>60.54080077002466</c:v>
                </c:pt>
                <c:pt idx="275">
                  <c:v>60.54080077002466</c:v>
                </c:pt>
                <c:pt idx="276">
                  <c:v>60.54080077002466</c:v>
                </c:pt>
                <c:pt idx="277">
                  <c:v>60.54080077002466</c:v>
                </c:pt>
                <c:pt idx="278">
                  <c:v>60.54080077002466</c:v>
                </c:pt>
                <c:pt idx="279">
                  <c:v>60.54080077002466</c:v>
                </c:pt>
                <c:pt idx="280">
                  <c:v>60.54080077002466</c:v>
                </c:pt>
                <c:pt idx="281">
                  <c:v>60.54080077002466</c:v>
                </c:pt>
                <c:pt idx="282">
                  <c:v>60.54080077002466</c:v>
                </c:pt>
                <c:pt idx="283">
                  <c:v>60.54080077002466</c:v>
                </c:pt>
                <c:pt idx="284">
                  <c:v>60.54080077002466</c:v>
                </c:pt>
                <c:pt idx="285">
                  <c:v>60.54080077002466</c:v>
                </c:pt>
                <c:pt idx="286">
                  <c:v>60.54080077002466</c:v>
                </c:pt>
                <c:pt idx="287">
                  <c:v>60.54080077002466</c:v>
                </c:pt>
                <c:pt idx="288">
                  <c:v>60.54080077002466</c:v>
                </c:pt>
                <c:pt idx="289">
                  <c:v>60.54080077002466</c:v>
                </c:pt>
                <c:pt idx="290">
                  <c:v>60.54080077002466</c:v>
                </c:pt>
                <c:pt idx="291">
                  <c:v>60.54080077002466</c:v>
                </c:pt>
                <c:pt idx="292">
                  <c:v>60.54080077002466</c:v>
                </c:pt>
                <c:pt idx="293">
                  <c:v>60.54080077002466</c:v>
                </c:pt>
                <c:pt idx="294">
                  <c:v>60.54080077002466</c:v>
                </c:pt>
                <c:pt idx="295">
                  <c:v>60.54080077002466</c:v>
                </c:pt>
                <c:pt idx="296">
                  <c:v>60.54080077002466</c:v>
                </c:pt>
                <c:pt idx="297">
                  <c:v>60.54080077002466</c:v>
                </c:pt>
                <c:pt idx="298">
                  <c:v>60.54080077002466</c:v>
                </c:pt>
                <c:pt idx="299">
                  <c:v>60.54080077002466</c:v>
                </c:pt>
                <c:pt idx="300">
                  <c:v>60.54080077002466</c:v>
                </c:pt>
                <c:pt idx="301">
                  <c:v>60.54080077002466</c:v>
                </c:pt>
                <c:pt idx="302">
                  <c:v>60.54080077002466</c:v>
                </c:pt>
                <c:pt idx="303">
                  <c:v>60.54080077002466</c:v>
                </c:pt>
                <c:pt idx="304">
                  <c:v>60.54080077002466</c:v>
                </c:pt>
                <c:pt idx="305">
                  <c:v>60.54080077002466</c:v>
                </c:pt>
                <c:pt idx="306">
                  <c:v>60.54080077002466</c:v>
                </c:pt>
                <c:pt idx="307">
                  <c:v>60.54080077002466</c:v>
                </c:pt>
                <c:pt idx="308">
                  <c:v>60.54080077002466</c:v>
                </c:pt>
                <c:pt idx="309">
                  <c:v>60.54080077002466</c:v>
                </c:pt>
                <c:pt idx="310">
                  <c:v>60.54080077002466</c:v>
                </c:pt>
                <c:pt idx="311">
                  <c:v>60.54080077002466</c:v>
                </c:pt>
                <c:pt idx="312">
                  <c:v>60.54080077002466</c:v>
                </c:pt>
                <c:pt idx="313">
                  <c:v>60.54080077002466</c:v>
                </c:pt>
                <c:pt idx="314">
                  <c:v>60.54080077002466</c:v>
                </c:pt>
              </c:numCache>
            </c:numRef>
          </c:yVal>
          <c:smooth val="1"/>
        </c:ser>
        <c:axId val="92598272"/>
        <c:axId val="92600192"/>
      </c:scatterChart>
      <c:valAx>
        <c:axId val="925982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Didtance (m)</a:t>
                </a:r>
              </a:p>
            </c:rich>
          </c:tx>
        </c:title>
        <c:tickLblPos val="nextTo"/>
        <c:txPr>
          <a:bodyPr/>
          <a:lstStyle/>
          <a:p>
            <a:pPr>
              <a:defRPr sz="8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2600192"/>
        <c:crosses val="autoZero"/>
        <c:crossBetween val="midCat"/>
      </c:valAx>
      <c:valAx>
        <c:axId val="92600192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259827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6.9228564189059455E-2"/>
          <c:y val="0.20674567280532674"/>
          <c:w val="0.12495482280909651"/>
          <c:h val="0.15734888186217197"/>
        </c:manualLayout>
      </c:layout>
      <c:overlay val="1"/>
      <c:txPr>
        <a:bodyPr/>
        <a:lstStyle/>
        <a:p>
          <a:pPr>
            <a:defRPr>
              <a:latin typeface="Times New Roman" pitchFamily="18" charset="0"/>
              <a:cs typeface="Times New Roman" pitchFamily="18" charset="0"/>
            </a:defRPr>
          </a:pPr>
          <a:endParaRPr lang="en-US"/>
        </a:p>
      </c:txPr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b="0"/>
            </a:pPr>
            <a:r>
              <a:rPr lang="en-US" b="0"/>
              <a:t>Gradient Resistance (N) vs Didtance(m)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Simulation!$U$4</c:f>
              <c:strCache>
                <c:ptCount val="1"/>
                <c:pt idx="0">
                  <c:v>Gradient Resistance (N)</c:v>
                </c:pt>
              </c:strCache>
            </c:strRef>
          </c:tx>
          <c:marker>
            <c:symbol val="none"/>
          </c:marker>
          <c:val>
            <c:numRef>
              <c:f>Simulation!$U$5:$U$319</c:f>
              <c:numCache>
                <c:formatCode>General</c:formatCode>
                <c:ptCount val="315"/>
                <c:pt idx="0">
                  <c:v>178.61733099000003</c:v>
                </c:pt>
                <c:pt idx="1">
                  <c:v>178.61733099000003</c:v>
                </c:pt>
                <c:pt idx="2">
                  <c:v>178.61733099000003</c:v>
                </c:pt>
                <c:pt idx="3">
                  <c:v>178.61733099000003</c:v>
                </c:pt>
                <c:pt idx="4">
                  <c:v>178.61733099000003</c:v>
                </c:pt>
                <c:pt idx="5">
                  <c:v>178.61733099000003</c:v>
                </c:pt>
                <c:pt idx="6">
                  <c:v>178.61733099000003</c:v>
                </c:pt>
                <c:pt idx="7">
                  <c:v>178.61733099000003</c:v>
                </c:pt>
                <c:pt idx="8">
                  <c:v>178.61733099000003</c:v>
                </c:pt>
                <c:pt idx="9">
                  <c:v>178.61733099000003</c:v>
                </c:pt>
                <c:pt idx="10">
                  <c:v>178.61733099000003</c:v>
                </c:pt>
                <c:pt idx="11">
                  <c:v>178.61733099000003</c:v>
                </c:pt>
                <c:pt idx="12">
                  <c:v>178.61733099000003</c:v>
                </c:pt>
                <c:pt idx="13">
                  <c:v>178.61733099000003</c:v>
                </c:pt>
                <c:pt idx="14">
                  <c:v>178.61733099000003</c:v>
                </c:pt>
                <c:pt idx="15">
                  <c:v>178.61733099000003</c:v>
                </c:pt>
                <c:pt idx="16">
                  <c:v>178.61733099000003</c:v>
                </c:pt>
                <c:pt idx="17">
                  <c:v>178.61733099000003</c:v>
                </c:pt>
                <c:pt idx="18">
                  <c:v>178.61733099000003</c:v>
                </c:pt>
                <c:pt idx="19">
                  <c:v>178.61733099000003</c:v>
                </c:pt>
                <c:pt idx="20">
                  <c:v>178.61733099000003</c:v>
                </c:pt>
                <c:pt idx="21">
                  <c:v>178.61733099000003</c:v>
                </c:pt>
                <c:pt idx="22">
                  <c:v>178.61733099000003</c:v>
                </c:pt>
                <c:pt idx="23">
                  <c:v>178.61733099000003</c:v>
                </c:pt>
                <c:pt idx="24">
                  <c:v>178.61733099000003</c:v>
                </c:pt>
                <c:pt idx="25">
                  <c:v>178.61733099000003</c:v>
                </c:pt>
                <c:pt idx="26">
                  <c:v>178.61733099000003</c:v>
                </c:pt>
                <c:pt idx="27">
                  <c:v>178.61733099000003</c:v>
                </c:pt>
                <c:pt idx="28">
                  <c:v>178.61733099000003</c:v>
                </c:pt>
                <c:pt idx="29">
                  <c:v>178.61733099000003</c:v>
                </c:pt>
                <c:pt idx="30">
                  <c:v>178.61733099000003</c:v>
                </c:pt>
                <c:pt idx="31">
                  <c:v>178.61733099000003</c:v>
                </c:pt>
                <c:pt idx="32">
                  <c:v>178.61733099000003</c:v>
                </c:pt>
                <c:pt idx="33">
                  <c:v>178.61733099000003</c:v>
                </c:pt>
                <c:pt idx="34">
                  <c:v>178.61733099000003</c:v>
                </c:pt>
                <c:pt idx="35">
                  <c:v>178.61733099000003</c:v>
                </c:pt>
                <c:pt idx="36">
                  <c:v>178.61733099000003</c:v>
                </c:pt>
                <c:pt idx="37">
                  <c:v>178.61733099000003</c:v>
                </c:pt>
                <c:pt idx="38">
                  <c:v>178.61733099000003</c:v>
                </c:pt>
                <c:pt idx="39">
                  <c:v>178.61733099000003</c:v>
                </c:pt>
                <c:pt idx="40">
                  <c:v>178.61733099000003</c:v>
                </c:pt>
                <c:pt idx="41">
                  <c:v>178.61733099000003</c:v>
                </c:pt>
                <c:pt idx="42">
                  <c:v>178.61733099000003</c:v>
                </c:pt>
                <c:pt idx="43">
                  <c:v>178.61733099000003</c:v>
                </c:pt>
                <c:pt idx="44">
                  <c:v>178.61733099000003</c:v>
                </c:pt>
                <c:pt idx="45">
                  <c:v>178.61733099000003</c:v>
                </c:pt>
                <c:pt idx="46">
                  <c:v>178.61733099000003</c:v>
                </c:pt>
                <c:pt idx="47">
                  <c:v>178.61733099000003</c:v>
                </c:pt>
                <c:pt idx="48">
                  <c:v>178.61733099000003</c:v>
                </c:pt>
                <c:pt idx="49">
                  <c:v>178.61733099000003</c:v>
                </c:pt>
                <c:pt idx="50">
                  <c:v>178.61733099000003</c:v>
                </c:pt>
                <c:pt idx="51">
                  <c:v>178.61733099000003</c:v>
                </c:pt>
                <c:pt idx="52">
                  <c:v>178.61733099000003</c:v>
                </c:pt>
                <c:pt idx="53">
                  <c:v>178.61733099000003</c:v>
                </c:pt>
                <c:pt idx="54">
                  <c:v>178.61733099000003</c:v>
                </c:pt>
                <c:pt idx="55">
                  <c:v>178.61733099000003</c:v>
                </c:pt>
                <c:pt idx="56">
                  <c:v>178.61733099000003</c:v>
                </c:pt>
                <c:pt idx="57">
                  <c:v>178.61733099000003</c:v>
                </c:pt>
                <c:pt idx="58">
                  <c:v>178.61733099000003</c:v>
                </c:pt>
                <c:pt idx="59">
                  <c:v>178.61733099000003</c:v>
                </c:pt>
                <c:pt idx="60">
                  <c:v>178.61733099000003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-178.61733099000003</c:v>
                </c:pt>
                <c:pt idx="212">
                  <c:v>-178.61733099000003</c:v>
                </c:pt>
                <c:pt idx="213">
                  <c:v>-178.61733099000003</c:v>
                </c:pt>
                <c:pt idx="214">
                  <c:v>-178.61733099000003</c:v>
                </c:pt>
                <c:pt idx="215">
                  <c:v>-178.61733099000003</c:v>
                </c:pt>
                <c:pt idx="216">
                  <c:v>-178.61733099000003</c:v>
                </c:pt>
                <c:pt idx="217">
                  <c:v>-178.61733099000003</c:v>
                </c:pt>
                <c:pt idx="218">
                  <c:v>-178.61733099000003</c:v>
                </c:pt>
                <c:pt idx="219">
                  <c:v>-178.61733099000003</c:v>
                </c:pt>
                <c:pt idx="220">
                  <c:v>-178.61733099000003</c:v>
                </c:pt>
                <c:pt idx="221">
                  <c:v>-178.61733099000003</c:v>
                </c:pt>
                <c:pt idx="222">
                  <c:v>-178.61733099000003</c:v>
                </c:pt>
                <c:pt idx="223">
                  <c:v>-178.61733099000003</c:v>
                </c:pt>
                <c:pt idx="224">
                  <c:v>-178.61733099000003</c:v>
                </c:pt>
                <c:pt idx="225">
                  <c:v>-178.61733099000003</c:v>
                </c:pt>
                <c:pt idx="226">
                  <c:v>-178.61733099000003</c:v>
                </c:pt>
                <c:pt idx="227">
                  <c:v>-178.61733099000003</c:v>
                </c:pt>
                <c:pt idx="228">
                  <c:v>-178.61733099000003</c:v>
                </c:pt>
                <c:pt idx="229">
                  <c:v>-178.61733099000003</c:v>
                </c:pt>
                <c:pt idx="230">
                  <c:v>-178.61733099000003</c:v>
                </c:pt>
                <c:pt idx="231">
                  <c:v>-178.61733099000003</c:v>
                </c:pt>
                <c:pt idx="232">
                  <c:v>-178.61733099000003</c:v>
                </c:pt>
                <c:pt idx="233">
                  <c:v>-178.61733099000003</c:v>
                </c:pt>
                <c:pt idx="234">
                  <c:v>-178.61733099000003</c:v>
                </c:pt>
                <c:pt idx="235">
                  <c:v>-178.61733099000003</c:v>
                </c:pt>
                <c:pt idx="236">
                  <c:v>-178.61733099000003</c:v>
                </c:pt>
                <c:pt idx="237">
                  <c:v>-178.61733099000003</c:v>
                </c:pt>
                <c:pt idx="238">
                  <c:v>-178.61733099000003</c:v>
                </c:pt>
                <c:pt idx="239">
                  <c:v>-178.61733099000003</c:v>
                </c:pt>
                <c:pt idx="240">
                  <c:v>-178.61733099000003</c:v>
                </c:pt>
                <c:pt idx="241">
                  <c:v>-178.61733099000003</c:v>
                </c:pt>
                <c:pt idx="242">
                  <c:v>-178.61733099000003</c:v>
                </c:pt>
                <c:pt idx="243">
                  <c:v>-178.61733099000003</c:v>
                </c:pt>
                <c:pt idx="244">
                  <c:v>-178.61733099000003</c:v>
                </c:pt>
                <c:pt idx="245">
                  <c:v>-178.61733099000003</c:v>
                </c:pt>
                <c:pt idx="246">
                  <c:v>-178.61733099000003</c:v>
                </c:pt>
                <c:pt idx="247">
                  <c:v>-178.61733099000003</c:v>
                </c:pt>
                <c:pt idx="248">
                  <c:v>-178.61733099000003</c:v>
                </c:pt>
                <c:pt idx="249">
                  <c:v>-178.61733099000003</c:v>
                </c:pt>
                <c:pt idx="250">
                  <c:v>-178.61733099000003</c:v>
                </c:pt>
                <c:pt idx="251">
                  <c:v>-178.61733099000003</c:v>
                </c:pt>
                <c:pt idx="252">
                  <c:v>-178.61733099000003</c:v>
                </c:pt>
                <c:pt idx="253">
                  <c:v>-178.61733099000003</c:v>
                </c:pt>
                <c:pt idx="254">
                  <c:v>-178.61733099000003</c:v>
                </c:pt>
                <c:pt idx="255">
                  <c:v>-178.61733099000003</c:v>
                </c:pt>
                <c:pt idx="256">
                  <c:v>-178.61733099000003</c:v>
                </c:pt>
                <c:pt idx="257">
                  <c:v>-178.61733099000003</c:v>
                </c:pt>
                <c:pt idx="258">
                  <c:v>-178.61733099000003</c:v>
                </c:pt>
                <c:pt idx="259">
                  <c:v>-178.61733099000003</c:v>
                </c:pt>
                <c:pt idx="260">
                  <c:v>-178.61733099000003</c:v>
                </c:pt>
                <c:pt idx="261">
                  <c:v>-178.61733099000003</c:v>
                </c:pt>
                <c:pt idx="262">
                  <c:v>-178.61733099000003</c:v>
                </c:pt>
                <c:pt idx="263">
                  <c:v>-178.61733099000003</c:v>
                </c:pt>
                <c:pt idx="264">
                  <c:v>-178.61733099000003</c:v>
                </c:pt>
                <c:pt idx="265">
                  <c:v>-178.61733099000003</c:v>
                </c:pt>
                <c:pt idx="266">
                  <c:v>-178.61733099000003</c:v>
                </c:pt>
                <c:pt idx="267">
                  <c:v>-178.61733099000003</c:v>
                </c:pt>
                <c:pt idx="268">
                  <c:v>-178.61733099000003</c:v>
                </c:pt>
                <c:pt idx="269">
                  <c:v>-178.61733099000003</c:v>
                </c:pt>
                <c:pt idx="270">
                  <c:v>-178.61733099000003</c:v>
                </c:pt>
                <c:pt idx="271">
                  <c:v>-178.61733099000003</c:v>
                </c:pt>
                <c:pt idx="272">
                  <c:v>-178.61733099000003</c:v>
                </c:pt>
                <c:pt idx="273">
                  <c:v>-178.61733099000003</c:v>
                </c:pt>
                <c:pt idx="274">
                  <c:v>-178.61733099000003</c:v>
                </c:pt>
                <c:pt idx="275">
                  <c:v>-178.61733099000003</c:v>
                </c:pt>
                <c:pt idx="276">
                  <c:v>-178.61733099000003</c:v>
                </c:pt>
                <c:pt idx="277">
                  <c:v>-178.61733099000003</c:v>
                </c:pt>
                <c:pt idx="278">
                  <c:v>-178.61733099000003</c:v>
                </c:pt>
                <c:pt idx="279">
                  <c:v>-178.61733099000003</c:v>
                </c:pt>
                <c:pt idx="280">
                  <c:v>-178.61733099000003</c:v>
                </c:pt>
                <c:pt idx="281">
                  <c:v>-178.61733099000003</c:v>
                </c:pt>
                <c:pt idx="282">
                  <c:v>-178.61733099000003</c:v>
                </c:pt>
                <c:pt idx="283">
                  <c:v>-178.61733099000003</c:v>
                </c:pt>
                <c:pt idx="284">
                  <c:v>-178.61733099000003</c:v>
                </c:pt>
                <c:pt idx="285">
                  <c:v>-178.61733099000003</c:v>
                </c:pt>
                <c:pt idx="286">
                  <c:v>-178.61733099000003</c:v>
                </c:pt>
                <c:pt idx="287">
                  <c:v>-178.61733099000003</c:v>
                </c:pt>
                <c:pt idx="288">
                  <c:v>-178.61733099000003</c:v>
                </c:pt>
                <c:pt idx="289">
                  <c:v>-178.61733099000003</c:v>
                </c:pt>
                <c:pt idx="290">
                  <c:v>-178.61733099000003</c:v>
                </c:pt>
                <c:pt idx="291">
                  <c:v>-178.61733099000003</c:v>
                </c:pt>
                <c:pt idx="292">
                  <c:v>-178.61733099000003</c:v>
                </c:pt>
                <c:pt idx="293">
                  <c:v>-178.61733099000003</c:v>
                </c:pt>
                <c:pt idx="294">
                  <c:v>-178.61733099000003</c:v>
                </c:pt>
                <c:pt idx="295">
                  <c:v>-178.61733099000003</c:v>
                </c:pt>
                <c:pt idx="296">
                  <c:v>-178.61733099000003</c:v>
                </c:pt>
                <c:pt idx="297">
                  <c:v>-178.61733099000003</c:v>
                </c:pt>
                <c:pt idx="298">
                  <c:v>-178.61733099000003</c:v>
                </c:pt>
                <c:pt idx="299">
                  <c:v>-178.61733099000003</c:v>
                </c:pt>
                <c:pt idx="300">
                  <c:v>-178.61733099000003</c:v>
                </c:pt>
                <c:pt idx="301">
                  <c:v>-178.61733099000003</c:v>
                </c:pt>
                <c:pt idx="302">
                  <c:v>-178.61733099000003</c:v>
                </c:pt>
                <c:pt idx="303">
                  <c:v>-178.61733099000003</c:v>
                </c:pt>
                <c:pt idx="304">
                  <c:v>-178.61733099000003</c:v>
                </c:pt>
                <c:pt idx="305">
                  <c:v>-178.61733099000003</c:v>
                </c:pt>
                <c:pt idx="306">
                  <c:v>-178.61733099000003</c:v>
                </c:pt>
                <c:pt idx="307">
                  <c:v>-178.61733099000003</c:v>
                </c:pt>
                <c:pt idx="308">
                  <c:v>-178.61733099000003</c:v>
                </c:pt>
                <c:pt idx="309">
                  <c:v>-178.61733099000003</c:v>
                </c:pt>
                <c:pt idx="310">
                  <c:v>-178.61733099000003</c:v>
                </c:pt>
                <c:pt idx="311">
                  <c:v>-178.61733099000003</c:v>
                </c:pt>
                <c:pt idx="312">
                  <c:v>-178.61733099000003</c:v>
                </c:pt>
                <c:pt idx="313">
                  <c:v>-178.61733099000003</c:v>
                </c:pt>
                <c:pt idx="314">
                  <c:v>-178.61733099000003</c:v>
                </c:pt>
              </c:numCache>
            </c:numRef>
          </c:val>
        </c:ser>
        <c:marker val="1"/>
        <c:axId val="92505600"/>
        <c:axId val="92507520"/>
      </c:lineChart>
      <c:catAx>
        <c:axId val="925056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Distance(m)</a:t>
                </a:r>
              </a:p>
            </c:rich>
          </c:tx>
        </c:title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92507520"/>
        <c:crosses val="autoZero"/>
        <c:auto val="1"/>
        <c:lblAlgn val="ctr"/>
        <c:lblOffset val="100"/>
      </c:catAx>
      <c:valAx>
        <c:axId val="9250752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/>
                </a:pPr>
                <a:r>
                  <a:rPr lang="en-US" b="0"/>
                  <a:t>Gradient Resistance (N)</a:t>
                </a:r>
              </a:p>
            </c:rich>
          </c:tx>
        </c:title>
        <c:numFmt formatCode="General" sourceLinked="1"/>
        <c:tickLblPos val="nextTo"/>
        <c:crossAx val="92505600"/>
        <c:crosses val="autoZero"/>
        <c:crossBetween val="between"/>
      </c:valAx>
    </c:plotArea>
    <c:plotVisOnly val="1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b="0">
                <a:latin typeface="Times New Roman" pitchFamily="18" charset="0"/>
                <a:cs typeface="Times New Roman" pitchFamily="18" charset="0"/>
              </a:defRPr>
            </a:pPr>
            <a:r>
              <a:rPr lang="en-US" b="0">
                <a:latin typeface="Times New Roman" pitchFamily="18" charset="0"/>
                <a:cs typeface="Times New Roman" pitchFamily="18" charset="0"/>
              </a:rPr>
              <a:t>Net Driving Force(N) vs Distance(m)</a:t>
            </a:r>
          </a:p>
        </c:rich>
      </c:tx>
      <c:layout>
        <c:manualLayout>
          <c:xMode val="edge"/>
          <c:yMode val="edge"/>
          <c:x val="0.38346748509471523"/>
          <c:y val="4.4150600592226918E-2"/>
        </c:manualLayout>
      </c:layout>
      <c:overlay val="1"/>
    </c:title>
    <c:plotArea>
      <c:layout/>
      <c:scatterChart>
        <c:scatterStyle val="smoothMarker"/>
        <c:ser>
          <c:idx val="0"/>
          <c:order val="0"/>
          <c:tx>
            <c:strRef>
              <c:f>Simulation!$S$4</c:f>
              <c:strCache>
                <c:ptCount val="1"/>
                <c:pt idx="0">
                  <c:v>Aero Drag(N)</c:v>
                </c:pt>
              </c:strCache>
            </c:strRef>
          </c:tx>
          <c:marker>
            <c:symbol val="none"/>
          </c:marker>
          <c:yVal>
            <c:numRef>
              <c:f>Simulation!$S$5:$S$319</c:f>
              <c:numCache>
                <c:formatCode>General</c:formatCode>
                <c:ptCount val="315"/>
                <c:pt idx="0">
                  <c:v>0</c:v>
                </c:pt>
                <c:pt idx="1">
                  <c:v>0.18976745279228863</c:v>
                </c:pt>
                <c:pt idx="2">
                  <c:v>0.37923442277662717</c:v>
                </c:pt>
                <c:pt idx="3">
                  <c:v>0.5684013857454473</c:v>
                </c:pt>
                <c:pt idx="4">
                  <c:v>0.757268816737799</c:v>
                </c:pt>
                <c:pt idx="5">
                  <c:v>0.94583719004054212</c:v>
                </c:pt>
                <c:pt idx="6">
                  <c:v>1.1341069791895388</c:v>
                </c:pt>
                <c:pt idx="7">
                  <c:v>1.322078656970842</c:v>
                </c:pt>
                <c:pt idx="8">
                  <c:v>1.5097526954218818</c:v>
                </c:pt>
                <c:pt idx="9">
                  <c:v>1.6971295658326524</c:v>
                </c:pt>
                <c:pt idx="10">
                  <c:v>1.8842097387468946</c:v>
                </c:pt>
                <c:pt idx="11">
                  <c:v>2.0709936839632794</c:v>
                </c:pt>
                <c:pt idx="12">
                  <c:v>2.2574818705365836</c:v>
                </c:pt>
                <c:pt idx="13">
                  <c:v>2.4436747667788716</c:v>
                </c:pt>
                <c:pt idx="14">
                  <c:v>2.6295728402606704</c:v>
                </c:pt>
                <c:pt idx="15">
                  <c:v>2.8151765578121424</c:v>
                </c:pt>
                <c:pt idx="16">
                  <c:v>3.0004863855242601</c:v>
                </c:pt>
                <c:pt idx="17">
                  <c:v>3.1855027887499747</c:v>
                </c:pt>
                <c:pt idx="18">
                  <c:v>3.3702262321053835</c:v>
                </c:pt>
                <c:pt idx="19">
                  <c:v>3.554657179470901</c:v>
                </c:pt>
                <c:pt idx="20">
                  <c:v>3.7387960939924199</c:v>
                </c:pt>
                <c:pt idx="21">
                  <c:v>3.9226434380824746</c:v>
                </c:pt>
                <c:pt idx="22">
                  <c:v>4.1061996734214059</c:v>
                </c:pt>
                <c:pt idx="23">
                  <c:v>4.289465260958516</c:v>
                </c:pt>
                <c:pt idx="24">
                  <c:v>4.4724406609132261</c:v>
                </c:pt>
                <c:pt idx="25">
                  <c:v>4.6551263327762378</c:v>
                </c:pt>
                <c:pt idx="26">
                  <c:v>4.8375227353106798</c:v>
                </c:pt>
                <c:pt idx="27">
                  <c:v>5.019630326553262</c:v>
                </c:pt>
                <c:pt idx="28">
                  <c:v>5.201449563815431</c:v>
                </c:pt>
                <c:pt idx="29">
                  <c:v>5.382980903684512</c:v>
                </c:pt>
                <c:pt idx="30">
                  <c:v>5.5642248020248566</c:v>
                </c:pt>
                <c:pt idx="31">
                  <c:v>5.7451817139789929</c:v>
                </c:pt>
                <c:pt idx="32">
                  <c:v>5.925852093968758</c:v>
                </c:pt>
                <c:pt idx="33">
                  <c:v>6.1062363956964516</c:v>
                </c:pt>
                <c:pt idx="34">
                  <c:v>6.2863350721459659</c:v>
                </c:pt>
                <c:pt idx="35">
                  <c:v>6.466148575583925</c:v>
                </c:pt>
                <c:pt idx="36">
                  <c:v>6.6456773575608254</c:v>
                </c:pt>
                <c:pt idx="37">
                  <c:v>6.824921868912166</c:v>
                </c:pt>
                <c:pt idx="38">
                  <c:v>7.0038825597595791</c:v>
                </c:pt>
                <c:pt idx="39">
                  <c:v>7.182559879511965</c:v>
                </c:pt>
                <c:pt idx="40">
                  <c:v>7.3609542768666127</c:v>
                </c:pt>
                <c:pt idx="41">
                  <c:v>7.5390661998103372</c:v>
                </c:pt>
                <c:pt idx="42">
                  <c:v>7.7168960956205988</c:v>
                </c:pt>
                <c:pt idx="43">
                  <c:v>7.8944444108666278</c:v>
                </c:pt>
                <c:pt idx="44">
                  <c:v>8.0717115914105424</c:v>
                </c:pt>
                <c:pt idx="45">
                  <c:v>8.2486980824084704</c:v>
                </c:pt>
                <c:pt idx="46">
                  <c:v>8.425404328311668</c:v>
                </c:pt>
                <c:pt idx="47">
                  <c:v>8.6018307728676398</c:v>
                </c:pt>
                <c:pt idx="48">
                  <c:v>8.7779778591212416</c:v>
                </c:pt>
                <c:pt idx="49">
                  <c:v>8.9538460294158035</c:v>
                </c:pt>
                <c:pt idx="50">
                  <c:v>9.1294357253942433</c:v>
                </c:pt>
                <c:pt idx="51">
                  <c:v>9.3047473880001572</c:v>
                </c:pt>
                <c:pt idx="52">
                  <c:v>9.4797814574789534</c:v>
                </c:pt>
                <c:pt idx="53">
                  <c:v>9.6545383733789354</c:v>
                </c:pt>
                <c:pt idx="54">
                  <c:v>9.8290185745524159</c:v>
                </c:pt>
                <c:pt idx="55">
                  <c:v>10.003222499156818</c:v>
                </c:pt>
                <c:pt idx="56">
                  <c:v>10.177150584655775</c:v>
                </c:pt>
                <c:pt idx="57">
                  <c:v>10.350803267820222</c:v>
                </c:pt>
                <c:pt idx="58">
                  <c:v>10.524180984729512</c:v>
                </c:pt>
                <c:pt idx="59">
                  <c:v>10.697284170772487</c:v>
                </c:pt>
                <c:pt idx="60">
                  <c:v>10.870113260648594</c:v>
                </c:pt>
                <c:pt idx="61">
                  <c:v>11.042668688368956</c:v>
                </c:pt>
                <c:pt idx="62">
                  <c:v>11.042668688368956</c:v>
                </c:pt>
                <c:pt idx="63">
                  <c:v>11.042668688368956</c:v>
                </c:pt>
                <c:pt idx="64">
                  <c:v>11.042668688368956</c:v>
                </c:pt>
                <c:pt idx="65">
                  <c:v>23.542553375616126</c:v>
                </c:pt>
                <c:pt idx="66">
                  <c:v>24.879639620790968</c:v>
                </c:pt>
                <c:pt idx="67">
                  <c:v>26.197988633463417</c:v>
                </c:pt>
                <c:pt idx="68">
                  <c:v>27.499393222670584</c:v>
                </c:pt>
                <c:pt idx="69">
                  <c:v>28.785350166075897</c:v>
                </c:pt>
                <c:pt idx="70">
                  <c:v>30.057124778438389</c:v>
                </c:pt>
                <c:pt idx="71">
                  <c:v>31.315798406258345</c:v>
                </c:pt>
                <c:pt idx="72">
                  <c:v>32.562304065315487</c:v>
                </c:pt>
                <c:pt idx="73">
                  <c:v>33.797453652116673</c:v>
                </c:pt>
                <c:pt idx="74">
                  <c:v>35.021959044896626</c:v>
                </c:pt>
                <c:pt idx="75">
                  <c:v>36.236448693075147</c:v>
                </c:pt>
                <c:pt idx="76">
                  <c:v>37.44148082178539</c:v>
                </c:pt>
                <c:pt idx="77">
                  <c:v>38.637554059840561</c:v>
                </c:pt>
                <c:pt idx="78">
                  <c:v>39.825116080712469</c:v>
                </c:pt>
                <c:pt idx="79">
                  <c:v>41.004570692928873</c:v>
                </c:pt>
                <c:pt idx="80">
                  <c:v>42.176283707298261</c:v>
                </c:pt>
                <c:pt idx="81">
                  <c:v>43.340587829636149</c:v>
                </c:pt>
                <c:pt idx="82">
                  <c:v>44.49778677000868</c:v>
                </c:pt>
                <c:pt idx="83">
                  <c:v>45.648158716752754</c:v>
                </c:pt>
                <c:pt idx="84">
                  <c:v>46.808471210578595</c:v>
                </c:pt>
                <c:pt idx="85">
                  <c:v>47.962266402441905</c:v>
                </c:pt>
                <c:pt idx="86">
                  <c:v>49.109771232019042</c:v>
                </c:pt>
                <c:pt idx="87">
                  <c:v>50.251195758437532</c:v>
                </c:pt>
                <c:pt idx="88">
                  <c:v>51.386734904535984</c:v>
                </c:pt>
                <c:pt idx="89">
                  <c:v>52.516569975182158</c:v>
                </c:pt>
                <c:pt idx="90">
                  <c:v>53.640869984474421</c:v>
                </c:pt>
                <c:pt idx="91">
                  <c:v>54.759792820476257</c:v>
                </c:pt>
                <c:pt idx="92">
                  <c:v>55.873486271188021</c:v>
                </c:pt>
                <c:pt idx="93">
                  <c:v>56.982088931474522</c:v>
                </c:pt>
                <c:pt idx="94">
                  <c:v>58.085731007436216</c:v>
                </c:pt>
                <c:pt idx="95">
                  <c:v>59.184535032076397</c:v>
                </c:pt>
                <c:pt idx="96">
                  <c:v>60.278616503956712</c:v>
                </c:pt>
                <c:pt idx="97">
                  <c:v>61.368084458752229</c:v>
                </c:pt>
                <c:pt idx="98">
                  <c:v>62.453041982143496</c:v>
                </c:pt>
                <c:pt idx="99">
                  <c:v>63.533586671255001</c:v>
                </c:pt>
                <c:pt idx="100">
                  <c:v>64.60981105082486</c:v>
                </c:pt>
                <c:pt idx="101">
                  <c:v>65.681802949429269</c:v>
                </c:pt>
                <c:pt idx="102">
                  <c:v>66.749645840360401</c:v>
                </c:pt>
                <c:pt idx="103">
                  <c:v>67.813419151142526</c:v>
                </c:pt>
                <c:pt idx="104">
                  <c:v>68.87319854515053</c:v>
                </c:pt>
                <c:pt idx="105">
                  <c:v>69.929056178351047</c:v>
                </c:pt>
                <c:pt idx="106">
                  <c:v>70.981060933806944</c:v>
                </c:pt>
                <c:pt idx="107">
                  <c:v>72.029278636260429</c:v>
                </c:pt>
                <c:pt idx="108">
                  <c:v>73.073772248830323</c:v>
                </c:pt>
                <c:pt idx="109">
                  <c:v>74.114602053617105</c:v>
                </c:pt>
                <c:pt idx="110">
                  <c:v>75.151825817800258</c:v>
                </c:pt>
                <c:pt idx="111">
                  <c:v>76.19279756273238</c:v>
                </c:pt>
                <c:pt idx="112">
                  <c:v>77.230222567969022</c:v>
                </c:pt>
                <c:pt idx="113">
                  <c:v>78.264152998026063</c:v>
                </c:pt>
                <c:pt idx="114">
                  <c:v>79.294638992952301</c:v>
                </c:pt>
                <c:pt idx="115">
                  <c:v>80.321728783922467</c:v>
                </c:pt>
                <c:pt idx="116">
                  <c:v>81.345468800403594</c:v>
                </c:pt>
                <c:pt idx="117">
                  <c:v>82.365903769635594</c:v>
                </c:pt>
                <c:pt idx="118">
                  <c:v>83.383076809091691</c:v>
                </c:pt>
                <c:pt idx="119">
                  <c:v>84.397029512516568</c:v>
                </c:pt>
                <c:pt idx="120">
                  <c:v>85.407802030081001</c:v>
                </c:pt>
                <c:pt idx="121">
                  <c:v>86.415433143139055</c:v>
                </c:pt>
                <c:pt idx="122">
                  <c:v>87.419960334027053</c:v>
                </c:pt>
                <c:pt idx="123">
                  <c:v>88.421419851301792</c:v>
                </c:pt>
                <c:pt idx="124">
                  <c:v>89.419846770778236</c:v>
                </c:pt>
                <c:pt idx="125">
                  <c:v>90.415275052693985</c:v>
                </c:pt>
                <c:pt idx="126">
                  <c:v>91.407737595297647</c:v>
                </c:pt>
                <c:pt idx="127">
                  <c:v>92.397266285131991</c:v>
                </c:pt>
                <c:pt idx="128">
                  <c:v>93.383892044258602</c:v>
                </c:pt>
                <c:pt idx="129">
                  <c:v>94.367644874649045</c:v>
                </c:pt>
                <c:pt idx="130">
                  <c:v>95.348553899948868</c:v>
                </c:pt>
                <c:pt idx="131">
                  <c:v>96.326647404802301</c:v>
                </c:pt>
                <c:pt idx="132">
                  <c:v>97.301952871910672</c:v>
                </c:pt>
                <c:pt idx="133">
                  <c:v>98.274497016982579</c:v>
                </c:pt>
                <c:pt idx="134">
                  <c:v>99.244305821721156</c:v>
                </c:pt>
                <c:pt idx="135">
                  <c:v>100.21140456498262</c:v>
                </c:pt>
                <c:pt idx="136">
                  <c:v>101.17581785222801</c:v>
                </c:pt>
                <c:pt idx="137">
                  <c:v>102.13756964338285</c:v>
                </c:pt>
                <c:pt idx="138">
                  <c:v>103.09668327920802</c:v>
                </c:pt>
                <c:pt idx="139">
                  <c:v>104.05318150627907</c:v>
                </c:pt>
                <c:pt idx="140">
                  <c:v>105.00708650066272</c:v>
                </c:pt>
                <c:pt idx="141">
                  <c:v>105.95841989037341</c:v>
                </c:pt>
                <c:pt idx="142">
                  <c:v>106.90720277668586</c:v>
                </c:pt>
                <c:pt idx="143">
                  <c:v>107.85345575437474</c:v>
                </c:pt>
                <c:pt idx="144">
                  <c:v>108.79719893094683</c:v>
                </c:pt>
                <c:pt idx="145">
                  <c:v>109.73845194492681</c:v>
                </c:pt>
                <c:pt idx="146">
                  <c:v>110.67723398325299</c:v>
                </c:pt>
                <c:pt idx="147">
                  <c:v>111.61356379783616</c:v>
                </c:pt>
                <c:pt idx="148">
                  <c:v>112.54745972132982</c:v>
                </c:pt>
                <c:pt idx="149">
                  <c:v>113.47893968215811</c:v>
                </c:pt>
                <c:pt idx="150">
                  <c:v>114.40802121884354</c:v>
                </c:pt>
                <c:pt idx="151">
                  <c:v>115.33472149367431</c:v>
                </c:pt>
                <c:pt idx="152">
                  <c:v>116.25905730574841</c:v>
                </c:pt>
                <c:pt idx="153">
                  <c:v>117.18104510342894</c:v>
                </c:pt>
                <c:pt idx="154">
                  <c:v>117.48020405423323</c:v>
                </c:pt>
                <c:pt idx="155">
                  <c:v>117.48020405423323</c:v>
                </c:pt>
                <c:pt idx="156">
                  <c:v>117.48020405423323</c:v>
                </c:pt>
                <c:pt idx="157">
                  <c:v>117.48020405423323</c:v>
                </c:pt>
                <c:pt idx="158">
                  <c:v>117.48020405423323</c:v>
                </c:pt>
                <c:pt idx="159">
                  <c:v>117.48020405423323</c:v>
                </c:pt>
                <c:pt idx="160">
                  <c:v>117.48020405423323</c:v>
                </c:pt>
                <c:pt idx="161">
                  <c:v>117.48020405423323</c:v>
                </c:pt>
                <c:pt idx="162">
                  <c:v>117.48020405423323</c:v>
                </c:pt>
                <c:pt idx="163">
                  <c:v>117.48020405423323</c:v>
                </c:pt>
                <c:pt idx="164">
                  <c:v>117.48020405423323</c:v>
                </c:pt>
                <c:pt idx="165">
                  <c:v>117.48020405423323</c:v>
                </c:pt>
                <c:pt idx="166">
                  <c:v>117.48020405423323</c:v>
                </c:pt>
                <c:pt idx="167">
                  <c:v>117.48020405423323</c:v>
                </c:pt>
                <c:pt idx="168">
                  <c:v>117.48020405423323</c:v>
                </c:pt>
                <c:pt idx="169">
                  <c:v>117.48020405423323</c:v>
                </c:pt>
                <c:pt idx="170">
                  <c:v>117.48020405423323</c:v>
                </c:pt>
                <c:pt idx="171">
                  <c:v>117.48020405423323</c:v>
                </c:pt>
                <c:pt idx="172">
                  <c:v>117.48020405423323</c:v>
                </c:pt>
                <c:pt idx="173">
                  <c:v>86.672613075373945</c:v>
                </c:pt>
                <c:pt idx="174">
                  <c:v>85.665377846501499</c:v>
                </c:pt>
                <c:pt idx="175">
                  <c:v>84.656187360684996</c:v>
                </c:pt>
                <c:pt idx="176">
                  <c:v>83.645037822356514</c:v>
                </c:pt>
                <c:pt idx="177">
                  <c:v>82.631925428580132</c:v>
                </c:pt>
                <c:pt idx="178">
                  <c:v>81.616846369037646</c:v>
                </c:pt>
                <c:pt idx="179">
                  <c:v>80.599796826014185</c:v>
                </c:pt>
                <c:pt idx="180">
                  <c:v>79.580772974383876</c:v>
                </c:pt>
                <c:pt idx="181">
                  <c:v>78.559770981595548</c:v>
                </c:pt>
                <c:pt idx="182">
                  <c:v>77.536787007658134</c:v>
                </c:pt>
                <c:pt idx="183">
                  <c:v>76.511817205126391</c:v>
                </c:pt>
                <c:pt idx="184">
                  <c:v>75.484857719086364</c:v>
                </c:pt>
                <c:pt idx="185">
                  <c:v>74.455904687140887</c:v>
                </c:pt>
                <c:pt idx="186">
                  <c:v>73.424954239395021</c:v>
                </c:pt>
                <c:pt idx="187">
                  <c:v>72.392002498441613</c:v>
                </c:pt>
                <c:pt idx="188">
                  <c:v>71.357045579346618</c:v>
                </c:pt>
                <c:pt idx="189">
                  <c:v>70.320079589634489</c:v>
                </c:pt>
                <c:pt idx="190">
                  <c:v>69.281100629273581</c:v>
                </c:pt>
                <c:pt idx="191">
                  <c:v>68.240104790661448</c:v>
                </c:pt>
                <c:pt idx="192">
                  <c:v>67.197088158610157</c:v>
                </c:pt>
                <c:pt idx="193">
                  <c:v>66.152046810331555</c:v>
                </c:pt>
                <c:pt idx="194">
                  <c:v>65.104976815422575</c:v>
                </c:pt>
                <c:pt idx="195">
                  <c:v>64.055874235850382</c:v>
                </c:pt>
                <c:pt idx="196">
                  <c:v>63.004735125937557</c:v>
                </c:pt>
                <c:pt idx="197">
                  <c:v>61.951555532347328</c:v>
                </c:pt>
                <c:pt idx="198">
                  <c:v>60.896331494068612</c:v>
                </c:pt>
                <c:pt idx="199">
                  <c:v>59.839059042401203</c:v>
                </c:pt>
                <c:pt idx="200">
                  <c:v>58.779734200940787</c:v>
                </c:pt>
                <c:pt idx="201">
                  <c:v>57.71835298556401</c:v>
                </c:pt>
                <c:pt idx="202">
                  <c:v>56.654911404413504</c:v>
                </c:pt>
                <c:pt idx="203">
                  <c:v>55.589405457882854</c:v>
                </c:pt>
                <c:pt idx="204">
                  <c:v>54.521831138601534</c:v>
                </c:pt>
                <c:pt idx="205">
                  <c:v>53.452184431419916</c:v>
                </c:pt>
                <c:pt idx="206">
                  <c:v>52.380461313394079</c:v>
                </c:pt>
                <c:pt idx="207">
                  <c:v>51.306657753770722</c:v>
                </c:pt>
                <c:pt idx="208">
                  <c:v>50.230769713971988</c:v>
                </c:pt>
                <c:pt idx="209">
                  <c:v>49.16035670306924</c:v>
                </c:pt>
                <c:pt idx="210">
                  <c:v>48.087880373209238</c:v>
                </c:pt>
                <c:pt idx="211">
                  <c:v>28.383443304947658</c:v>
                </c:pt>
                <c:pt idx="212">
                  <c:v>29.328466422695939</c:v>
                </c:pt>
                <c:pt idx="213">
                  <c:v>30.275666595809327</c:v>
                </c:pt>
                <c:pt idx="214">
                  <c:v>31.224905947760288</c:v>
                </c:pt>
                <c:pt idx="215">
                  <c:v>32.182786549756656</c:v>
                </c:pt>
                <c:pt idx="216">
                  <c:v>33.14247943957298</c:v>
                </c:pt>
                <c:pt idx="217">
                  <c:v>34.103867376481674</c:v>
                </c:pt>
                <c:pt idx="218">
                  <c:v>35.066839779734572</c:v>
                </c:pt>
                <c:pt idx="219">
                  <c:v>36.031292214199624</c:v>
                </c:pt>
                <c:pt idx="220">
                  <c:v>36.99712592619359</c:v>
                </c:pt>
                <c:pt idx="221">
                  <c:v>37.964247423637772</c:v>
                </c:pt>
                <c:pt idx="222">
                  <c:v>38.932568095459999</c:v>
                </c:pt>
                <c:pt idx="223">
                  <c:v>39.902003865840115</c:v>
                </c:pt>
                <c:pt idx="224">
                  <c:v>40.872474879468946</c:v>
                </c:pt>
                <c:pt idx="225">
                  <c:v>41.843905214479086</c:v>
                </c:pt>
                <c:pt idx="226">
                  <c:v>42.816222620123803</c:v>
                </c:pt>
                <c:pt idx="227">
                  <c:v>43.7893582766389</c:v>
                </c:pt>
                <c:pt idx="228">
                  <c:v>44.763246575031481</c:v>
                </c:pt>
                <c:pt idx="229">
                  <c:v>45.737824914805721</c:v>
                </c:pt>
                <c:pt idx="230">
                  <c:v>46.713033517867075</c:v>
                </c:pt>
                <c:pt idx="231">
                  <c:v>47.688815257046869</c:v>
                </c:pt>
                <c:pt idx="232">
                  <c:v>48.665115497863283</c:v>
                </c:pt>
                <c:pt idx="233">
                  <c:v>49.641881952287825</c:v>
                </c:pt>
                <c:pt idx="234">
                  <c:v>50.619064543419022</c:v>
                </c:pt>
                <c:pt idx="235">
                  <c:v>51.596615280082631</c:v>
                </c:pt>
                <c:pt idx="236">
                  <c:v>52.574488140479602</c:v>
                </c:pt>
                <c:pt idx="237">
                  <c:v>53.552638964094534</c:v>
                </c:pt>
                <c:pt idx="238">
                  <c:v>54.531025351156423</c:v>
                </c:pt>
                <c:pt idx="239">
                  <c:v>55.509606569014771</c:v>
                </c:pt>
                <c:pt idx="240">
                  <c:v>56.488343464856548</c:v>
                </c:pt>
                <c:pt idx="241">
                  <c:v>57.46719838424513</c:v>
                </c:pt>
                <c:pt idx="242">
                  <c:v>58.446135095011968</c:v>
                </c:pt>
                <c:pt idx="243">
                  <c:v>59.425118716076014</c:v>
                </c:pt>
                <c:pt idx="244">
                  <c:v>60.404115650804684</c:v>
                </c:pt>
                <c:pt idx="245">
                  <c:v>60.54080077002466</c:v>
                </c:pt>
                <c:pt idx="246">
                  <c:v>60.54080077002466</c:v>
                </c:pt>
                <c:pt idx="247">
                  <c:v>60.54080077002466</c:v>
                </c:pt>
                <c:pt idx="248">
                  <c:v>60.54080077002466</c:v>
                </c:pt>
                <c:pt idx="249">
                  <c:v>60.54080077002466</c:v>
                </c:pt>
                <c:pt idx="250">
                  <c:v>60.54080077002466</c:v>
                </c:pt>
                <c:pt idx="251">
                  <c:v>60.54080077002466</c:v>
                </c:pt>
                <c:pt idx="252">
                  <c:v>60.54080077002466</c:v>
                </c:pt>
                <c:pt idx="253">
                  <c:v>60.54080077002466</c:v>
                </c:pt>
                <c:pt idx="254">
                  <c:v>60.54080077002466</c:v>
                </c:pt>
                <c:pt idx="255">
                  <c:v>60.54080077002466</c:v>
                </c:pt>
                <c:pt idx="256">
                  <c:v>60.54080077002466</c:v>
                </c:pt>
                <c:pt idx="257">
                  <c:v>60.54080077002466</c:v>
                </c:pt>
                <c:pt idx="258">
                  <c:v>60.54080077002466</c:v>
                </c:pt>
                <c:pt idx="259">
                  <c:v>60.54080077002466</c:v>
                </c:pt>
                <c:pt idx="260">
                  <c:v>60.54080077002466</c:v>
                </c:pt>
                <c:pt idx="261">
                  <c:v>60.54080077002466</c:v>
                </c:pt>
                <c:pt idx="262">
                  <c:v>60.54080077002466</c:v>
                </c:pt>
                <c:pt idx="263">
                  <c:v>60.54080077002466</c:v>
                </c:pt>
                <c:pt idx="264">
                  <c:v>60.54080077002466</c:v>
                </c:pt>
                <c:pt idx="265">
                  <c:v>60.54080077002466</c:v>
                </c:pt>
                <c:pt idx="266">
                  <c:v>60.54080077002466</c:v>
                </c:pt>
                <c:pt idx="267">
                  <c:v>60.54080077002466</c:v>
                </c:pt>
                <c:pt idx="268">
                  <c:v>60.54080077002466</c:v>
                </c:pt>
                <c:pt idx="269">
                  <c:v>60.54080077002466</c:v>
                </c:pt>
                <c:pt idx="270">
                  <c:v>60.54080077002466</c:v>
                </c:pt>
                <c:pt idx="271">
                  <c:v>60.54080077002466</c:v>
                </c:pt>
                <c:pt idx="272">
                  <c:v>60.54080077002466</c:v>
                </c:pt>
                <c:pt idx="273">
                  <c:v>60.54080077002466</c:v>
                </c:pt>
                <c:pt idx="274">
                  <c:v>60.54080077002466</c:v>
                </c:pt>
                <c:pt idx="275">
                  <c:v>60.54080077002466</c:v>
                </c:pt>
                <c:pt idx="276">
                  <c:v>60.54080077002466</c:v>
                </c:pt>
                <c:pt idx="277">
                  <c:v>60.54080077002466</c:v>
                </c:pt>
                <c:pt idx="278">
                  <c:v>60.54080077002466</c:v>
                </c:pt>
                <c:pt idx="279">
                  <c:v>60.54080077002466</c:v>
                </c:pt>
                <c:pt idx="280">
                  <c:v>60.54080077002466</c:v>
                </c:pt>
                <c:pt idx="281">
                  <c:v>60.54080077002466</c:v>
                </c:pt>
                <c:pt idx="282">
                  <c:v>60.54080077002466</c:v>
                </c:pt>
                <c:pt idx="283">
                  <c:v>60.54080077002466</c:v>
                </c:pt>
                <c:pt idx="284">
                  <c:v>60.54080077002466</c:v>
                </c:pt>
                <c:pt idx="285">
                  <c:v>60.54080077002466</c:v>
                </c:pt>
                <c:pt idx="286">
                  <c:v>60.54080077002466</c:v>
                </c:pt>
                <c:pt idx="287">
                  <c:v>60.54080077002466</c:v>
                </c:pt>
                <c:pt idx="288">
                  <c:v>60.54080077002466</c:v>
                </c:pt>
                <c:pt idx="289">
                  <c:v>60.54080077002466</c:v>
                </c:pt>
                <c:pt idx="290">
                  <c:v>60.54080077002466</c:v>
                </c:pt>
                <c:pt idx="291">
                  <c:v>60.54080077002466</c:v>
                </c:pt>
                <c:pt idx="292">
                  <c:v>60.54080077002466</c:v>
                </c:pt>
                <c:pt idx="293">
                  <c:v>60.54080077002466</c:v>
                </c:pt>
                <c:pt idx="294">
                  <c:v>60.54080077002466</c:v>
                </c:pt>
                <c:pt idx="295">
                  <c:v>60.54080077002466</c:v>
                </c:pt>
                <c:pt idx="296">
                  <c:v>60.54080077002466</c:v>
                </c:pt>
                <c:pt idx="297">
                  <c:v>60.54080077002466</c:v>
                </c:pt>
                <c:pt idx="298">
                  <c:v>60.54080077002466</c:v>
                </c:pt>
                <c:pt idx="299">
                  <c:v>60.54080077002466</c:v>
                </c:pt>
                <c:pt idx="300">
                  <c:v>60.54080077002466</c:v>
                </c:pt>
                <c:pt idx="301">
                  <c:v>60.54080077002466</c:v>
                </c:pt>
                <c:pt idx="302">
                  <c:v>60.54080077002466</c:v>
                </c:pt>
                <c:pt idx="303">
                  <c:v>60.54080077002466</c:v>
                </c:pt>
                <c:pt idx="304">
                  <c:v>60.54080077002466</c:v>
                </c:pt>
                <c:pt idx="305">
                  <c:v>60.54080077002466</c:v>
                </c:pt>
                <c:pt idx="306">
                  <c:v>60.54080077002466</c:v>
                </c:pt>
                <c:pt idx="307">
                  <c:v>60.54080077002466</c:v>
                </c:pt>
                <c:pt idx="308">
                  <c:v>60.54080077002466</c:v>
                </c:pt>
                <c:pt idx="309">
                  <c:v>60.54080077002466</c:v>
                </c:pt>
                <c:pt idx="310">
                  <c:v>60.54080077002466</c:v>
                </c:pt>
                <c:pt idx="311">
                  <c:v>60.54080077002466</c:v>
                </c:pt>
                <c:pt idx="312">
                  <c:v>60.54080077002466</c:v>
                </c:pt>
                <c:pt idx="313">
                  <c:v>60.54080077002466</c:v>
                </c:pt>
                <c:pt idx="314">
                  <c:v>60.54080077002466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Simulation!$T$4</c:f>
              <c:strCache>
                <c:ptCount val="1"/>
                <c:pt idx="0">
                  <c:v>Rolling Resistance(N)</c:v>
                </c:pt>
              </c:strCache>
            </c:strRef>
          </c:tx>
          <c:marker>
            <c:symbol val="none"/>
          </c:marker>
          <c:yVal>
            <c:numRef>
              <c:f>Simulation!$T$5:$T$319</c:f>
              <c:numCache>
                <c:formatCode>General</c:formatCode>
                <c:ptCount val="315"/>
                <c:pt idx="0">
                  <c:v>409.43800800000002</c:v>
                </c:pt>
                <c:pt idx="1">
                  <c:v>409.43800800000002</c:v>
                </c:pt>
                <c:pt idx="2">
                  <c:v>409.43800800000002</c:v>
                </c:pt>
                <c:pt idx="3">
                  <c:v>409.43800800000002</c:v>
                </c:pt>
                <c:pt idx="4">
                  <c:v>409.43800800000002</c:v>
                </c:pt>
                <c:pt idx="5">
                  <c:v>409.43800800000002</c:v>
                </c:pt>
                <c:pt idx="6">
                  <c:v>409.43800800000002</c:v>
                </c:pt>
                <c:pt idx="7">
                  <c:v>409.43800800000002</c:v>
                </c:pt>
                <c:pt idx="8">
                  <c:v>409.43800800000002</c:v>
                </c:pt>
                <c:pt idx="9">
                  <c:v>409.43800800000002</c:v>
                </c:pt>
                <c:pt idx="10">
                  <c:v>409.43800800000002</c:v>
                </c:pt>
                <c:pt idx="11">
                  <c:v>409.43800800000002</c:v>
                </c:pt>
                <c:pt idx="12">
                  <c:v>409.43800800000002</c:v>
                </c:pt>
                <c:pt idx="13">
                  <c:v>409.43800800000002</c:v>
                </c:pt>
                <c:pt idx="14">
                  <c:v>409.43800800000002</c:v>
                </c:pt>
                <c:pt idx="15">
                  <c:v>409.43800800000002</c:v>
                </c:pt>
                <c:pt idx="16">
                  <c:v>409.43800800000002</c:v>
                </c:pt>
                <c:pt idx="17">
                  <c:v>409.43800800000002</c:v>
                </c:pt>
                <c:pt idx="18">
                  <c:v>409.43800800000002</c:v>
                </c:pt>
                <c:pt idx="19">
                  <c:v>409.43800800000002</c:v>
                </c:pt>
                <c:pt idx="20">
                  <c:v>409.43800800000002</c:v>
                </c:pt>
                <c:pt idx="21">
                  <c:v>409.43800800000002</c:v>
                </c:pt>
                <c:pt idx="22">
                  <c:v>409.43800800000002</c:v>
                </c:pt>
                <c:pt idx="23">
                  <c:v>409.43800800000002</c:v>
                </c:pt>
                <c:pt idx="24">
                  <c:v>409.43800800000002</c:v>
                </c:pt>
                <c:pt idx="25">
                  <c:v>409.43800800000002</c:v>
                </c:pt>
                <c:pt idx="26">
                  <c:v>409.43800800000002</c:v>
                </c:pt>
                <c:pt idx="27">
                  <c:v>409.43800800000002</c:v>
                </c:pt>
                <c:pt idx="28">
                  <c:v>409.43800800000002</c:v>
                </c:pt>
                <c:pt idx="29">
                  <c:v>409.43800800000002</c:v>
                </c:pt>
                <c:pt idx="30">
                  <c:v>409.43800800000002</c:v>
                </c:pt>
                <c:pt idx="31">
                  <c:v>409.43800800000002</c:v>
                </c:pt>
                <c:pt idx="32">
                  <c:v>409.43800800000002</c:v>
                </c:pt>
                <c:pt idx="33">
                  <c:v>409.43800800000002</c:v>
                </c:pt>
                <c:pt idx="34">
                  <c:v>409.43800800000002</c:v>
                </c:pt>
                <c:pt idx="35">
                  <c:v>409.43800800000002</c:v>
                </c:pt>
                <c:pt idx="36">
                  <c:v>409.43800800000002</c:v>
                </c:pt>
                <c:pt idx="37">
                  <c:v>409.43800800000002</c:v>
                </c:pt>
                <c:pt idx="38">
                  <c:v>409.43800800000002</c:v>
                </c:pt>
                <c:pt idx="39">
                  <c:v>409.43800800000002</c:v>
                </c:pt>
                <c:pt idx="40">
                  <c:v>409.43800800000002</c:v>
                </c:pt>
                <c:pt idx="41">
                  <c:v>409.43800800000002</c:v>
                </c:pt>
                <c:pt idx="42">
                  <c:v>409.43800800000002</c:v>
                </c:pt>
                <c:pt idx="43">
                  <c:v>409.43800800000002</c:v>
                </c:pt>
                <c:pt idx="44">
                  <c:v>409.43800800000002</c:v>
                </c:pt>
                <c:pt idx="45">
                  <c:v>409.43800800000002</c:v>
                </c:pt>
                <c:pt idx="46">
                  <c:v>409.43800800000002</c:v>
                </c:pt>
                <c:pt idx="47">
                  <c:v>409.43800800000002</c:v>
                </c:pt>
                <c:pt idx="48">
                  <c:v>409.43800800000002</c:v>
                </c:pt>
                <c:pt idx="49">
                  <c:v>409.43800800000002</c:v>
                </c:pt>
                <c:pt idx="50">
                  <c:v>409.43800800000002</c:v>
                </c:pt>
                <c:pt idx="51">
                  <c:v>409.43800800000002</c:v>
                </c:pt>
                <c:pt idx="52">
                  <c:v>409.43800800000002</c:v>
                </c:pt>
                <c:pt idx="53">
                  <c:v>409.43800800000002</c:v>
                </c:pt>
                <c:pt idx="54">
                  <c:v>409.43800800000002</c:v>
                </c:pt>
                <c:pt idx="55">
                  <c:v>409.43800800000002</c:v>
                </c:pt>
                <c:pt idx="56">
                  <c:v>409.43800800000002</c:v>
                </c:pt>
                <c:pt idx="57">
                  <c:v>409.43800800000002</c:v>
                </c:pt>
                <c:pt idx="58">
                  <c:v>409.43800800000002</c:v>
                </c:pt>
                <c:pt idx="59">
                  <c:v>409.43800800000002</c:v>
                </c:pt>
                <c:pt idx="60">
                  <c:v>409.43800800000002</c:v>
                </c:pt>
                <c:pt idx="61">
                  <c:v>102.35950200000001</c:v>
                </c:pt>
                <c:pt idx="62">
                  <c:v>102.35950200000001</c:v>
                </c:pt>
                <c:pt idx="63">
                  <c:v>102.35950200000001</c:v>
                </c:pt>
                <c:pt idx="64">
                  <c:v>102.35950200000001</c:v>
                </c:pt>
                <c:pt idx="65">
                  <c:v>102.35950200000001</c:v>
                </c:pt>
                <c:pt idx="66">
                  <c:v>102.35950200000001</c:v>
                </c:pt>
                <c:pt idx="67">
                  <c:v>102.35950200000001</c:v>
                </c:pt>
                <c:pt idx="68">
                  <c:v>102.35950200000001</c:v>
                </c:pt>
                <c:pt idx="69">
                  <c:v>102.35950200000001</c:v>
                </c:pt>
                <c:pt idx="70">
                  <c:v>102.35950200000001</c:v>
                </c:pt>
                <c:pt idx="71">
                  <c:v>102.35950200000001</c:v>
                </c:pt>
                <c:pt idx="72">
                  <c:v>102.35950200000001</c:v>
                </c:pt>
                <c:pt idx="73">
                  <c:v>102.35950200000001</c:v>
                </c:pt>
                <c:pt idx="74">
                  <c:v>102.35950200000001</c:v>
                </c:pt>
                <c:pt idx="75">
                  <c:v>102.35950200000001</c:v>
                </c:pt>
                <c:pt idx="76">
                  <c:v>102.35950200000001</c:v>
                </c:pt>
                <c:pt idx="77">
                  <c:v>102.35950200000001</c:v>
                </c:pt>
                <c:pt idx="78">
                  <c:v>102.35950200000001</c:v>
                </c:pt>
                <c:pt idx="79">
                  <c:v>102.35950200000001</c:v>
                </c:pt>
                <c:pt idx="80">
                  <c:v>102.35950200000001</c:v>
                </c:pt>
                <c:pt idx="81">
                  <c:v>102.35950200000001</c:v>
                </c:pt>
                <c:pt idx="82">
                  <c:v>102.35950200000001</c:v>
                </c:pt>
                <c:pt idx="83">
                  <c:v>102.35950200000001</c:v>
                </c:pt>
                <c:pt idx="84">
                  <c:v>102.35950200000001</c:v>
                </c:pt>
                <c:pt idx="85">
                  <c:v>102.35950200000001</c:v>
                </c:pt>
                <c:pt idx="86">
                  <c:v>102.35950200000001</c:v>
                </c:pt>
                <c:pt idx="87">
                  <c:v>102.35950200000001</c:v>
                </c:pt>
                <c:pt idx="88">
                  <c:v>102.35950200000001</c:v>
                </c:pt>
                <c:pt idx="89">
                  <c:v>102.35950200000001</c:v>
                </c:pt>
                <c:pt idx="90">
                  <c:v>102.35950200000001</c:v>
                </c:pt>
                <c:pt idx="91">
                  <c:v>102.35950200000001</c:v>
                </c:pt>
                <c:pt idx="92">
                  <c:v>102.35950200000001</c:v>
                </c:pt>
                <c:pt idx="93">
                  <c:v>102.35950200000001</c:v>
                </c:pt>
                <c:pt idx="94">
                  <c:v>102.35950200000001</c:v>
                </c:pt>
                <c:pt idx="95">
                  <c:v>102.35950200000001</c:v>
                </c:pt>
                <c:pt idx="96">
                  <c:v>102.35950200000001</c:v>
                </c:pt>
                <c:pt idx="97">
                  <c:v>102.35950200000001</c:v>
                </c:pt>
                <c:pt idx="98">
                  <c:v>102.35950200000001</c:v>
                </c:pt>
                <c:pt idx="99">
                  <c:v>102.35950200000001</c:v>
                </c:pt>
                <c:pt idx="100">
                  <c:v>102.35950200000001</c:v>
                </c:pt>
                <c:pt idx="101">
                  <c:v>102.35950200000001</c:v>
                </c:pt>
                <c:pt idx="102">
                  <c:v>102.35950200000001</c:v>
                </c:pt>
                <c:pt idx="103">
                  <c:v>102.35950200000001</c:v>
                </c:pt>
                <c:pt idx="104">
                  <c:v>102.35950200000001</c:v>
                </c:pt>
                <c:pt idx="105">
                  <c:v>102.35950200000001</c:v>
                </c:pt>
                <c:pt idx="106">
                  <c:v>102.35950200000001</c:v>
                </c:pt>
                <c:pt idx="107">
                  <c:v>102.35950200000001</c:v>
                </c:pt>
                <c:pt idx="108">
                  <c:v>102.35950200000001</c:v>
                </c:pt>
                <c:pt idx="109">
                  <c:v>102.35950200000001</c:v>
                </c:pt>
                <c:pt idx="110">
                  <c:v>102.35950200000001</c:v>
                </c:pt>
                <c:pt idx="111">
                  <c:v>102.35950200000001</c:v>
                </c:pt>
                <c:pt idx="112">
                  <c:v>102.35950200000001</c:v>
                </c:pt>
                <c:pt idx="113">
                  <c:v>102.35950200000001</c:v>
                </c:pt>
                <c:pt idx="114">
                  <c:v>102.35950200000001</c:v>
                </c:pt>
                <c:pt idx="115">
                  <c:v>102.35950200000001</c:v>
                </c:pt>
                <c:pt idx="116">
                  <c:v>102.35950200000001</c:v>
                </c:pt>
                <c:pt idx="117">
                  <c:v>102.35950200000001</c:v>
                </c:pt>
                <c:pt idx="118">
                  <c:v>102.35950200000001</c:v>
                </c:pt>
                <c:pt idx="119">
                  <c:v>102.35950200000001</c:v>
                </c:pt>
                <c:pt idx="120">
                  <c:v>102.35950200000001</c:v>
                </c:pt>
                <c:pt idx="121">
                  <c:v>102.35950200000001</c:v>
                </c:pt>
                <c:pt idx="122">
                  <c:v>102.35950200000001</c:v>
                </c:pt>
                <c:pt idx="123">
                  <c:v>102.35950200000001</c:v>
                </c:pt>
                <c:pt idx="124">
                  <c:v>102.35950200000001</c:v>
                </c:pt>
                <c:pt idx="125">
                  <c:v>102.35950200000001</c:v>
                </c:pt>
                <c:pt idx="126">
                  <c:v>102.35950200000001</c:v>
                </c:pt>
                <c:pt idx="127">
                  <c:v>102.35950200000001</c:v>
                </c:pt>
                <c:pt idx="128">
                  <c:v>102.35950200000001</c:v>
                </c:pt>
                <c:pt idx="129">
                  <c:v>102.35950200000001</c:v>
                </c:pt>
                <c:pt idx="130">
                  <c:v>102.35950200000001</c:v>
                </c:pt>
                <c:pt idx="131">
                  <c:v>102.35950200000001</c:v>
                </c:pt>
                <c:pt idx="132">
                  <c:v>102.35950200000001</c:v>
                </c:pt>
                <c:pt idx="133">
                  <c:v>102.35950200000001</c:v>
                </c:pt>
                <c:pt idx="134">
                  <c:v>102.35950200000001</c:v>
                </c:pt>
                <c:pt idx="135">
                  <c:v>102.35950200000001</c:v>
                </c:pt>
                <c:pt idx="136">
                  <c:v>102.35950200000001</c:v>
                </c:pt>
                <c:pt idx="137">
                  <c:v>102.35950200000001</c:v>
                </c:pt>
                <c:pt idx="138">
                  <c:v>102.35950200000001</c:v>
                </c:pt>
                <c:pt idx="139">
                  <c:v>102.35950200000001</c:v>
                </c:pt>
                <c:pt idx="140">
                  <c:v>102.35950200000001</c:v>
                </c:pt>
                <c:pt idx="141">
                  <c:v>102.35950200000001</c:v>
                </c:pt>
                <c:pt idx="142">
                  <c:v>102.35950200000001</c:v>
                </c:pt>
                <c:pt idx="143">
                  <c:v>102.35950200000001</c:v>
                </c:pt>
                <c:pt idx="144">
                  <c:v>102.35950200000001</c:v>
                </c:pt>
                <c:pt idx="145">
                  <c:v>102.35950200000001</c:v>
                </c:pt>
                <c:pt idx="146">
                  <c:v>102.35950200000001</c:v>
                </c:pt>
                <c:pt idx="147">
                  <c:v>102.35950200000001</c:v>
                </c:pt>
                <c:pt idx="148">
                  <c:v>102.35950200000001</c:v>
                </c:pt>
                <c:pt idx="149">
                  <c:v>102.35950200000001</c:v>
                </c:pt>
                <c:pt idx="150">
                  <c:v>102.35950200000001</c:v>
                </c:pt>
                <c:pt idx="151">
                  <c:v>102.35950200000001</c:v>
                </c:pt>
                <c:pt idx="152">
                  <c:v>102.35950200000001</c:v>
                </c:pt>
                <c:pt idx="153">
                  <c:v>102.35950200000001</c:v>
                </c:pt>
                <c:pt idx="154">
                  <c:v>102.35950200000001</c:v>
                </c:pt>
                <c:pt idx="155">
                  <c:v>102.35950200000001</c:v>
                </c:pt>
                <c:pt idx="156">
                  <c:v>102.35950200000001</c:v>
                </c:pt>
                <c:pt idx="157">
                  <c:v>102.35950200000001</c:v>
                </c:pt>
                <c:pt idx="158">
                  <c:v>102.35950200000001</c:v>
                </c:pt>
                <c:pt idx="159">
                  <c:v>102.35950200000001</c:v>
                </c:pt>
                <c:pt idx="160">
                  <c:v>102.35950200000001</c:v>
                </c:pt>
                <c:pt idx="161">
                  <c:v>102.35950200000001</c:v>
                </c:pt>
                <c:pt idx="162">
                  <c:v>102.35950200000001</c:v>
                </c:pt>
                <c:pt idx="163">
                  <c:v>102.35950200000001</c:v>
                </c:pt>
                <c:pt idx="164">
                  <c:v>102.35950200000001</c:v>
                </c:pt>
                <c:pt idx="165">
                  <c:v>102.35950200000001</c:v>
                </c:pt>
                <c:pt idx="166">
                  <c:v>102.35950200000001</c:v>
                </c:pt>
                <c:pt idx="167">
                  <c:v>102.35950200000001</c:v>
                </c:pt>
                <c:pt idx="168">
                  <c:v>102.35950200000001</c:v>
                </c:pt>
                <c:pt idx="169">
                  <c:v>102.35950200000001</c:v>
                </c:pt>
                <c:pt idx="170">
                  <c:v>102.35950200000001</c:v>
                </c:pt>
                <c:pt idx="171">
                  <c:v>102.35950200000001</c:v>
                </c:pt>
                <c:pt idx="172">
                  <c:v>102.35950200000001</c:v>
                </c:pt>
                <c:pt idx="173">
                  <c:v>102.35950200000001</c:v>
                </c:pt>
                <c:pt idx="174">
                  <c:v>102.35950200000001</c:v>
                </c:pt>
                <c:pt idx="175">
                  <c:v>102.35950200000001</c:v>
                </c:pt>
                <c:pt idx="176">
                  <c:v>102.35950200000001</c:v>
                </c:pt>
                <c:pt idx="177">
                  <c:v>102.35950200000001</c:v>
                </c:pt>
                <c:pt idx="178">
                  <c:v>102.35950200000001</c:v>
                </c:pt>
                <c:pt idx="179">
                  <c:v>102.35950200000001</c:v>
                </c:pt>
                <c:pt idx="180">
                  <c:v>102.35950200000001</c:v>
                </c:pt>
                <c:pt idx="181">
                  <c:v>102.35950200000001</c:v>
                </c:pt>
                <c:pt idx="182">
                  <c:v>102.35950200000001</c:v>
                </c:pt>
                <c:pt idx="183">
                  <c:v>102.35950200000001</c:v>
                </c:pt>
                <c:pt idx="184">
                  <c:v>102.35950200000001</c:v>
                </c:pt>
                <c:pt idx="185">
                  <c:v>102.35950200000001</c:v>
                </c:pt>
                <c:pt idx="186">
                  <c:v>102.35950200000001</c:v>
                </c:pt>
                <c:pt idx="187">
                  <c:v>102.35950200000001</c:v>
                </c:pt>
                <c:pt idx="188">
                  <c:v>102.35950200000001</c:v>
                </c:pt>
                <c:pt idx="189">
                  <c:v>102.35950200000001</c:v>
                </c:pt>
                <c:pt idx="190">
                  <c:v>102.35950200000001</c:v>
                </c:pt>
                <c:pt idx="191">
                  <c:v>102.35950200000001</c:v>
                </c:pt>
                <c:pt idx="192">
                  <c:v>102.35950200000001</c:v>
                </c:pt>
                <c:pt idx="193">
                  <c:v>102.35950200000001</c:v>
                </c:pt>
                <c:pt idx="194">
                  <c:v>102.35950200000001</c:v>
                </c:pt>
                <c:pt idx="195">
                  <c:v>102.35950200000001</c:v>
                </c:pt>
                <c:pt idx="196">
                  <c:v>102.35950200000001</c:v>
                </c:pt>
                <c:pt idx="197">
                  <c:v>102.35950200000001</c:v>
                </c:pt>
                <c:pt idx="198">
                  <c:v>102.35950200000001</c:v>
                </c:pt>
                <c:pt idx="199">
                  <c:v>102.35950200000001</c:v>
                </c:pt>
                <c:pt idx="200">
                  <c:v>102.35950200000001</c:v>
                </c:pt>
                <c:pt idx="201">
                  <c:v>102.35950200000001</c:v>
                </c:pt>
                <c:pt idx="202">
                  <c:v>102.35950200000001</c:v>
                </c:pt>
                <c:pt idx="203">
                  <c:v>102.35950200000001</c:v>
                </c:pt>
                <c:pt idx="204">
                  <c:v>102.35950200000001</c:v>
                </c:pt>
                <c:pt idx="205">
                  <c:v>102.35950200000001</c:v>
                </c:pt>
                <c:pt idx="206">
                  <c:v>102.35950200000001</c:v>
                </c:pt>
                <c:pt idx="207">
                  <c:v>102.35950200000001</c:v>
                </c:pt>
                <c:pt idx="208">
                  <c:v>102.35950200000001</c:v>
                </c:pt>
                <c:pt idx="209">
                  <c:v>102.35950200000001</c:v>
                </c:pt>
                <c:pt idx="210">
                  <c:v>102.35950200000001</c:v>
                </c:pt>
                <c:pt idx="211">
                  <c:v>102.35950200000001</c:v>
                </c:pt>
                <c:pt idx="212">
                  <c:v>102.35950200000001</c:v>
                </c:pt>
                <c:pt idx="213">
                  <c:v>102.35950200000001</c:v>
                </c:pt>
                <c:pt idx="214">
                  <c:v>102.35950200000001</c:v>
                </c:pt>
                <c:pt idx="215">
                  <c:v>102.35950200000001</c:v>
                </c:pt>
                <c:pt idx="216">
                  <c:v>102.35950200000001</c:v>
                </c:pt>
                <c:pt idx="217">
                  <c:v>102.35950200000001</c:v>
                </c:pt>
                <c:pt idx="218">
                  <c:v>102.35950200000001</c:v>
                </c:pt>
                <c:pt idx="219">
                  <c:v>102.35950200000001</c:v>
                </c:pt>
                <c:pt idx="220">
                  <c:v>102.35950200000001</c:v>
                </c:pt>
                <c:pt idx="221">
                  <c:v>102.35950200000001</c:v>
                </c:pt>
                <c:pt idx="222">
                  <c:v>102.35950200000001</c:v>
                </c:pt>
                <c:pt idx="223">
                  <c:v>102.35950200000001</c:v>
                </c:pt>
                <c:pt idx="224">
                  <c:v>102.35950200000001</c:v>
                </c:pt>
                <c:pt idx="225">
                  <c:v>102.35950200000001</c:v>
                </c:pt>
                <c:pt idx="226">
                  <c:v>102.35950200000001</c:v>
                </c:pt>
                <c:pt idx="227">
                  <c:v>102.35950200000001</c:v>
                </c:pt>
                <c:pt idx="228">
                  <c:v>102.35950200000001</c:v>
                </c:pt>
                <c:pt idx="229">
                  <c:v>102.35950200000001</c:v>
                </c:pt>
                <c:pt idx="230">
                  <c:v>102.35950200000001</c:v>
                </c:pt>
                <c:pt idx="231">
                  <c:v>102.35950200000001</c:v>
                </c:pt>
                <c:pt idx="232">
                  <c:v>102.35950200000001</c:v>
                </c:pt>
                <c:pt idx="233">
                  <c:v>102.35950200000001</c:v>
                </c:pt>
                <c:pt idx="234">
                  <c:v>102.35950200000001</c:v>
                </c:pt>
                <c:pt idx="235">
                  <c:v>102.35950200000001</c:v>
                </c:pt>
                <c:pt idx="236">
                  <c:v>102.35950200000001</c:v>
                </c:pt>
                <c:pt idx="237">
                  <c:v>102.35950200000001</c:v>
                </c:pt>
                <c:pt idx="238">
                  <c:v>102.35950200000001</c:v>
                </c:pt>
                <c:pt idx="239">
                  <c:v>102.35950200000001</c:v>
                </c:pt>
                <c:pt idx="240">
                  <c:v>102.35950200000001</c:v>
                </c:pt>
                <c:pt idx="241">
                  <c:v>102.35950200000001</c:v>
                </c:pt>
                <c:pt idx="242">
                  <c:v>102.35950200000001</c:v>
                </c:pt>
                <c:pt idx="243">
                  <c:v>102.35950200000001</c:v>
                </c:pt>
                <c:pt idx="244">
                  <c:v>102.35950200000001</c:v>
                </c:pt>
                <c:pt idx="245">
                  <c:v>102.35950200000001</c:v>
                </c:pt>
                <c:pt idx="246">
                  <c:v>102.35950200000001</c:v>
                </c:pt>
                <c:pt idx="247">
                  <c:v>102.35950200000001</c:v>
                </c:pt>
                <c:pt idx="248">
                  <c:v>102.35950200000001</c:v>
                </c:pt>
                <c:pt idx="249">
                  <c:v>102.35950200000001</c:v>
                </c:pt>
                <c:pt idx="250">
                  <c:v>102.35950200000001</c:v>
                </c:pt>
                <c:pt idx="251">
                  <c:v>102.35950200000001</c:v>
                </c:pt>
                <c:pt idx="252">
                  <c:v>102.35950200000001</c:v>
                </c:pt>
                <c:pt idx="253">
                  <c:v>102.35950200000001</c:v>
                </c:pt>
                <c:pt idx="254">
                  <c:v>102.35950200000001</c:v>
                </c:pt>
                <c:pt idx="255">
                  <c:v>102.35950200000001</c:v>
                </c:pt>
                <c:pt idx="256">
                  <c:v>102.35950200000001</c:v>
                </c:pt>
                <c:pt idx="257">
                  <c:v>102.35950200000001</c:v>
                </c:pt>
                <c:pt idx="258">
                  <c:v>102.35950200000001</c:v>
                </c:pt>
                <c:pt idx="259">
                  <c:v>102.35950200000001</c:v>
                </c:pt>
                <c:pt idx="260">
                  <c:v>102.35950200000001</c:v>
                </c:pt>
                <c:pt idx="261">
                  <c:v>102.35950200000001</c:v>
                </c:pt>
                <c:pt idx="262">
                  <c:v>102.35950200000001</c:v>
                </c:pt>
                <c:pt idx="263">
                  <c:v>102.35950200000001</c:v>
                </c:pt>
                <c:pt idx="264">
                  <c:v>102.35950200000001</c:v>
                </c:pt>
                <c:pt idx="265">
                  <c:v>102.35950200000001</c:v>
                </c:pt>
                <c:pt idx="266">
                  <c:v>102.35950200000001</c:v>
                </c:pt>
                <c:pt idx="267">
                  <c:v>102.35950200000001</c:v>
                </c:pt>
                <c:pt idx="268">
                  <c:v>102.35950200000001</c:v>
                </c:pt>
                <c:pt idx="269">
                  <c:v>102.35950200000001</c:v>
                </c:pt>
                <c:pt idx="270">
                  <c:v>102.35950200000001</c:v>
                </c:pt>
                <c:pt idx="271">
                  <c:v>102.35950200000001</c:v>
                </c:pt>
                <c:pt idx="272">
                  <c:v>102.35950200000001</c:v>
                </c:pt>
                <c:pt idx="273">
                  <c:v>102.35950200000001</c:v>
                </c:pt>
                <c:pt idx="274">
                  <c:v>102.35950200000001</c:v>
                </c:pt>
                <c:pt idx="275">
                  <c:v>102.35950200000001</c:v>
                </c:pt>
                <c:pt idx="276">
                  <c:v>102.35950200000001</c:v>
                </c:pt>
                <c:pt idx="277">
                  <c:v>102.35950200000001</c:v>
                </c:pt>
                <c:pt idx="278">
                  <c:v>102.35950200000001</c:v>
                </c:pt>
                <c:pt idx="279">
                  <c:v>102.35950200000001</c:v>
                </c:pt>
                <c:pt idx="280">
                  <c:v>102.35950200000001</c:v>
                </c:pt>
                <c:pt idx="281">
                  <c:v>102.35950200000001</c:v>
                </c:pt>
                <c:pt idx="282">
                  <c:v>102.35950200000001</c:v>
                </c:pt>
                <c:pt idx="283">
                  <c:v>102.35950200000001</c:v>
                </c:pt>
                <c:pt idx="284">
                  <c:v>102.35950200000001</c:v>
                </c:pt>
                <c:pt idx="285">
                  <c:v>102.35950200000001</c:v>
                </c:pt>
                <c:pt idx="286">
                  <c:v>102.35950200000001</c:v>
                </c:pt>
                <c:pt idx="287">
                  <c:v>102.35950200000001</c:v>
                </c:pt>
                <c:pt idx="288">
                  <c:v>102.35950200000001</c:v>
                </c:pt>
                <c:pt idx="289">
                  <c:v>102.35950200000001</c:v>
                </c:pt>
                <c:pt idx="290">
                  <c:v>102.35950200000001</c:v>
                </c:pt>
                <c:pt idx="291">
                  <c:v>102.35950200000001</c:v>
                </c:pt>
                <c:pt idx="292">
                  <c:v>102.35950200000001</c:v>
                </c:pt>
                <c:pt idx="293">
                  <c:v>102.35950200000001</c:v>
                </c:pt>
                <c:pt idx="294">
                  <c:v>102.35950200000001</c:v>
                </c:pt>
                <c:pt idx="295">
                  <c:v>102.35950200000001</c:v>
                </c:pt>
                <c:pt idx="296">
                  <c:v>102.35950200000001</c:v>
                </c:pt>
                <c:pt idx="297">
                  <c:v>102.35950200000001</c:v>
                </c:pt>
                <c:pt idx="298">
                  <c:v>102.35950200000001</c:v>
                </c:pt>
                <c:pt idx="299">
                  <c:v>102.35950200000001</c:v>
                </c:pt>
                <c:pt idx="300">
                  <c:v>102.35950200000001</c:v>
                </c:pt>
                <c:pt idx="301">
                  <c:v>102.35950200000001</c:v>
                </c:pt>
                <c:pt idx="302">
                  <c:v>102.35950200000001</c:v>
                </c:pt>
                <c:pt idx="303">
                  <c:v>102.35950200000001</c:v>
                </c:pt>
                <c:pt idx="304">
                  <c:v>102.35950200000001</c:v>
                </c:pt>
                <c:pt idx="305">
                  <c:v>102.35950200000001</c:v>
                </c:pt>
                <c:pt idx="306">
                  <c:v>102.35950200000001</c:v>
                </c:pt>
                <c:pt idx="307">
                  <c:v>102.35950200000001</c:v>
                </c:pt>
                <c:pt idx="308">
                  <c:v>102.35950200000001</c:v>
                </c:pt>
                <c:pt idx="309">
                  <c:v>102.35950200000001</c:v>
                </c:pt>
                <c:pt idx="310">
                  <c:v>102.35950200000001</c:v>
                </c:pt>
                <c:pt idx="311">
                  <c:v>102.35950200000001</c:v>
                </c:pt>
                <c:pt idx="312">
                  <c:v>102.35950200000001</c:v>
                </c:pt>
                <c:pt idx="313">
                  <c:v>102.35950200000001</c:v>
                </c:pt>
                <c:pt idx="314">
                  <c:v>102.35950200000001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Simulation!$U$4</c:f>
              <c:strCache>
                <c:ptCount val="1"/>
                <c:pt idx="0">
                  <c:v>Gradient Resistance (N)</c:v>
                </c:pt>
              </c:strCache>
            </c:strRef>
          </c:tx>
          <c:marker>
            <c:symbol val="none"/>
          </c:marker>
          <c:yVal>
            <c:numRef>
              <c:f>Simulation!$U$5:$U$319</c:f>
              <c:numCache>
                <c:formatCode>General</c:formatCode>
                <c:ptCount val="315"/>
                <c:pt idx="0">
                  <c:v>178.61733099000003</c:v>
                </c:pt>
                <c:pt idx="1">
                  <c:v>178.61733099000003</c:v>
                </c:pt>
                <c:pt idx="2">
                  <c:v>178.61733099000003</c:v>
                </c:pt>
                <c:pt idx="3">
                  <c:v>178.61733099000003</c:v>
                </c:pt>
                <c:pt idx="4">
                  <c:v>178.61733099000003</c:v>
                </c:pt>
                <c:pt idx="5">
                  <c:v>178.61733099000003</c:v>
                </c:pt>
                <c:pt idx="6">
                  <c:v>178.61733099000003</c:v>
                </c:pt>
                <c:pt idx="7">
                  <c:v>178.61733099000003</c:v>
                </c:pt>
                <c:pt idx="8">
                  <c:v>178.61733099000003</c:v>
                </c:pt>
                <c:pt idx="9">
                  <c:v>178.61733099000003</c:v>
                </c:pt>
                <c:pt idx="10">
                  <c:v>178.61733099000003</c:v>
                </c:pt>
                <c:pt idx="11">
                  <c:v>178.61733099000003</c:v>
                </c:pt>
                <c:pt idx="12">
                  <c:v>178.61733099000003</c:v>
                </c:pt>
                <c:pt idx="13">
                  <c:v>178.61733099000003</c:v>
                </c:pt>
                <c:pt idx="14">
                  <c:v>178.61733099000003</c:v>
                </c:pt>
                <c:pt idx="15">
                  <c:v>178.61733099000003</c:v>
                </c:pt>
                <c:pt idx="16">
                  <c:v>178.61733099000003</c:v>
                </c:pt>
                <c:pt idx="17">
                  <c:v>178.61733099000003</c:v>
                </c:pt>
                <c:pt idx="18">
                  <c:v>178.61733099000003</c:v>
                </c:pt>
                <c:pt idx="19">
                  <c:v>178.61733099000003</c:v>
                </c:pt>
                <c:pt idx="20">
                  <c:v>178.61733099000003</c:v>
                </c:pt>
                <c:pt idx="21">
                  <c:v>178.61733099000003</c:v>
                </c:pt>
                <c:pt idx="22">
                  <c:v>178.61733099000003</c:v>
                </c:pt>
                <c:pt idx="23">
                  <c:v>178.61733099000003</c:v>
                </c:pt>
                <c:pt idx="24">
                  <c:v>178.61733099000003</c:v>
                </c:pt>
                <c:pt idx="25">
                  <c:v>178.61733099000003</c:v>
                </c:pt>
                <c:pt idx="26">
                  <c:v>178.61733099000003</c:v>
                </c:pt>
                <c:pt idx="27">
                  <c:v>178.61733099000003</c:v>
                </c:pt>
                <c:pt idx="28">
                  <c:v>178.61733099000003</c:v>
                </c:pt>
                <c:pt idx="29">
                  <c:v>178.61733099000003</c:v>
                </c:pt>
                <c:pt idx="30">
                  <c:v>178.61733099000003</c:v>
                </c:pt>
                <c:pt idx="31">
                  <c:v>178.61733099000003</c:v>
                </c:pt>
                <c:pt idx="32">
                  <c:v>178.61733099000003</c:v>
                </c:pt>
                <c:pt idx="33">
                  <c:v>178.61733099000003</c:v>
                </c:pt>
                <c:pt idx="34">
                  <c:v>178.61733099000003</c:v>
                </c:pt>
                <c:pt idx="35">
                  <c:v>178.61733099000003</c:v>
                </c:pt>
                <c:pt idx="36">
                  <c:v>178.61733099000003</c:v>
                </c:pt>
                <c:pt idx="37">
                  <c:v>178.61733099000003</c:v>
                </c:pt>
                <c:pt idx="38">
                  <c:v>178.61733099000003</c:v>
                </c:pt>
                <c:pt idx="39">
                  <c:v>178.61733099000003</c:v>
                </c:pt>
                <c:pt idx="40">
                  <c:v>178.61733099000003</c:v>
                </c:pt>
                <c:pt idx="41">
                  <c:v>178.61733099000003</c:v>
                </c:pt>
                <c:pt idx="42">
                  <c:v>178.61733099000003</c:v>
                </c:pt>
                <c:pt idx="43">
                  <c:v>178.61733099000003</c:v>
                </c:pt>
                <c:pt idx="44">
                  <c:v>178.61733099000003</c:v>
                </c:pt>
                <c:pt idx="45">
                  <c:v>178.61733099000003</c:v>
                </c:pt>
                <c:pt idx="46">
                  <c:v>178.61733099000003</c:v>
                </c:pt>
                <c:pt idx="47">
                  <c:v>178.61733099000003</c:v>
                </c:pt>
                <c:pt idx="48">
                  <c:v>178.61733099000003</c:v>
                </c:pt>
                <c:pt idx="49">
                  <c:v>178.61733099000003</c:v>
                </c:pt>
                <c:pt idx="50">
                  <c:v>178.61733099000003</c:v>
                </c:pt>
                <c:pt idx="51">
                  <c:v>178.61733099000003</c:v>
                </c:pt>
                <c:pt idx="52">
                  <c:v>178.61733099000003</c:v>
                </c:pt>
                <c:pt idx="53">
                  <c:v>178.61733099000003</c:v>
                </c:pt>
                <c:pt idx="54">
                  <c:v>178.61733099000003</c:v>
                </c:pt>
                <c:pt idx="55">
                  <c:v>178.61733099000003</c:v>
                </c:pt>
                <c:pt idx="56">
                  <c:v>178.61733099000003</c:v>
                </c:pt>
                <c:pt idx="57">
                  <c:v>178.61733099000003</c:v>
                </c:pt>
                <c:pt idx="58">
                  <c:v>178.61733099000003</c:v>
                </c:pt>
                <c:pt idx="59">
                  <c:v>178.61733099000003</c:v>
                </c:pt>
                <c:pt idx="60">
                  <c:v>178.61733099000003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-178.61733099000003</c:v>
                </c:pt>
                <c:pt idx="212">
                  <c:v>-178.61733099000003</c:v>
                </c:pt>
                <c:pt idx="213">
                  <c:v>-178.61733099000003</c:v>
                </c:pt>
                <c:pt idx="214">
                  <c:v>-178.61733099000003</c:v>
                </c:pt>
                <c:pt idx="215">
                  <c:v>-178.61733099000003</c:v>
                </c:pt>
                <c:pt idx="216">
                  <c:v>-178.61733099000003</c:v>
                </c:pt>
                <c:pt idx="217">
                  <c:v>-178.61733099000003</c:v>
                </c:pt>
                <c:pt idx="218">
                  <c:v>-178.61733099000003</c:v>
                </c:pt>
                <c:pt idx="219">
                  <c:v>-178.61733099000003</c:v>
                </c:pt>
                <c:pt idx="220">
                  <c:v>-178.61733099000003</c:v>
                </c:pt>
                <c:pt idx="221">
                  <c:v>-178.61733099000003</c:v>
                </c:pt>
                <c:pt idx="222">
                  <c:v>-178.61733099000003</c:v>
                </c:pt>
                <c:pt idx="223">
                  <c:v>-178.61733099000003</c:v>
                </c:pt>
                <c:pt idx="224">
                  <c:v>-178.61733099000003</c:v>
                </c:pt>
                <c:pt idx="225">
                  <c:v>-178.61733099000003</c:v>
                </c:pt>
                <c:pt idx="226">
                  <c:v>-178.61733099000003</c:v>
                </c:pt>
                <c:pt idx="227">
                  <c:v>-178.61733099000003</c:v>
                </c:pt>
                <c:pt idx="228">
                  <c:v>-178.61733099000003</c:v>
                </c:pt>
                <c:pt idx="229">
                  <c:v>-178.61733099000003</c:v>
                </c:pt>
                <c:pt idx="230">
                  <c:v>-178.61733099000003</c:v>
                </c:pt>
                <c:pt idx="231">
                  <c:v>-178.61733099000003</c:v>
                </c:pt>
                <c:pt idx="232">
                  <c:v>-178.61733099000003</c:v>
                </c:pt>
                <c:pt idx="233">
                  <c:v>-178.61733099000003</c:v>
                </c:pt>
                <c:pt idx="234">
                  <c:v>-178.61733099000003</c:v>
                </c:pt>
                <c:pt idx="235">
                  <c:v>-178.61733099000003</c:v>
                </c:pt>
                <c:pt idx="236">
                  <c:v>-178.61733099000003</c:v>
                </c:pt>
                <c:pt idx="237">
                  <c:v>-178.61733099000003</c:v>
                </c:pt>
                <c:pt idx="238">
                  <c:v>-178.61733099000003</c:v>
                </c:pt>
                <c:pt idx="239">
                  <c:v>-178.61733099000003</c:v>
                </c:pt>
                <c:pt idx="240">
                  <c:v>-178.61733099000003</c:v>
                </c:pt>
                <c:pt idx="241">
                  <c:v>-178.61733099000003</c:v>
                </c:pt>
                <c:pt idx="242">
                  <c:v>-178.61733099000003</c:v>
                </c:pt>
                <c:pt idx="243">
                  <c:v>-178.61733099000003</c:v>
                </c:pt>
                <c:pt idx="244">
                  <c:v>-178.61733099000003</c:v>
                </c:pt>
                <c:pt idx="245">
                  <c:v>-178.61733099000003</c:v>
                </c:pt>
                <c:pt idx="246">
                  <c:v>-178.61733099000003</c:v>
                </c:pt>
                <c:pt idx="247">
                  <c:v>-178.61733099000003</c:v>
                </c:pt>
                <c:pt idx="248">
                  <c:v>-178.61733099000003</c:v>
                </c:pt>
                <c:pt idx="249">
                  <c:v>-178.61733099000003</c:v>
                </c:pt>
                <c:pt idx="250">
                  <c:v>-178.61733099000003</c:v>
                </c:pt>
                <c:pt idx="251">
                  <c:v>-178.61733099000003</c:v>
                </c:pt>
                <c:pt idx="252">
                  <c:v>-178.61733099000003</c:v>
                </c:pt>
                <c:pt idx="253">
                  <c:v>-178.61733099000003</c:v>
                </c:pt>
                <c:pt idx="254">
                  <c:v>-178.61733099000003</c:v>
                </c:pt>
                <c:pt idx="255">
                  <c:v>-178.61733099000003</c:v>
                </c:pt>
                <c:pt idx="256">
                  <c:v>-178.61733099000003</c:v>
                </c:pt>
                <c:pt idx="257">
                  <c:v>-178.61733099000003</c:v>
                </c:pt>
                <c:pt idx="258">
                  <c:v>-178.61733099000003</c:v>
                </c:pt>
                <c:pt idx="259">
                  <c:v>-178.61733099000003</c:v>
                </c:pt>
                <c:pt idx="260">
                  <c:v>-178.61733099000003</c:v>
                </c:pt>
                <c:pt idx="261">
                  <c:v>-178.61733099000003</c:v>
                </c:pt>
                <c:pt idx="262">
                  <c:v>-178.61733099000003</c:v>
                </c:pt>
                <c:pt idx="263">
                  <c:v>-178.61733099000003</c:v>
                </c:pt>
                <c:pt idx="264">
                  <c:v>-178.61733099000003</c:v>
                </c:pt>
                <c:pt idx="265">
                  <c:v>-178.61733099000003</c:v>
                </c:pt>
                <c:pt idx="266">
                  <c:v>-178.61733099000003</c:v>
                </c:pt>
                <c:pt idx="267">
                  <c:v>-178.61733099000003</c:v>
                </c:pt>
                <c:pt idx="268">
                  <c:v>-178.61733099000003</c:v>
                </c:pt>
                <c:pt idx="269">
                  <c:v>-178.61733099000003</c:v>
                </c:pt>
                <c:pt idx="270">
                  <c:v>-178.61733099000003</c:v>
                </c:pt>
                <c:pt idx="271">
                  <c:v>-178.61733099000003</c:v>
                </c:pt>
                <c:pt idx="272">
                  <c:v>-178.61733099000003</c:v>
                </c:pt>
                <c:pt idx="273">
                  <c:v>-178.61733099000003</c:v>
                </c:pt>
                <c:pt idx="274">
                  <c:v>-178.61733099000003</c:v>
                </c:pt>
                <c:pt idx="275">
                  <c:v>-178.61733099000003</c:v>
                </c:pt>
                <c:pt idx="276">
                  <c:v>-178.61733099000003</c:v>
                </c:pt>
                <c:pt idx="277">
                  <c:v>-178.61733099000003</c:v>
                </c:pt>
                <c:pt idx="278">
                  <c:v>-178.61733099000003</c:v>
                </c:pt>
                <c:pt idx="279">
                  <c:v>-178.61733099000003</c:v>
                </c:pt>
                <c:pt idx="280">
                  <c:v>-178.61733099000003</c:v>
                </c:pt>
                <c:pt idx="281">
                  <c:v>-178.61733099000003</c:v>
                </c:pt>
                <c:pt idx="282">
                  <c:v>-178.61733099000003</c:v>
                </c:pt>
                <c:pt idx="283">
                  <c:v>-178.61733099000003</c:v>
                </c:pt>
                <c:pt idx="284">
                  <c:v>-178.61733099000003</c:v>
                </c:pt>
                <c:pt idx="285">
                  <c:v>-178.61733099000003</c:v>
                </c:pt>
                <c:pt idx="286">
                  <c:v>-178.61733099000003</c:v>
                </c:pt>
                <c:pt idx="287">
                  <c:v>-178.61733099000003</c:v>
                </c:pt>
                <c:pt idx="288">
                  <c:v>-178.61733099000003</c:v>
                </c:pt>
                <c:pt idx="289">
                  <c:v>-178.61733099000003</c:v>
                </c:pt>
                <c:pt idx="290">
                  <c:v>-178.61733099000003</c:v>
                </c:pt>
                <c:pt idx="291">
                  <c:v>-178.61733099000003</c:v>
                </c:pt>
                <c:pt idx="292">
                  <c:v>-178.61733099000003</c:v>
                </c:pt>
                <c:pt idx="293">
                  <c:v>-178.61733099000003</c:v>
                </c:pt>
                <c:pt idx="294">
                  <c:v>-178.61733099000003</c:v>
                </c:pt>
                <c:pt idx="295">
                  <c:v>-178.61733099000003</c:v>
                </c:pt>
                <c:pt idx="296">
                  <c:v>-178.61733099000003</c:v>
                </c:pt>
                <c:pt idx="297">
                  <c:v>-178.61733099000003</c:v>
                </c:pt>
                <c:pt idx="298">
                  <c:v>-178.61733099000003</c:v>
                </c:pt>
                <c:pt idx="299">
                  <c:v>-178.61733099000003</c:v>
                </c:pt>
                <c:pt idx="300">
                  <c:v>-178.61733099000003</c:v>
                </c:pt>
                <c:pt idx="301">
                  <c:v>-178.61733099000003</c:v>
                </c:pt>
                <c:pt idx="302">
                  <c:v>-178.61733099000003</c:v>
                </c:pt>
                <c:pt idx="303">
                  <c:v>-178.61733099000003</c:v>
                </c:pt>
                <c:pt idx="304">
                  <c:v>-178.61733099000003</c:v>
                </c:pt>
                <c:pt idx="305">
                  <c:v>-178.61733099000003</c:v>
                </c:pt>
                <c:pt idx="306">
                  <c:v>-178.61733099000003</c:v>
                </c:pt>
                <c:pt idx="307">
                  <c:v>-178.61733099000003</c:v>
                </c:pt>
                <c:pt idx="308">
                  <c:v>-178.61733099000003</c:v>
                </c:pt>
                <c:pt idx="309">
                  <c:v>-178.61733099000003</c:v>
                </c:pt>
                <c:pt idx="310">
                  <c:v>-178.61733099000003</c:v>
                </c:pt>
                <c:pt idx="311">
                  <c:v>-178.61733099000003</c:v>
                </c:pt>
                <c:pt idx="312">
                  <c:v>-178.61733099000003</c:v>
                </c:pt>
                <c:pt idx="313">
                  <c:v>-178.61733099000003</c:v>
                </c:pt>
                <c:pt idx="314">
                  <c:v>-178.61733099000003</c:v>
                </c:pt>
              </c:numCache>
            </c:numRef>
          </c:yVal>
          <c:smooth val="1"/>
        </c:ser>
        <c:ser>
          <c:idx val="3"/>
          <c:order val="3"/>
          <c:tx>
            <c:v>Net Driving Force</c:v>
          </c:tx>
          <c:spPr>
            <a:ln w="38100"/>
          </c:spPr>
          <c:marker>
            <c:symbol val="none"/>
          </c:marker>
          <c:yVal>
            <c:numRef>
              <c:f>Simulation!$V$5:$V$319</c:f>
              <c:numCache>
                <c:formatCode>General</c:formatCode>
                <c:ptCount val="315"/>
                <c:pt idx="0">
                  <c:v>119.84607833283445</c:v>
                </c:pt>
                <c:pt idx="1">
                  <c:v>119.65631088004221</c:v>
                </c:pt>
                <c:pt idx="2">
                  <c:v>119.46684391005778</c:v>
                </c:pt>
                <c:pt idx="3">
                  <c:v>119.27767694708899</c:v>
                </c:pt>
                <c:pt idx="4">
                  <c:v>119.08880951609666</c:v>
                </c:pt>
                <c:pt idx="5">
                  <c:v>118.90024114279396</c:v>
                </c:pt>
                <c:pt idx="6">
                  <c:v>118.71197135364497</c:v>
                </c:pt>
                <c:pt idx="7">
                  <c:v>118.52399967586365</c:v>
                </c:pt>
                <c:pt idx="8">
                  <c:v>118.33632563741259</c:v>
                </c:pt>
                <c:pt idx="9">
                  <c:v>118.14894876700185</c:v>
                </c:pt>
                <c:pt idx="10">
                  <c:v>117.96186859408755</c:v>
                </c:pt>
                <c:pt idx="11">
                  <c:v>117.7750846488712</c:v>
                </c:pt>
                <c:pt idx="12">
                  <c:v>117.58859646229786</c:v>
                </c:pt>
                <c:pt idx="13">
                  <c:v>117.40240356605563</c:v>
                </c:pt>
                <c:pt idx="14">
                  <c:v>117.21650549257373</c:v>
                </c:pt>
                <c:pt idx="15">
                  <c:v>117.0309017750223</c:v>
                </c:pt>
                <c:pt idx="16">
                  <c:v>116.8455919473102</c:v>
                </c:pt>
                <c:pt idx="17">
                  <c:v>116.66057554408445</c:v>
                </c:pt>
                <c:pt idx="18">
                  <c:v>116.47585210072901</c:v>
                </c:pt>
                <c:pt idx="19">
                  <c:v>116.2914211533635</c:v>
                </c:pt>
                <c:pt idx="20">
                  <c:v>116.10728223884206</c:v>
                </c:pt>
                <c:pt idx="21">
                  <c:v>115.92343489475201</c:v>
                </c:pt>
                <c:pt idx="22">
                  <c:v>115.73987865941302</c:v>
                </c:pt>
                <c:pt idx="23">
                  <c:v>115.55661307187592</c:v>
                </c:pt>
                <c:pt idx="24">
                  <c:v>115.37363767192124</c:v>
                </c:pt>
                <c:pt idx="25">
                  <c:v>115.19095200005819</c:v>
                </c:pt>
                <c:pt idx="26">
                  <c:v>115.00855559752375</c:v>
                </c:pt>
                <c:pt idx="27">
                  <c:v>114.82644800628117</c:v>
                </c:pt>
                <c:pt idx="28">
                  <c:v>114.64462876901899</c:v>
                </c:pt>
                <c:pt idx="29">
                  <c:v>114.46309742914997</c:v>
                </c:pt>
                <c:pt idx="30">
                  <c:v>114.28185353080954</c:v>
                </c:pt>
                <c:pt idx="31">
                  <c:v>114.10089661885542</c:v>
                </c:pt>
                <c:pt idx="32">
                  <c:v>113.92022623886572</c:v>
                </c:pt>
                <c:pt idx="33">
                  <c:v>113.73984193713801</c:v>
                </c:pt>
                <c:pt idx="34">
                  <c:v>113.55974326068844</c:v>
                </c:pt>
                <c:pt idx="35">
                  <c:v>113.37992975725052</c:v>
                </c:pt>
                <c:pt idx="36">
                  <c:v>113.20040097527368</c:v>
                </c:pt>
                <c:pt idx="37">
                  <c:v>113.0211564639223</c:v>
                </c:pt>
                <c:pt idx="38">
                  <c:v>112.84219577307482</c:v>
                </c:pt>
                <c:pt idx="39">
                  <c:v>112.66351845332252</c:v>
                </c:pt>
                <c:pt idx="40">
                  <c:v>112.48512405596779</c:v>
                </c:pt>
                <c:pt idx="41">
                  <c:v>112.3070121330241</c:v>
                </c:pt>
                <c:pt idx="42">
                  <c:v>112.1291822372138</c:v>
                </c:pt>
                <c:pt idx="43">
                  <c:v>111.95163392196781</c:v>
                </c:pt>
                <c:pt idx="44">
                  <c:v>111.77436674142388</c:v>
                </c:pt>
                <c:pt idx="45">
                  <c:v>111.59738025042594</c:v>
                </c:pt>
                <c:pt idx="46">
                  <c:v>111.42067400452282</c:v>
                </c:pt>
                <c:pt idx="47">
                  <c:v>111.24424755996682</c:v>
                </c:pt>
                <c:pt idx="48">
                  <c:v>111.06810047371317</c:v>
                </c:pt>
                <c:pt idx="49">
                  <c:v>110.89223230341867</c:v>
                </c:pt>
                <c:pt idx="50">
                  <c:v>110.71664260744018</c:v>
                </c:pt>
                <c:pt idx="51">
                  <c:v>110.54133094483433</c:v>
                </c:pt>
                <c:pt idx="52">
                  <c:v>110.36629687535554</c:v>
                </c:pt>
                <c:pt idx="53">
                  <c:v>110.1915399594555</c:v>
                </c:pt>
                <c:pt idx="54">
                  <c:v>110.01705975828207</c:v>
                </c:pt>
                <c:pt idx="55">
                  <c:v>109.84285583367767</c:v>
                </c:pt>
                <c:pt idx="56">
                  <c:v>109.66892774817865</c:v>
                </c:pt>
                <c:pt idx="57">
                  <c:v>109.49527506501425</c:v>
                </c:pt>
                <c:pt idx="58">
                  <c:v>109.32189734810498</c:v>
                </c:pt>
                <c:pt idx="59">
                  <c:v>109.14879416206196</c:v>
                </c:pt>
                <c:pt idx="60">
                  <c:v>108.97596507218583</c:v>
                </c:pt>
                <c:pt idx="61">
                  <c:v>594.49924663446552</c:v>
                </c:pt>
                <c:pt idx="62">
                  <c:v>594.49924663446552</c:v>
                </c:pt>
                <c:pt idx="63">
                  <c:v>594.49924663446552</c:v>
                </c:pt>
                <c:pt idx="64">
                  <c:v>594.49924663446552</c:v>
                </c:pt>
                <c:pt idx="65">
                  <c:v>581.9993619472184</c:v>
                </c:pt>
                <c:pt idx="66">
                  <c:v>580.66227570204353</c:v>
                </c:pt>
                <c:pt idx="67">
                  <c:v>579.34392668937107</c:v>
                </c:pt>
                <c:pt idx="68">
                  <c:v>578.04252210016386</c:v>
                </c:pt>
                <c:pt idx="69">
                  <c:v>576.7565651567586</c:v>
                </c:pt>
                <c:pt idx="70">
                  <c:v>575.48479054439611</c:v>
                </c:pt>
                <c:pt idx="71">
                  <c:v>574.22611691657619</c:v>
                </c:pt>
                <c:pt idx="72">
                  <c:v>572.97961125751897</c:v>
                </c:pt>
                <c:pt idx="73">
                  <c:v>571.74446167071778</c:v>
                </c:pt>
                <c:pt idx="74">
                  <c:v>570.51995627793781</c:v>
                </c:pt>
                <c:pt idx="75">
                  <c:v>569.30546662975939</c:v>
                </c:pt>
                <c:pt idx="76">
                  <c:v>568.10043450104911</c:v>
                </c:pt>
                <c:pt idx="77">
                  <c:v>566.90436126299392</c:v>
                </c:pt>
                <c:pt idx="78">
                  <c:v>565.71679924212197</c:v>
                </c:pt>
                <c:pt idx="79">
                  <c:v>564.53734462990565</c:v>
                </c:pt>
                <c:pt idx="80">
                  <c:v>563.36563161553624</c:v>
                </c:pt>
                <c:pt idx="81">
                  <c:v>562.20132749319828</c:v>
                </c:pt>
                <c:pt idx="82">
                  <c:v>561.04412855282578</c:v>
                </c:pt>
                <c:pt idx="83">
                  <c:v>559.89375660608175</c:v>
                </c:pt>
                <c:pt idx="84">
                  <c:v>558.73344411225594</c:v>
                </c:pt>
                <c:pt idx="85">
                  <c:v>557.57964892039263</c:v>
                </c:pt>
                <c:pt idx="86">
                  <c:v>556.43214409081543</c:v>
                </c:pt>
                <c:pt idx="87">
                  <c:v>555.29071956439691</c:v>
                </c:pt>
                <c:pt idx="88">
                  <c:v>554.15518041829853</c:v>
                </c:pt>
                <c:pt idx="89">
                  <c:v>553.02534534765232</c:v>
                </c:pt>
                <c:pt idx="90">
                  <c:v>551.90104533836006</c:v>
                </c:pt>
                <c:pt idx="91">
                  <c:v>550.78212250235822</c:v>
                </c:pt>
                <c:pt idx="92">
                  <c:v>549.66842905164651</c:v>
                </c:pt>
                <c:pt idx="93">
                  <c:v>548.55982639135993</c:v>
                </c:pt>
                <c:pt idx="94">
                  <c:v>547.45618431539822</c:v>
                </c:pt>
                <c:pt idx="95">
                  <c:v>546.3573802907581</c:v>
                </c:pt>
                <c:pt idx="96">
                  <c:v>545.26329881887773</c:v>
                </c:pt>
                <c:pt idx="97">
                  <c:v>544.17383086408222</c:v>
                </c:pt>
                <c:pt idx="98">
                  <c:v>543.08887334069095</c:v>
                </c:pt>
                <c:pt idx="99">
                  <c:v>542.00832865157952</c:v>
                </c:pt>
                <c:pt idx="100">
                  <c:v>540.93210427200961</c:v>
                </c:pt>
                <c:pt idx="101">
                  <c:v>539.86011237340517</c:v>
                </c:pt>
                <c:pt idx="102">
                  <c:v>538.79226948247413</c:v>
                </c:pt>
                <c:pt idx="103">
                  <c:v>537.72849617169197</c:v>
                </c:pt>
                <c:pt idx="104">
                  <c:v>536.66871677768393</c:v>
                </c:pt>
                <c:pt idx="105">
                  <c:v>535.61285914448342</c:v>
                </c:pt>
                <c:pt idx="106">
                  <c:v>534.56085438902755</c:v>
                </c:pt>
                <c:pt idx="107">
                  <c:v>533.51263668657407</c:v>
                </c:pt>
                <c:pt idx="108">
                  <c:v>532.46814307400416</c:v>
                </c:pt>
                <c:pt idx="109">
                  <c:v>531.42731326921739</c:v>
                </c:pt>
                <c:pt idx="110">
                  <c:v>530.39008950503421</c:v>
                </c:pt>
                <c:pt idx="111">
                  <c:v>529.3491177601021</c:v>
                </c:pt>
                <c:pt idx="112">
                  <c:v>528.31169275486548</c:v>
                </c:pt>
                <c:pt idx="113">
                  <c:v>527.27776232480846</c:v>
                </c:pt>
                <c:pt idx="114">
                  <c:v>526.2472763298822</c:v>
                </c:pt>
                <c:pt idx="115">
                  <c:v>525.220186538912</c:v>
                </c:pt>
                <c:pt idx="116">
                  <c:v>524.19644652243085</c:v>
                </c:pt>
                <c:pt idx="117">
                  <c:v>523.17601155319892</c:v>
                </c:pt>
                <c:pt idx="118">
                  <c:v>522.15883851374281</c:v>
                </c:pt>
                <c:pt idx="119">
                  <c:v>521.14488581031787</c:v>
                </c:pt>
                <c:pt idx="120">
                  <c:v>520.13411329275345</c:v>
                </c:pt>
                <c:pt idx="121">
                  <c:v>519.12648217969547</c:v>
                </c:pt>
                <c:pt idx="122">
                  <c:v>518.12195498880737</c:v>
                </c:pt>
                <c:pt idx="123">
                  <c:v>517.12049547153265</c:v>
                </c:pt>
                <c:pt idx="124">
                  <c:v>516.12206855205625</c:v>
                </c:pt>
                <c:pt idx="125">
                  <c:v>515.12664027014046</c:v>
                </c:pt>
                <c:pt idx="126">
                  <c:v>514.13417772753678</c:v>
                </c:pt>
                <c:pt idx="127">
                  <c:v>513.14464903770249</c:v>
                </c:pt>
                <c:pt idx="128">
                  <c:v>512.15802327857591</c:v>
                </c:pt>
                <c:pt idx="129">
                  <c:v>511.17427044818544</c:v>
                </c:pt>
                <c:pt idx="130">
                  <c:v>510.19336142288557</c:v>
                </c:pt>
                <c:pt idx="131">
                  <c:v>509.21526791803217</c:v>
                </c:pt>
                <c:pt idx="132">
                  <c:v>508.23996245092383</c:v>
                </c:pt>
                <c:pt idx="133">
                  <c:v>507.26741830585195</c:v>
                </c:pt>
                <c:pt idx="134">
                  <c:v>506.29760950111336</c:v>
                </c:pt>
                <c:pt idx="135">
                  <c:v>505.33051075785193</c:v>
                </c:pt>
                <c:pt idx="136">
                  <c:v>504.36609747060652</c:v>
                </c:pt>
                <c:pt idx="137">
                  <c:v>503.40434567945158</c:v>
                </c:pt>
                <c:pt idx="138">
                  <c:v>502.44523204362645</c:v>
                </c:pt>
                <c:pt idx="139">
                  <c:v>501.4887338165554</c:v>
                </c:pt>
                <c:pt idx="140">
                  <c:v>500.53482882217179</c:v>
                </c:pt>
                <c:pt idx="141">
                  <c:v>499.58349543246106</c:v>
                </c:pt>
                <c:pt idx="142">
                  <c:v>498.63471254614865</c:v>
                </c:pt>
                <c:pt idx="143">
                  <c:v>497.68845956845973</c:v>
                </c:pt>
                <c:pt idx="144">
                  <c:v>496.74471639188766</c:v>
                </c:pt>
                <c:pt idx="145">
                  <c:v>495.80346337790763</c:v>
                </c:pt>
                <c:pt idx="146">
                  <c:v>494.86468133958147</c:v>
                </c:pt>
                <c:pt idx="147">
                  <c:v>493.92835152499833</c:v>
                </c:pt>
                <c:pt idx="148">
                  <c:v>492.99445560150468</c:v>
                </c:pt>
                <c:pt idx="149">
                  <c:v>492.06297564067631</c:v>
                </c:pt>
                <c:pt idx="150">
                  <c:v>491.133894103991</c:v>
                </c:pt>
                <c:pt idx="151">
                  <c:v>490.20719382916013</c:v>
                </c:pt>
                <c:pt idx="152">
                  <c:v>489.28285801708603</c:v>
                </c:pt>
                <c:pt idx="153">
                  <c:v>488.36087021940557</c:v>
                </c:pt>
                <c:pt idx="154">
                  <c:v>488.06171126860124</c:v>
                </c:pt>
                <c:pt idx="155">
                  <c:v>488.06171126860124</c:v>
                </c:pt>
                <c:pt idx="156">
                  <c:v>488.06171126860124</c:v>
                </c:pt>
                <c:pt idx="157">
                  <c:v>488.06171126860124</c:v>
                </c:pt>
                <c:pt idx="158">
                  <c:v>488.06171126860124</c:v>
                </c:pt>
                <c:pt idx="159">
                  <c:v>488.06171126860124</c:v>
                </c:pt>
                <c:pt idx="160">
                  <c:v>488.06171126860124</c:v>
                </c:pt>
                <c:pt idx="161">
                  <c:v>488.06171126860124</c:v>
                </c:pt>
                <c:pt idx="162">
                  <c:v>488.06171126860124</c:v>
                </c:pt>
                <c:pt idx="163">
                  <c:v>488.06171126860124</c:v>
                </c:pt>
                <c:pt idx="164">
                  <c:v>488.06171126860124</c:v>
                </c:pt>
                <c:pt idx="165">
                  <c:v>488.06171126860124</c:v>
                </c:pt>
                <c:pt idx="166">
                  <c:v>488.06171126860124</c:v>
                </c:pt>
                <c:pt idx="167">
                  <c:v>488.06171126860124</c:v>
                </c:pt>
                <c:pt idx="168">
                  <c:v>488.06171126860124</c:v>
                </c:pt>
                <c:pt idx="169">
                  <c:v>488.06171126860124</c:v>
                </c:pt>
                <c:pt idx="170">
                  <c:v>488.06171126860124</c:v>
                </c:pt>
                <c:pt idx="171">
                  <c:v>488.06171126860124</c:v>
                </c:pt>
                <c:pt idx="172">
                  <c:v>488.06171126860124</c:v>
                </c:pt>
                <c:pt idx="173">
                  <c:v>518.8693022474605</c:v>
                </c:pt>
                <c:pt idx="174">
                  <c:v>519.87653747633294</c:v>
                </c:pt>
                <c:pt idx="175">
                  <c:v>520.88572796214953</c:v>
                </c:pt>
                <c:pt idx="176">
                  <c:v>521.89687750047801</c:v>
                </c:pt>
                <c:pt idx="177">
                  <c:v>522.90998989425429</c:v>
                </c:pt>
                <c:pt idx="178">
                  <c:v>523.92506895379688</c:v>
                </c:pt>
                <c:pt idx="179">
                  <c:v>524.94211849682029</c:v>
                </c:pt>
                <c:pt idx="180">
                  <c:v>525.96114234845061</c:v>
                </c:pt>
                <c:pt idx="181">
                  <c:v>526.98214434123895</c:v>
                </c:pt>
                <c:pt idx="182">
                  <c:v>528.00512831517631</c:v>
                </c:pt>
                <c:pt idx="183">
                  <c:v>529.03009811770812</c:v>
                </c:pt>
                <c:pt idx="184">
                  <c:v>530.05705760374815</c:v>
                </c:pt>
                <c:pt idx="185">
                  <c:v>531.08601063569358</c:v>
                </c:pt>
                <c:pt idx="186">
                  <c:v>532.11696108343949</c:v>
                </c:pt>
                <c:pt idx="187">
                  <c:v>533.14991282439291</c:v>
                </c:pt>
                <c:pt idx="188">
                  <c:v>534.18486974348787</c:v>
                </c:pt>
                <c:pt idx="189">
                  <c:v>535.22183573320001</c:v>
                </c:pt>
                <c:pt idx="190">
                  <c:v>536.26081469356086</c:v>
                </c:pt>
                <c:pt idx="191">
                  <c:v>537.30181053217302</c:v>
                </c:pt>
                <c:pt idx="192">
                  <c:v>538.34482716422428</c:v>
                </c:pt>
                <c:pt idx="193">
                  <c:v>539.38986851250297</c:v>
                </c:pt>
                <c:pt idx="194">
                  <c:v>540.43693850741192</c:v>
                </c:pt>
                <c:pt idx="195">
                  <c:v>541.48604108698407</c:v>
                </c:pt>
                <c:pt idx="196">
                  <c:v>542.53718019689688</c:v>
                </c:pt>
                <c:pt idx="197">
                  <c:v>543.59035979048713</c:v>
                </c:pt>
                <c:pt idx="198">
                  <c:v>544.64558382876589</c:v>
                </c:pt>
                <c:pt idx="199">
                  <c:v>545.70285628043325</c:v>
                </c:pt>
                <c:pt idx="200">
                  <c:v>546.76218112189372</c:v>
                </c:pt>
                <c:pt idx="201">
                  <c:v>547.82356233727046</c:v>
                </c:pt>
                <c:pt idx="202">
                  <c:v>548.88700391842099</c:v>
                </c:pt>
                <c:pt idx="203">
                  <c:v>549.95250986495159</c:v>
                </c:pt>
                <c:pt idx="204">
                  <c:v>551.02008418423293</c:v>
                </c:pt>
                <c:pt idx="205">
                  <c:v>552.08973089141455</c:v>
                </c:pt>
                <c:pt idx="206">
                  <c:v>553.16145400944038</c:v>
                </c:pt>
                <c:pt idx="207">
                  <c:v>554.23525756906372</c:v>
                </c:pt>
                <c:pt idx="208">
                  <c:v>555.31114560886249</c:v>
                </c:pt>
                <c:pt idx="209">
                  <c:v>556.3815586197652</c:v>
                </c:pt>
                <c:pt idx="210">
                  <c:v>557.45403494962522</c:v>
                </c:pt>
                <c:pt idx="211">
                  <c:v>755.77580300788691</c:v>
                </c:pt>
                <c:pt idx="212">
                  <c:v>754.83077989013861</c:v>
                </c:pt>
                <c:pt idx="213">
                  <c:v>753.88357971702521</c:v>
                </c:pt>
                <c:pt idx="214">
                  <c:v>752.93434036507426</c:v>
                </c:pt>
                <c:pt idx="215">
                  <c:v>751.97645976307786</c:v>
                </c:pt>
                <c:pt idx="216">
                  <c:v>751.01676687326153</c:v>
                </c:pt>
                <c:pt idx="217">
                  <c:v>750.05537893635278</c:v>
                </c:pt>
                <c:pt idx="218">
                  <c:v>749.09240653309996</c:v>
                </c:pt>
                <c:pt idx="219">
                  <c:v>748.12795409863486</c:v>
                </c:pt>
                <c:pt idx="220">
                  <c:v>747.16212038664094</c:v>
                </c:pt>
                <c:pt idx="221">
                  <c:v>746.19499888919677</c:v>
                </c:pt>
                <c:pt idx="222">
                  <c:v>745.22667821737446</c:v>
                </c:pt>
                <c:pt idx="223">
                  <c:v>744.25724244699438</c:v>
                </c:pt>
                <c:pt idx="224">
                  <c:v>743.28677143336552</c:v>
                </c:pt>
                <c:pt idx="225">
                  <c:v>742.31534109835547</c:v>
                </c:pt>
                <c:pt idx="226">
                  <c:v>741.34302369271074</c:v>
                </c:pt>
                <c:pt idx="227">
                  <c:v>740.36988803619556</c:v>
                </c:pt>
                <c:pt idx="228">
                  <c:v>739.39599973780298</c:v>
                </c:pt>
                <c:pt idx="229">
                  <c:v>738.42142139802877</c:v>
                </c:pt>
                <c:pt idx="230">
                  <c:v>737.44621279496744</c:v>
                </c:pt>
                <c:pt idx="231">
                  <c:v>736.47043105578769</c:v>
                </c:pt>
                <c:pt idx="232">
                  <c:v>735.49413081497119</c:v>
                </c:pt>
                <c:pt idx="233">
                  <c:v>734.51736436054671</c:v>
                </c:pt>
                <c:pt idx="234">
                  <c:v>733.54018176941554</c:v>
                </c:pt>
                <c:pt idx="235">
                  <c:v>732.56263103275182</c:v>
                </c:pt>
                <c:pt idx="236">
                  <c:v>731.5847581723549</c:v>
                </c:pt>
                <c:pt idx="237">
                  <c:v>730.60660734874</c:v>
                </c:pt>
                <c:pt idx="238">
                  <c:v>729.62822096167804</c:v>
                </c:pt>
                <c:pt idx="239">
                  <c:v>728.64963974381976</c:v>
                </c:pt>
                <c:pt idx="240">
                  <c:v>727.67090284797791</c:v>
                </c:pt>
                <c:pt idx="241">
                  <c:v>726.69204792858943</c:v>
                </c:pt>
                <c:pt idx="242">
                  <c:v>725.71311121782253</c:v>
                </c:pt>
                <c:pt idx="243">
                  <c:v>724.73412759675853</c:v>
                </c:pt>
                <c:pt idx="244">
                  <c:v>723.75513066202984</c:v>
                </c:pt>
                <c:pt idx="245">
                  <c:v>723.61844554280981</c:v>
                </c:pt>
                <c:pt idx="246">
                  <c:v>723.61844554280981</c:v>
                </c:pt>
                <c:pt idx="247">
                  <c:v>723.61844554280981</c:v>
                </c:pt>
                <c:pt idx="248">
                  <c:v>723.61844554280981</c:v>
                </c:pt>
                <c:pt idx="249">
                  <c:v>723.61844554280981</c:v>
                </c:pt>
                <c:pt idx="250">
                  <c:v>723.61844554280981</c:v>
                </c:pt>
                <c:pt idx="251">
                  <c:v>723.61844554280981</c:v>
                </c:pt>
                <c:pt idx="252">
                  <c:v>723.61844554280981</c:v>
                </c:pt>
                <c:pt idx="253">
                  <c:v>723.61844554280981</c:v>
                </c:pt>
                <c:pt idx="254">
                  <c:v>723.61844554280981</c:v>
                </c:pt>
                <c:pt idx="255">
                  <c:v>723.61844554280981</c:v>
                </c:pt>
                <c:pt idx="256">
                  <c:v>723.61844554280981</c:v>
                </c:pt>
                <c:pt idx="257">
                  <c:v>723.61844554280981</c:v>
                </c:pt>
                <c:pt idx="258">
                  <c:v>723.61844554280981</c:v>
                </c:pt>
                <c:pt idx="259">
                  <c:v>723.61844554280981</c:v>
                </c:pt>
                <c:pt idx="260">
                  <c:v>723.61844554280981</c:v>
                </c:pt>
                <c:pt idx="261">
                  <c:v>723.61844554280981</c:v>
                </c:pt>
                <c:pt idx="262">
                  <c:v>723.61844554280981</c:v>
                </c:pt>
                <c:pt idx="263">
                  <c:v>723.61844554280981</c:v>
                </c:pt>
                <c:pt idx="264">
                  <c:v>723.61844554280981</c:v>
                </c:pt>
                <c:pt idx="265">
                  <c:v>723.61844554280981</c:v>
                </c:pt>
                <c:pt idx="266">
                  <c:v>723.61844554280981</c:v>
                </c:pt>
                <c:pt idx="267">
                  <c:v>723.61844554280981</c:v>
                </c:pt>
                <c:pt idx="268">
                  <c:v>723.61844554280981</c:v>
                </c:pt>
                <c:pt idx="269">
                  <c:v>723.61844554280981</c:v>
                </c:pt>
                <c:pt idx="270">
                  <c:v>723.61844554280981</c:v>
                </c:pt>
                <c:pt idx="271">
                  <c:v>723.61844554280981</c:v>
                </c:pt>
                <c:pt idx="272">
                  <c:v>723.61844554280981</c:v>
                </c:pt>
                <c:pt idx="273">
                  <c:v>723.61844554280981</c:v>
                </c:pt>
                <c:pt idx="274">
                  <c:v>723.61844554280981</c:v>
                </c:pt>
                <c:pt idx="275">
                  <c:v>723.61844554280981</c:v>
                </c:pt>
                <c:pt idx="276">
                  <c:v>723.61844554280981</c:v>
                </c:pt>
                <c:pt idx="277">
                  <c:v>723.61844554280981</c:v>
                </c:pt>
                <c:pt idx="278">
                  <c:v>723.61844554280981</c:v>
                </c:pt>
                <c:pt idx="279">
                  <c:v>723.61844554280981</c:v>
                </c:pt>
                <c:pt idx="280">
                  <c:v>723.61844554280981</c:v>
                </c:pt>
                <c:pt idx="281">
                  <c:v>723.61844554280981</c:v>
                </c:pt>
                <c:pt idx="282">
                  <c:v>723.61844554280981</c:v>
                </c:pt>
                <c:pt idx="283">
                  <c:v>723.61844554280981</c:v>
                </c:pt>
                <c:pt idx="284">
                  <c:v>723.61844554280981</c:v>
                </c:pt>
                <c:pt idx="285">
                  <c:v>723.61844554280981</c:v>
                </c:pt>
                <c:pt idx="286">
                  <c:v>723.61844554280981</c:v>
                </c:pt>
                <c:pt idx="287">
                  <c:v>723.61844554280981</c:v>
                </c:pt>
                <c:pt idx="288">
                  <c:v>723.61844554280981</c:v>
                </c:pt>
                <c:pt idx="289">
                  <c:v>723.61844554280981</c:v>
                </c:pt>
                <c:pt idx="290">
                  <c:v>723.61844554280981</c:v>
                </c:pt>
                <c:pt idx="291">
                  <c:v>723.61844554280981</c:v>
                </c:pt>
                <c:pt idx="292">
                  <c:v>723.61844554280981</c:v>
                </c:pt>
                <c:pt idx="293">
                  <c:v>723.61844554280981</c:v>
                </c:pt>
                <c:pt idx="294">
                  <c:v>723.61844554280981</c:v>
                </c:pt>
                <c:pt idx="295">
                  <c:v>723.61844554280981</c:v>
                </c:pt>
                <c:pt idx="296">
                  <c:v>723.61844554280981</c:v>
                </c:pt>
                <c:pt idx="297">
                  <c:v>723.61844554280981</c:v>
                </c:pt>
                <c:pt idx="298">
                  <c:v>723.61844554280981</c:v>
                </c:pt>
                <c:pt idx="299">
                  <c:v>723.61844554280981</c:v>
                </c:pt>
                <c:pt idx="300">
                  <c:v>723.61844554280981</c:v>
                </c:pt>
                <c:pt idx="301">
                  <c:v>723.61844554280981</c:v>
                </c:pt>
                <c:pt idx="302">
                  <c:v>723.61844554280981</c:v>
                </c:pt>
                <c:pt idx="303">
                  <c:v>723.61844554280981</c:v>
                </c:pt>
                <c:pt idx="304">
                  <c:v>723.61844554280981</c:v>
                </c:pt>
                <c:pt idx="305">
                  <c:v>723.61844554280981</c:v>
                </c:pt>
                <c:pt idx="306">
                  <c:v>723.61844554280981</c:v>
                </c:pt>
                <c:pt idx="307">
                  <c:v>723.61844554280981</c:v>
                </c:pt>
                <c:pt idx="308">
                  <c:v>723.61844554280981</c:v>
                </c:pt>
                <c:pt idx="309">
                  <c:v>723.61844554280981</c:v>
                </c:pt>
                <c:pt idx="310">
                  <c:v>723.61844554280981</c:v>
                </c:pt>
                <c:pt idx="311">
                  <c:v>723.61844554280981</c:v>
                </c:pt>
                <c:pt idx="312">
                  <c:v>723.61844554280981</c:v>
                </c:pt>
                <c:pt idx="313">
                  <c:v>723.61844554280981</c:v>
                </c:pt>
                <c:pt idx="314">
                  <c:v>723.61844554280981</c:v>
                </c:pt>
              </c:numCache>
            </c:numRef>
          </c:yVal>
          <c:smooth val="1"/>
        </c:ser>
        <c:axId val="93943296"/>
        <c:axId val="93945216"/>
      </c:scatterChart>
      <c:valAx>
        <c:axId val="939432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Distance (m)</a:t>
                </a:r>
              </a:p>
            </c:rich>
          </c:tx>
          <c:layout>
            <c:manualLayout>
              <c:xMode val="edge"/>
              <c:yMode val="edge"/>
              <c:x val="0.43918633493497061"/>
              <c:y val="0.90722282955974043"/>
            </c:manualLayout>
          </c:layout>
        </c:title>
        <c:tickLblPos val="nextTo"/>
        <c:txPr>
          <a:bodyPr/>
          <a:lstStyle/>
          <a:p>
            <a:pPr>
              <a:defRPr sz="8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3945216"/>
        <c:crosses val="autoZero"/>
        <c:crossBetween val="midCat"/>
      </c:valAx>
      <c:valAx>
        <c:axId val="9394521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Force(N)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394329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6.2287539936102178E-2"/>
          <c:y val="6.9372316115034763E-2"/>
          <c:w val="0.10789350372736958"/>
          <c:h val="0.28952193839738616"/>
        </c:manualLayout>
      </c:layout>
      <c:overlay val="1"/>
      <c:txPr>
        <a:bodyPr/>
        <a:lstStyle/>
        <a:p>
          <a:pPr>
            <a:defRPr>
              <a:latin typeface="Times New Roman" pitchFamily="18" charset="0"/>
              <a:cs typeface="Times New Roman" pitchFamily="18" charset="0"/>
            </a:defRPr>
          </a:pPr>
          <a:endParaRPr lang="en-US"/>
        </a:p>
      </c:txPr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b="0">
                <a:latin typeface="Times New Roman" pitchFamily="18" charset="0"/>
                <a:cs typeface="Times New Roman" pitchFamily="18" charset="0"/>
              </a:defRPr>
            </a:pPr>
            <a:r>
              <a:rPr lang="en-US" b="0">
                <a:latin typeface="Times New Roman" pitchFamily="18" charset="0"/>
                <a:cs typeface="Times New Roman" pitchFamily="18" charset="0"/>
              </a:rPr>
              <a:t>Acceleration(m/s^2) vs Time (s)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Simulation!$R$4</c:f>
              <c:strCache>
                <c:ptCount val="1"/>
                <c:pt idx="0">
                  <c:v>Acceleration(m/s2)</c:v>
                </c:pt>
              </c:strCache>
            </c:strRef>
          </c:tx>
          <c:marker>
            <c:symbol val="none"/>
          </c:marker>
          <c:cat>
            <c:numRef>
              <c:f>Simulation!$O$5:$O$319</c:f>
              <c:numCache>
                <c:formatCode>General</c:formatCode>
                <c:ptCount val="315"/>
                <c:pt idx="0">
                  <c:v>0</c:v>
                </c:pt>
                <c:pt idx="1">
                  <c:v>1.5739692661133495</c:v>
                </c:pt>
                <c:pt idx="2">
                  <c:v>2.687374443640091</c:v>
                </c:pt>
                <c:pt idx="3">
                  <c:v>3.5968259528392506</c:v>
                </c:pt>
                <c:pt idx="4">
                  <c:v>4.3847458635645769</c:v>
                </c:pt>
                <c:pt idx="5">
                  <c:v>5.0897617753044599</c:v>
                </c:pt>
                <c:pt idx="6">
                  <c:v>5.7336049564232479</c:v>
                </c:pt>
                <c:pt idx="7">
                  <c:v>6.3299237062167943</c:v>
                </c:pt>
                <c:pt idx="8">
                  <c:v>6.8879494116925732</c:v>
                </c:pt>
                <c:pt idx="9">
                  <c:v>7.414269095291675</c:v>
                </c:pt>
                <c:pt idx="10">
                  <c:v>7.9137771433194679</c:v>
                </c:pt>
                <c:pt idx="11">
                  <c:v>8.3902275750464277</c:v>
                </c:pt>
                <c:pt idx="12">
                  <c:v>8.8465743402385542</c:v>
                </c:pt>
                <c:pt idx="13">
                  <c:v>9.2851912894378952</c:v>
                </c:pt>
                <c:pt idx="14">
                  <c:v>9.7080200394773932</c:v>
                </c:pt>
                <c:pt idx="15">
                  <c:v>10.116672664776249</c:v>
                </c:pt>
                <c:pt idx="16">
                  <c:v>10.51250501208871</c:v>
                </c:pt>
                <c:pt idx="17">
                  <c:v>10.896670296925555</c:v>
                </c:pt>
                <c:pt idx="18">
                  <c:v>11.270159098454965</c:v>
                </c:pt>
                <c:pt idx="19">
                  <c:v>11.63382974673268</c:v>
                </c:pt>
                <c:pt idx="20">
                  <c:v>11.988431780303211</c:v>
                </c:pt>
                <c:pt idx="21">
                  <c:v>12.334624312510991</c:v>
                </c:pt>
                <c:pt idx="22">
                  <c:v>12.672990594993271</c:v>
                </c:pt>
                <c:pt idx="23">
                  <c:v>13.004049698396306</c:v>
                </c:pt>
                <c:pt idx="24">
                  <c:v>13.328265978368163</c:v>
                </c:pt>
                <c:pt idx="25">
                  <c:v>13.646056819311351</c:v>
                </c:pt>
                <c:pt idx="26">
                  <c:v>13.95779902398141</c:v>
                </c:pt>
                <c:pt idx="27">
                  <c:v>14.263834127521241</c:v>
                </c:pt>
                <c:pt idx="28">
                  <c:v>14.56447284922776</c:v>
                </c:pt>
                <c:pt idx="29">
                  <c:v>14.859998847097268</c:v>
                </c:pt>
                <c:pt idx="30">
                  <c:v>15.150671904116287</c:v>
                </c:pt>
                <c:pt idx="31">
                  <c:v>15.436730647989583</c:v>
                </c:pt>
                <c:pt idx="32">
                  <c:v>15.718394885168149</c:v>
                </c:pt>
                <c:pt idx="33">
                  <c:v>15.995867613983272</c:v>
                </c:pt>
                <c:pt idx="34">
                  <c:v>16.269336769205932</c:v>
                </c:pt>
                <c:pt idx="35">
                  <c:v>16.538976740560109</c:v>
                </c:pt>
                <c:pt idx="36">
                  <c:v>16.804949699982746</c:v>
                </c:pt>
                <c:pt idx="37">
                  <c:v>17.067406766266725</c:v>
                </c:pt>
                <c:pt idx="38">
                  <c:v>17.326489030790366</c:v>
                </c:pt>
                <c:pt idx="39">
                  <c:v>17.582328464059319</c:v>
                </c:pt>
                <c:pt idx="40">
                  <c:v>17.835048719559762</c:v>
                </c:pt>
                <c:pt idx="41">
                  <c:v>18.084765848789072</c:v>
                </c:pt>
                <c:pt idx="42">
                  <c:v>18.331588939170508</c:v>
                </c:pt>
                <c:pt idx="43">
                  <c:v>18.575620684777778</c:v>
                </c:pt>
                <c:pt idx="44">
                  <c:v>18.816957898320112</c:v>
                </c:pt>
                <c:pt idx="45">
                  <c:v>19.055691971610546</c:v>
                </c:pt>
                <c:pt idx="46">
                  <c:v>19.291909290713541</c:v>
                </c:pt>
                <c:pt idx="47">
                  <c:v>19.525691611106215</c:v>
                </c:pt>
                <c:pt idx="48">
                  <c:v>19.757116397461129</c:v>
                </c:pt>
                <c:pt idx="49">
                  <c:v>19.986257132043885</c:v>
                </c:pt>
                <c:pt idx="50">
                  <c:v>20.213183595196895</c:v>
                </c:pt>
                <c:pt idx="51">
                  <c:v>20.437962120935879</c:v>
                </c:pt>
                <c:pt idx="52">
                  <c:v>20.660655830305416</c:v>
                </c:pt>
                <c:pt idx="53">
                  <c:v>20.881324844813573</c:v>
                </c:pt>
                <c:pt idx="54">
                  <c:v>21.100026481985079</c:v>
                </c:pt>
                <c:pt idx="55">
                  <c:v>21.316815434830183</c:v>
                </c:pt>
                <c:pt idx="56">
                  <c:v>21.531743936816795</c:v>
                </c:pt>
                <c:pt idx="57">
                  <c:v>21.744861913751599</c:v>
                </c:pt>
                <c:pt idx="58">
                  <c:v>21.956217123817481</c:v>
                </c:pt>
                <c:pt idx="59">
                  <c:v>22.165855286876656</c:v>
                </c:pt>
                <c:pt idx="60">
                  <c:v>22.37382020402806</c:v>
                </c:pt>
                <c:pt idx="61">
                  <c:v>22.580153868301824</c:v>
                </c:pt>
                <c:pt idx="62">
                  <c:v>22.786487532575588</c:v>
                </c:pt>
                <c:pt idx="63">
                  <c:v>22.992821196849352</c:v>
                </c:pt>
                <c:pt idx="64">
                  <c:v>23.199154861123116</c:v>
                </c:pt>
                <c:pt idx="65">
                  <c:v>23.40548852539688</c:v>
                </c:pt>
                <c:pt idx="66">
                  <c:v>23.603716472196488</c:v>
                </c:pt>
                <c:pt idx="67">
                  <c:v>23.794740289614957</c:v>
                </c:pt>
                <c:pt idx="68">
                  <c:v>23.979306303691896</c:v>
                </c:pt>
                <c:pt idx="69">
                  <c:v>24.158040594196915</c:v>
                </c:pt>
                <c:pt idx="70">
                  <c:v>24.331474471188677</c:v>
                </c:pt>
                <c:pt idx="71">
                  <c:v>24.500063407563001</c:v>
                </c:pt>
                <c:pt idx="72">
                  <c:v>24.664201371263079</c:v>
                </c:pt>
                <c:pt idx="73">
                  <c:v>24.824231853459594</c:v>
                </c:pt>
                <c:pt idx="74">
                  <c:v>24.980456478321866</c:v>
                </c:pt>
                <c:pt idx="75">
                  <c:v>25.133141812476051</c:v>
                </c:pt>
                <c:pt idx="76">
                  <c:v>25.282524813832008</c:v>
                </c:pt>
                <c:pt idx="77">
                  <c:v>25.428817237945516</c:v>
                </c:pt>
                <c:pt idx="78">
                  <c:v>25.572209235738761</c:v>
                </c:pt>
                <c:pt idx="79">
                  <c:v>25.712872316847321</c:v>
                </c:pt>
                <c:pt idx="80">
                  <c:v>25.850961810150043</c:v>
                </c:pt>
                <c:pt idx="81">
                  <c:v>25.986618921966713</c:v>
                </c:pt>
                <c:pt idx="82">
                  <c:v>26.119972469507921</c:v>
                </c:pt>
                <c:pt idx="83">
                  <c:v>26.251140350079066</c:v>
                </c:pt>
                <c:pt idx="84">
                  <c:v>26.380201469464552</c:v>
                </c:pt>
                <c:pt idx="85">
                  <c:v>26.507258251539461</c:v>
                </c:pt>
                <c:pt idx="86">
                  <c:v>26.632405132822306</c:v>
                </c:pt>
                <c:pt idx="87">
                  <c:v>26.755729407453043</c:v>
                </c:pt>
                <c:pt idx="88">
                  <c:v>26.877311960639695</c:v>
                </c:pt>
                <c:pt idx="89">
                  <c:v>26.997227908052182</c:v>
                </c:pt>
                <c:pt idx="90">
                  <c:v>27.115547155494518</c:v>
                </c:pt>
                <c:pt idx="91">
                  <c:v>27.23233489067551</c:v>
                </c:pt>
                <c:pt idx="92">
                  <c:v>27.347652016881312</c:v>
                </c:pt>
                <c:pt idx="93">
                  <c:v>27.461555536723367</c:v>
                </c:pt>
                <c:pt idx="94">
                  <c:v>27.574098892810238</c:v>
                </c:pt>
                <c:pt idx="95">
                  <c:v>27.685332271108649</c:v>
                </c:pt>
                <c:pt idx="96">
                  <c:v>27.795302871868827</c:v>
                </c:pt>
                <c:pt idx="97">
                  <c:v>27.904055152253967</c:v>
                </c:pt>
                <c:pt idx="98">
                  <c:v>28.011631044203366</c:v>
                </c:pt>
                <c:pt idx="99">
                  <c:v>28.118070150550064</c:v>
                </c:pt>
                <c:pt idx="100">
                  <c:v>28.223409921987837</c:v>
                </c:pt>
                <c:pt idx="101">
                  <c:v>28.327685817124237</c:v>
                </c:pt>
                <c:pt idx="102">
                  <c:v>28.430931447554102</c:v>
                </c:pt>
                <c:pt idx="103">
                  <c:v>28.533178709631841</c:v>
                </c:pt>
                <c:pt idx="104">
                  <c:v>28.634457904403018</c:v>
                </c:pt>
                <c:pt idx="105">
                  <c:v>28.734797846969965</c:v>
                </c:pt>
                <c:pt idx="106">
                  <c:v>28.834225966407082</c:v>
                </c:pt>
                <c:pt idx="107">
                  <c:v>28.932768397204917</c:v>
                </c:pt>
                <c:pt idx="108">
                  <c:v>29.030450063104453</c:v>
                </c:pt>
                <c:pt idx="109">
                  <c:v>29.127294754081394</c:v>
                </c:pt>
                <c:pt idx="110">
                  <c:v>29.223325197152196</c:v>
                </c:pt>
                <c:pt idx="111">
                  <c:v>29.318557591261612</c:v>
                </c:pt>
                <c:pt idx="112">
                  <c:v>29.413013016835464</c:v>
                </c:pt>
                <c:pt idx="113">
                  <c:v>29.506711654040085</c:v>
                </c:pt>
                <c:pt idx="114">
                  <c:v>29.599672835616563</c:v>
                </c:pt>
                <c:pt idx="115">
                  <c:v>29.691915095796176</c:v>
                </c:pt>
                <c:pt idx="116">
                  <c:v>29.783456215646446</c:v>
                </c:pt>
                <c:pt idx="117">
                  <c:v>29.874313265160971</c:v>
                </c:pt>
                <c:pt idx="118">
                  <c:v>29.964502642374292</c:v>
                </c:pt>
                <c:pt idx="119">
                  <c:v>30.054040109754737</c:v>
                </c:pt>
                <c:pt idx="120">
                  <c:v>30.142940828103196</c:v>
                </c:pt>
                <c:pt idx="121">
                  <c:v>30.231219388163527</c:v>
                </c:pt>
                <c:pt idx="122">
                  <c:v>30.318889840130584</c:v>
                </c:pt>
                <c:pt idx="123">
                  <c:v>30.405965721224202</c:v>
                </c:pt>
                <c:pt idx="124">
                  <c:v>30.492460081481852</c:v>
                </c:pt>
                <c:pt idx="125">
                  <c:v>30.578385507908521</c:v>
                </c:pt>
                <c:pt idx="126">
                  <c:v>30.663754147109952</c:v>
                </c:pt>
                <c:pt idx="127">
                  <c:v>30.748577726523951</c:v>
                </c:pt>
                <c:pt idx="128">
                  <c:v>30.832867574354488</c:v>
                </c:pt>
                <c:pt idx="129">
                  <c:v>30.916634638304075</c:v>
                </c:pt>
                <c:pt idx="130">
                  <c:v>30.999889503191824</c:v>
                </c:pt>
                <c:pt idx="131">
                  <c:v>31.082642407537087</c:v>
                </c:pt>
                <c:pt idx="132">
                  <c:v>31.164903259181937</c:v>
                </c:pt>
                <c:pt idx="133">
                  <c:v>31.246681650019685</c:v>
                </c:pt>
                <c:pt idx="134">
                  <c:v>31.327986869891173</c:v>
                </c:pt>
                <c:pt idx="135">
                  <c:v>31.408827919705555</c:v>
                </c:pt>
                <c:pt idx="136">
                  <c:v>31.489213523837812</c:v>
                </c:pt>
                <c:pt idx="137">
                  <c:v>31.569152141851134</c:v>
                </c:pt>
                <c:pt idx="138">
                  <c:v>31.648651979588539</c:v>
                </c:pt>
                <c:pt idx="139">
                  <c:v>31.727720999674702</c:v>
                </c:pt>
                <c:pt idx="140">
                  <c:v>31.806366931465874</c:v>
                </c:pt>
                <c:pt idx="141">
                  <c:v>31.884597280482932</c:v>
                </c:pt>
                <c:pt idx="142">
                  <c:v>31.962419337359961</c:v>
                </c:pt>
                <c:pt idx="143">
                  <c:v>32.039840186338445</c:v>
                </c:pt>
                <c:pt idx="144">
                  <c:v>32.116866713334943</c:v>
                </c:pt>
                <c:pt idx="145">
                  <c:v>32.19350561360811</c:v>
                </c:pt>
                <c:pt idx="146">
                  <c:v>32.269763399049125</c:v>
                </c:pt>
                <c:pt idx="147">
                  <c:v>32.345646405117876</c:v>
                </c:pt>
                <c:pt idx="148">
                  <c:v>32.421160797445715</c:v>
                </c:pt>
                <c:pt idx="149">
                  <c:v>32.496312578124119</c:v>
                </c:pt>
                <c:pt idx="150">
                  <c:v>32.571107591697398</c:v>
                </c:pt>
                <c:pt idx="151">
                  <c:v>32.64555153087619</c:v>
                </c:pt>
                <c:pt idx="152">
                  <c:v>32.719649941987569</c:v>
                </c:pt>
                <c:pt idx="153">
                  <c:v>32.793408230176404</c:v>
                </c:pt>
                <c:pt idx="154">
                  <c:v>32.867057113587919</c:v>
                </c:pt>
                <c:pt idx="155">
                  <c:v>32.940705996999434</c:v>
                </c:pt>
                <c:pt idx="156">
                  <c:v>33.014354880410949</c:v>
                </c:pt>
                <c:pt idx="157">
                  <c:v>33.088003763822464</c:v>
                </c:pt>
                <c:pt idx="158">
                  <c:v>33.161652647233979</c:v>
                </c:pt>
                <c:pt idx="159">
                  <c:v>33.235301530645494</c:v>
                </c:pt>
                <c:pt idx="160">
                  <c:v>33.308950414057009</c:v>
                </c:pt>
                <c:pt idx="161">
                  <c:v>33.382599297468524</c:v>
                </c:pt>
                <c:pt idx="162">
                  <c:v>33.456248180880038</c:v>
                </c:pt>
                <c:pt idx="163">
                  <c:v>33.529897064291553</c:v>
                </c:pt>
                <c:pt idx="164">
                  <c:v>33.603545947703068</c:v>
                </c:pt>
                <c:pt idx="165">
                  <c:v>33.677194831114583</c:v>
                </c:pt>
                <c:pt idx="166">
                  <c:v>33.750843714526098</c:v>
                </c:pt>
                <c:pt idx="167">
                  <c:v>33.824492597937613</c:v>
                </c:pt>
                <c:pt idx="168">
                  <c:v>33.898141481349128</c:v>
                </c:pt>
                <c:pt idx="169">
                  <c:v>33.971790364760643</c:v>
                </c:pt>
                <c:pt idx="170">
                  <c:v>34.045439248172158</c:v>
                </c:pt>
                <c:pt idx="171">
                  <c:v>34.119088131583673</c:v>
                </c:pt>
                <c:pt idx="172">
                  <c:v>34.192737014995188</c:v>
                </c:pt>
                <c:pt idx="173">
                  <c:v>34.266385898406703</c:v>
                </c:pt>
                <c:pt idx="174">
                  <c:v>34.340466490468039</c:v>
                </c:pt>
                <c:pt idx="175">
                  <c:v>34.414987333505771</c:v>
                </c:pt>
                <c:pt idx="176">
                  <c:v>34.489957248959136</c:v>
                </c:pt>
                <c:pt idx="177">
                  <c:v>34.565385350278945</c:v>
                </c:pt>
                <c:pt idx="178">
                  <c:v>34.641281056602431</c:v>
                </c:pt>
                <c:pt idx="179">
                  <c:v>34.717654107261822</c:v>
                </c:pt>
                <c:pt idx="180">
                  <c:v>34.79451457718956</c:v>
                </c:pt>
                <c:pt idx="181">
                  <c:v>34.871872893288838</c:v>
                </c:pt>
                <c:pt idx="182">
                  <c:v>34.94973985184442</c:v>
                </c:pt>
                <c:pt idx="183">
                  <c:v>35.02812663705555</c:v>
                </c:pt>
                <c:pt idx="184">
                  <c:v>35.107044840780752</c:v>
                </c:pt>
                <c:pt idx="185">
                  <c:v>35.186506483592609</c:v>
                </c:pt>
                <c:pt idx="186">
                  <c:v>35.266524037250413</c:v>
                </c:pt>
                <c:pt idx="187">
                  <c:v>35.347110448709003</c:v>
                </c:pt>
                <c:pt idx="188">
                  <c:v>35.428279165794159</c:v>
                </c:pt>
                <c:pt idx="189">
                  <c:v>35.51004416468804</c:v>
                </c:pt>
                <c:pt idx="190">
                  <c:v>35.592419979383095</c:v>
                </c:pt>
                <c:pt idx="191">
                  <c:v>35.6754217332794</c:v>
                </c:pt>
                <c:pt idx="192">
                  <c:v>35.759065173119225</c:v>
                </c:pt>
                <c:pt idx="193">
                  <c:v>35.843366705473507</c:v>
                </c:pt>
                <c:pt idx="194">
                  <c:v>35.9283434360187</c:v>
                </c:pt>
                <c:pt idx="195">
                  <c:v>36.014013211869276</c:v>
                </c:pt>
                <c:pt idx="196">
                  <c:v>36.100394667261376</c:v>
                </c:pt>
                <c:pt idx="197">
                  <c:v>36.187507272917557</c:v>
                </c:pt>
                <c:pt idx="198">
                  <c:v>36.275371389461711</c:v>
                </c:pt>
                <c:pt idx="199">
                  <c:v>36.364008325297597</c:v>
                </c:pt>
                <c:pt idx="200">
                  <c:v>36.453440399415442</c:v>
                </c:pt>
                <c:pt idx="201">
                  <c:v>36.543691009649145</c:v>
                </c:pt>
                <c:pt idx="202">
                  <c:v>36.634784706973392</c:v>
                </c:pt>
                <c:pt idx="203">
                  <c:v>36.726747276506813</c:v>
                </c:pt>
                <c:pt idx="204">
                  <c:v>36.819605825975941</c:v>
                </c:pt>
                <c:pt idx="205">
                  <c:v>36.913388882497038</c:v>
                </c:pt>
                <c:pt idx="206">
                  <c:v>37.00812649865194</c:v>
                </c:pt>
                <c:pt idx="207">
                  <c:v>37.103850368972076</c:v>
                </c:pt>
                <c:pt idx="208">
                  <c:v>37.200593958106467</c:v>
                </c:pt>
                <c:pt idx="209">
                  <c:v>37.298385118451762</c:v>
                </c:pt>
                <c:pt idx="210">
                  <c:v>37.397260755518516</c:v>
                </c:pt>
                <c:pt idx="211">
                  <c:v>37.497259966646538</c:v>
                </c:pt>
                <c:pt idx="212">
                  <c:v>37.595992520555583</c:v>
                </c:pt>
                <c:pt idx="213">
                  <c:v>37.69350685921156</c:v>
                </c:pt>
                <c:pt idx="214">
                  <c:v>37.789848437675523</c:v>
                </c:pt>
                <c:pt idx="215">
                  <c:v>37.885052131484869</c:v>
                </c:pt>
                <c:pt idx="216">
                  <c:v>37.979158702996152</c:v>
                </c:pt>
                <c:pt idx="217">
                  <c:v>38.072206558144707</c:v>
                </c:pt>
                <c:pt idx="218">
                  <c:v>38.164231932624304</c:v>
                </c:pt>
                <c:pt idx="219">
                  <c:v>38.255269059578637</c:v>
                </c:pt>
                <c:pt idx="220">
                  <c:v>38.345350320999756</c:v>
                </c:pt>
                <c:pt idx="221">
                  <c:v>38.434506384727037</c:v>
                </c:pt>
                <c:pt idx="222">
                  <c:v>38.52276632868567</c:v>
                </c:pt>
                <c:pt idx="223">
                  <c:v>38.610157753787568</c:v>
                </c:pt>
                <c:pt idx="224">
                  <c:v>38.696706886733921</c:v>
                </c:pt>
                <c:pt idx="225">
                  <c:v>38.782438673801586</c:v>
                </c:pt>
                <c:pt idx="226">
                  <c:v>38.867376866561152</c:v>
                </c:pt>
                <c:pt idx="227">
                  <c:v>38.951544100358952</c:v>
                </c:pt>
                <c:pt idx="228">
                  <c:v>39.034961966295725</c:v>
                </c:pt>
                <c:pt idx="229">
                  <c:v>39.117651077348462</c:v>
                </c:pt>
                <c:pt idx="230">
                  <c:v>39.199631129207532</c:v>
                </c:pt>
                <c:pt idx="231">
                  <c:v>39.280920956336111</c:v>
                </c:pt>
                <c:pt idx="232">
                  <c:v>39.361538583702583</c:v>
                </c:pt>
                <c:pt idx="233">
                  <c:v>39.441501274587139</c:v>
                </c:pt>
                <c:pt idx="234">
                  <c:v>39.520825574820542</c:v>
                </c:pt>
                <c:pt idx="235">
                  <c:v>39.59952735377513</c:v>
                </c:pt>
                <c:pt idx="236">
                  <c:v>39.677621842394757</c:v>
                </c:pt>
                <c:pt idx="237">
                  <c:v>39.755123668520817</c:v>
                </c:pt>
                <c:pt idx="238">
                  <c:v>39.832046889745712</c:v>
                </c:pt>
                <c:pt idx="239">
                  <c:v>39.908405024001922</c:v>
                </c:pt>
                <c:pt idx="240">
                  <c:v>39.984211078074523</c:v>
                </c:pt>
                <c:pt idx="241">
                  <c:v>40.059477574206831</c:v>
                </c:pt>
                <c:pt idx="242">
                  <c:v>40.134216574952731</c:v>
                </c:pt>
                <c:pt idx="243">
                  <c:v>40.208439706414829</c:v>
                </c:pt>
                <c:pt idx="244">
                  <c:v>40.282158179994681</c:v>
                </c:pt>
                <c:pt idx="245">
                  <c:v>40.355807063406196</c:v>
                </c:pt>
                <c:pt idx="246">
                  <c:v>40.429455946817711</c:v>
                </c:pt>
                <c:pt idx="247">
                  <c:v>40.503104830229226</c:v>
                </c:pt>
                <c:pt idx="248">
                  <c:v>40.576753713640741</c:v>
                </c:pt>
                <c:pt idx="249">
                  <c:v>40.650402597052256</c:v>
                </c:pt>
                <c:pt idx="250">
                  <c:v>40.724051480463771</c:v>
                </c:pt>
                <c:pt idx="251">
                  <c:v>40.797700363875286</c:v>
                </c:pt>
                <c:pt idx="252">
                  <c:v>40.871349247286801</c:v>
                </c:pt>
                <c:pt idx="253">
                  <c:v>40.944998130698316</c:v>
                </c:pt>
                <c:pt idx="254">
                  <c:v>41.018647014109831</c:v>
                </c:pt>
                <c:pt idx="255">
                  <c:v>41.092295897521346</c:v>
                </c:pt>
                <c:pt idx="256">
                  <c:v>41.165944780932861</c:v>
                </c:pt>
                <c:pt idx="257">
                  <c:v>41.239593664344376</c:v>
                </c:pt>
                <c:pt idx="258">
                  <c:v>41.313242547755891</c:v>
                </c:pt>
                <c:pt idx="259">
                  <c:v>41.386891431167406</c:v>
                </c:pt>
                <c:pt idx="260">
                  <c:v>41.460540314578921</c:v>
                </c:pt>
                <c:pt idx="261">
                  <c:v>41.534189197990436</c:v>
                </c:pt>
                <c:pt idx="262">
                  <c:v>41.607838081401951</c:v>
                </c:pt>
                <c:pt idx="263">
                  <c:v>41.681486964813466</c:v>
                </c:pt>
                <c:pt idx="264">
                  <c:v>41.755135848224981</c:v>
                </c:pt>
                <c:pt idx="265">
                  <c:v>41.828784731636496</c:v>
                </c:pt>
                <c:pt idx="266">
                  <c:v>41.902433615048011</c:v>
                </c:pt>
                <c:pt idx="267">
                  <c:v>41.976082498459526</c:v>
                </c:pt>
                <c:pt idx="268">
                  <c:v>42.049731381871041</c:v>
                </c:pt>
                <c:pt idx="269">
                  <c:v>42.123380265282556</c:v>
                </c:pt>
                <c:pt idx="270">
                  <c:v>42.197029148694071</c:v>
                </c:pt>
                <c:pt idx="271">
                  <c:v>42.270678032105586</c:v>
                </c:pt>
                <c:pt idx="272">
                  <c:v>42.344326915517101</c:v>
                </c:pt>
                <c:pt idx="273">
                  <c:v>42.417975798928616</c:v>
                </c:pt>
                <c:pt idx="274">
                  <c:v>42.491624682340131</c:v>
                </c:pt>
                <c:pt idx="275">
                  <c:v>42.565273565751646</c:v>
                </c:pt>
                <c:pt idx="276">
                  <c:v>42.638922449163161</c:v>
                </c:pt>
                <c:pt idx="277">
                  <c:v>42.712571332574676</c:v>
                </c:pt>
                <c:pt idx="278">
                  <c:v>42.786220215986191</c:v>
                </c:pt>
                <c:pt idx="279">
                  <c:v>42.859869099397706</c:v>
                </c:pt>
                <c:pt idx="280">
                  <c:v>42.933517982809221</c:v>
                </c:pt>
                <c:pt idx="281">
                  <c:v>43.007166866220736</c:v>
                </c:pt>
                <c:pt idx="282">
                  <c:v>43.080815749632251</c:v>
                </c:pt>
                <c:pt idx="283">
                  <c:v>43.154464633043766</c:v>
                </c:pt>
                <c:pt idx="284">
                  <c:v>43.228113516455281</c:v>
                </c:pt>
                <c:pt idx="285">
                  <c:v>43.301762399866796</c:v>
                </c:pt>
                <c:pt idx="286">
                  <c:v>43.375411283278311</c:v>
                </c:pt>
                <c:pt idx="287">
                  <c:v>43.449060166689826</c:v>
                </c:pt>
                <c:pt idx="288">
                  <c:v>43.522709050101341</c:v>
                </c:pt>
                <c:pt idx="289">
                  <c:v>43.596357933512856</c:v>
                </c:pt>
                <c:pt idx="290">
                  <c:v>43.670006816924371</c:v>
                </c:pt>
                <c:pt idx="291">
                  <c:v>43.743655700335886</c:v>
                </c:pt>
                <c:pt idx="292">
                  <c:v>43.817304583747401</c:v>
                </c:pt>
                <c:pt idx="293">
                  <c:v>43.890953467158916</c:v>
                </c:pt>
                <c:pt idx="294">
                  <c:v>43.964602350570431</c:v>
                </c:pt>
                <c:pt idx="295">
                  <c:v>44.038251233981946</c:v>
                </c:pt>
                <c:pt idx="296">
                  <c:v>44.111900117393461</c:v>
                </c:pt>
                <c:pt idx="297">
                  <c:v>44.185549000804976</c:v>
                </c:pt>
                <c:pt idx="298">
                  <c:v>44.259197884216491</c:v>
                </c:pt>
                <c:pt idx="299">
                  <c:v>44.332846767628006</c:v>
                </c:pt>
                <c:pt idx="300">
                  <c:v>44.406495651039521</c:v>
                </c:pt>
                <c:pt idx="301">
                  <c:v>44.480144534451036</c:v>
                </c:pt>
                <c:pt idx="302">
                  <c:v>44.553793417862551</c:v>
                </c:pt>
                <c:pt idx="303">
                  <c:v>44.627442301274066</c:v>
                </c:pt>
                <c:pt idx="304">
                  <c:v>44.701091184685581</c:v>
                </c:pt>
                <c:pt idx="305">
                  <c:v>44.774740068097096</c:v>
                </c:pt>
                <c:pt idx="306">
                  <c:v>44.84838895150861</c:v>
                </c:pt>
                <c:pt idx="307">
                  <c:v>44.922037834920125</c:v>
                </c:pt>
                <c:pt idx="308">
                  <c:v>44.99568671833164</c:v>
                </c:pt>
                <c:pt idx="309">
                  <c:v>45.069335601743155</c:v>
                </c:pt>
                <c:pt idx="310">
                  <c:v>45.14298448515467</c:v>
                </c:pt>
                <c:pt idx="311">
                  <c:v>45.216633368566185</c:v>
                </c:pt>
                <c:pt idx="312">
                  <c:v>45.2902822519777</c:v>
                </c:pt>
                <c:pt idx="313">
                  <c:v>45.363931135389215</c:v>
                </c:pt>
                <c:pt idx="314">
                  <c:v>45.43758001880073</c:v>
                </c:pt>
              </c:numCache>
            </c:numRef>
          </c:cat>
          <c:val>
            <c:numRef>
              <c:f>Simulation!$R$5:$R$319</c:f>
              <c:numCache>
                <c:formatCode>General</c:formatCode>
                <c:ptCount val="315"/>
                <c:pt idx="0">
                  <c:v>0.20182618380488107</c:v>
                </c:pt>
                <c:pt idx="1">
                  <c:v>0.20150660688304753</c:v>
                </c:pt>
                <c:pt idx="2">
                  <c:v>0.20118753598777103</c:v>
                </c:pt>
                <c:pt idx="3">
                  <c:v>0.20086897031779627</c:v>
                </c:pt>
                <c:pt idx="4">
                  <c:v>0.20055090907313583</c:v>
                </c:pt>
                <c:pt idx="5">
                  <c:v>0.2002333514550694</c:v>
                </c:pt>
                <c:pt idx="6">
                  <c:v>0.19991629666614119</c:v>
                </c:pt>
                <c:pt idx="7">
                  <c:v>0.19959974391015825</c:v>
                </c:pt>
                <c:pt idx="8">
                  <c:v>0.19928369239218838</c:v>
                </c:pt>
                <c:pt idx="9">
                  <c:v>0.19896814131855814</c:v>
                </c:pt>
                <c:pt idx="10">
                  <c:v>0.19865308989685043</c:v>
                </c:pt>
                <c:pt idx="11">
                  <c:v>0.19833853733590354</c:v>
                </c:pt>
                <c:pt idx="12">
                  <c:v>0.19802448284580781</c:v>
                </c:pt>
                <c:pt idx="13">
                  <c:v>0.19771092563790499</c:v>
                </c:pt>
                <c:pt idx="14">
                  <c:v>0.19739786492478484</c:v>
                </c:pt>
                <c:pt idx="15">
                  <c:v>0.1970852999202849</c:v>
                </c:pt>
                <c:pt idx="16">
                  <c:v>0.1967732298394867</c:v>
                </c:pt>
                <c:pt idx="17">
                  <c:v>0.19646165389871495</c:v>
                </c:pt>
                <c:pt idx="18">
                  <c:v>0.19615057131553534</c:v>
                </c:pt>
                <c:pt idx="19">
                  <c:v>0.19583998130875241</c:v>
                </c:pt>
                <c:pt idx="20">
                  <c:v>0.19552988309840777</c:v>
                </c:pt>
                <c:pt idx="21">
                  <c:v>0.19522027590577767</c:v>
                </c:pt>
                <c:pt idx="22">
                  <c:v>0.19491115895337166</c:v>
                </c:pt>
                <c:pt idx="23">
                  <c:v>0.19460253146493059</c:v>
                </c:pt>
                <c:pt idx="24">
                  <c:v>0.19429439266542425</c:v>
                </c:pt>
                <c:pt idx="25">
                  <c:v>0.19398674178104941</c:v>
                </c:pt>
                <c:pt idx="26">
                  <c:v>0.19367957803922858</c:v>
                </c:pt>
                <c:pt idx="27">
                  <c:v>0.19337290066860729</c:v>
                </c:pt>
                <c:pt idx="28">
                  <c:v>0.19306670889905245</c:v>
                </c:pt>
                <c:pt idx="29">
                  <c:v>0.19276100196165061</c:v>
                </c:pt>
                <c:pt idx="30">
                  <c:v>0.19245577908870534</c:v>
                </c:pt>
                <c:pt idx="31">
                  <c:v>0.19215103951373663</c:v>
                </c:pt>
                <c:pt idx="32">
                  <c:v>0.19184678247147754</c:v>
                </c:pt>
                <c:pt idx="33">
                  <c:v>0.19154300719787282</c:v>
                </c:pt>
                <c:pt idx="34">
                  <c:v>0.19123971293007724</c:v>
                </c:pt>
                <c:pt idx="35">
                  <c:v>0.19093689890645377</c:v>
                </c:pt>
                <c:pt idx="36">
                  <c:v>0.19063456436657089</c:v>
                </c:pt>
                <c:pt idx="37">
                  <c:v>0.19033270855120116</c:v>
                </c:pt>
                <c:pt idx="38">
                  <c:v>0.19003133070231967</c:v>
                </c:pt>
                <c:pt idx="39">
                  <c:v>0.18973043006310195</c:v>
                </c:pt>
                <c:pt idx="40">
                  <c:v>0.18943000587792094</c:v>
                </c:pt>
                <c:pt idx="41">
                  <c:v>0.18913005739234731</c:v>
                </c:pt>
                <c:pt idx="42">
                  <c:v>0.18883058385314533</c:v>
                </c:pt>
                <c:pt idx="43">
                  <c:v>0.18853158450827259</c:v>
                </c:pt>
                <c:pt idx="44">
                  <c:v>0.18823305860687703</c:v>
                </c:pt>
                <c:pt idx="45">
                  <c:v>0.18793500539929581</c:v>
                </c:pt>
                <c:pt idx="46">
                  <c:v>0.1876374241370532</c:v>
                </c:pt>
                <c:pt idx="47">
                  <c:v>0.18734031407285809</c:v>
                </c:pt>
                <c:pt idx="48">
                  <c:v>0.18704367446060316</c:v>
                </c:pt>
                <c:pt idx="49">
                  <c:v>0.18674750455536263</c:v>
                </c:pt>
                <c:pt idx="50">
                  <c:v>0.18645180361338956</c:v>
                </c:pt>
                <c:pt idx="51">
                  <c:v>0.18615657089211549</c:v>
                </c:pt>
                <c:pt idx="52">
                  <c:v>0.18586180565014709</c:v>
                </c:pt>
                <c:pt idx="53">
                  <c:v>0.18556750714726522</c:v>
                </c:pt>
                <c:pt idx="54">
                  <c:v>0.18527367464442318</c:v>
                </c:pt>
                <c:pt idx="55">
                  <c:v>0.18498030740374388</c:v>
                </c:pt>
                <c:pt idx="56">
                  <c:v>0.18468740468851885</c:v>
                </c:pt>
                <c:pt idx="57">
                  <c:v>0.18439496576320655</c:v>
                </c:pt>
                <c:pt idx="58">
                  <c:v>0.18410298989342946</c:v>
                </c:pt>
                <c:pt idx="59">
                  <c:v>0.18381147634597317</c:v>
                </c:pt>
                <c:pt idx="60">
                  <c:v>0.18352042438878441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0.98011309032964278</c:v>
                </c:pt>
                <c:pt idx="66">
                  <c:v>0.97786137698169162</c:v>
                </c:pt>
                <c:pt idx="67">
                  <c:v>0.97564121797563996</c:v>
                </c:pt>
                <c:pt idx="68">
                  <c:v>0.97344959414047028</c:v>
                </c:pt>
                <c:pt idx="69">
                  <c:v>0.97128398483530731</c:v>
                </c:pt>
                <c:pt idx="70">
                  <c:v>0.96914225921321218</c:v>
                </c:pt>
                <c:pt idx="71">
                  <c:v>0.96702259623806464</c:v>
                </c:pt>
                <c:pt idx="72">
                  <c:v>0.96492342466934611</c:v>
                </c:pt>
                <c:pt idx="73">
                  <c:v>0.96284337723683899</c:v>
                </c:pt>
                <c:pt idx="74">
                  <c:v>0.96078125510559209</c:v>
                </c:pt>
                <c:pt idx="75">
                  <c:v>0.95873599993852987</c:v>
                </c:pt>
                <c:pt idx="76">
                  <c:v>0.95670667165943135</c:v>
                </c:pt>
                <c:pt idx="77">
                  <c:v>0.95469243055495889</c:v>
                </c:pt>
                <c:pt idx="78">
                  <c:v>0.95269252272285976</c:v>
                </c:pt>
                <c:pt idx="79">
                  <c:v>0.95070626813141967</c:v>
                </c:pt>
                <c:pt idx="80">
                  <c:v>0.948733050738791</c:v>
                </c:pt>
                <c:pt idx="81">
                  <c:v>0.94677231025342301</c:v>
                </c:pt>
                <c:pt idx="82">
                  <c:v>0.94482353521391094</c:v>
                </c:pt>
                <c:pt idx="83">
                  <c:v>0.95652240695160562</c:v>
                </c:pt>
                <c:pt idx="84">
                  <c:v>0.95454012926710707</c:v>
                </c:pt>
                <c:pt idx="85">
                  <c:v>0.95256898574027049</c:v>
                </c:pt>
                <c:pt idx="86">
                  <c:v>0.95060858866738795</c:v>
                </c:pt>
                <c:pt idx="87">
                  <c:v>0.94865857918347873</c:v>
                </c:pt>
                <c:pt idx="88">
                  <c:v>0.94671862428239562</c:v>
                </c:pt>
                <c:pt idx="89">
                  <c:v>0.94478841422293036</c:v>
                </c:pt>
                <c:pt idx="90">
                  <c:v>0.94286766026142377</c:v>
                </c:pt>
                <c:pt idx="91">
                  <c:v>0.94095609266193259</c:v>
                </c:pt>
                <c:pt idx="92">
                  <c:v>0.93905345894346004</c:v>
                </c:pt>
                <c:pt idx="93">
                  <c:v>0.93715952233056021</c:v>
                </c:pt>
                <c:pt idx="94">
                  <c:v>0.93527406037915162</c:v>
                </c:pt>
                <c:pt idx="95">
                  <c:v>0.93339686375387054</c:v>
                </c:pt>
                <c:pt idx="96">
                  <c:v>0.93152773513699183</c:v>
                </c:pt>
                <c:pt idx="97">
                  <c:v>0.92966648825198539</c:v>
                </c:pt>
                <c:pt idx="98">
                  <c:v>0.92781294698729033</c:v>
                </c:pt>
                <c:pt idx="99">
                  <c:v>0.92596694460799467</c:v>
                </c:pt>
                <c:pt idx="100">
                  <c:v>0.9241283230448496</c:v>
                </c:pt>
                <c:pt idx="101">
                  <c:v>0.92229693225152964</c:v>
                </c:pt>
                <c:pt idx="102">
                  <c:v>0.92047262962227538</c:v>
                </c:pt>
                <c:pt idx="103">
                  <c:v>0.91865527946311631</c:v>
                </c:pt>
                <c:pt idx="104">
                  <c:v>0.9168447525107547</c:v>
                </c:pt>
                <c:pt idx="105">
                  <c:v>0.91504092549394844</c:v>
                </c:pt>
                <c:pt idx="106">
                  <c:v>0.91324368073288364</c:v>
                </c:pt>
                <c:pt idx="107">
                  <c:v>0.91145290577258076</c:v>
                </c:pt>
                <c:pt idx="108">
                  <c:v>0.90966849304685737</c:v>
                </c:pt>
                <c:pt idx="109">
                  <c:v>0.9078903395697826</c:v>
                </c:pt>
                <c:pt idx="110">
                  <c:v>0.9125209934103472</c:v>
                </c:pt>
                <c:pt idx="111">
                  <c:v>0.91073003126834329</c:v>
                </c:pt>
                <c:pt idx="112">
                  <c:v>0.90894517119063956</c:v>
                </c:pt>
                <c:pt idx="113">
                  <c:v>0.90716632342967696</c:v>
                </c:pt>
                <c:pt idx="114">
                  <c:v>0.90539340172093397</c:v>
                </c:pt>
                <c:pt idx="115">
                  <c:v>0.903626323084053</c:v>
                </c:pt>
                <c:pt idx="116">
                  <c:v>0.90186500763846256</c:v>
                </c:pt>
                <c:pt idx="117">
                  <c:v>0.90010937843222472</c:v>
                </c:pt>
                <c:pt idx="118">
                  <c:v>0.89835936128295835</c:v>
                </c:pt>
                <c:pt idx="119">
                  <c:v>0.89661488462981442</c:v>
                </c:pt>
                <c:pt idx="120">
                  <c:v>0.89487587939557167</c:v>
                </c:pt>
                <c:pt idx="121">
                  <c:v>0.89314227885801845</c:v>
                </c:pt>
                <c:pt idx="122">
                  <c:v>0.89141401852986568</c:v>
                </c:pt>
                <c:pt idx="123">
                  <c:v>0.8896910360465079</c:v>
                </c:pt>
                <c:pt idx="124">
                  <c:v>0.88797327106100732</c:v>
                </c:pt>
                <c:pt idx="125">
                  <c:v>0.88626066514574553</c:v>
                </c:pt>
                <c:pt idx="126">
                  <c:v>0.88455316170022602</c:v>
                </c:pt>
                <c:pt idx="127">
                  <c:v>0.88285070586456305</c:v>
                </c:pt>
                <c:pt idx="128">
                  <c:v>0.88115324443823317</c:v>
                </c:pt>
                <c:pt idx="129">
                  <c:v>0.8794607258037016</c:v>
                </c:pt>
                <c:pt idx="130">
                  <c:v>0.87777309985456831</c:v>
                </c:pt>
                <c:pt idx="131">
                  <c:v>0.87609031792791137</c:v>
                </c:pt>
                <c:pt idx="132">
                  <c:v>0.87441233274052832</c:v>
                </c:pt>
                <c:pt idx="133">
                  <c:v>0.87273909832880581</c:v>
                </c:pt>
                <c:pt idx="134">
                  <c:v>0.87107056999196597</c:v>
                </c:pt>
                <c:pt idx="135">
                  <c:v>0.86940670423845923</c:v>
                </c:pt>
                <c:pt idx="136">
                  <c:v>0.86774745873529269</c:v>
                </c:pt>
                <c:pt idx="137">
                  <c:v>0.86609279226009916</c:v>
                </c:pt>
                <c:pt idx="138">
                  <c:v>0.8644426646557668</c:v>
                </c:pt>
                <c:pt idx="139">
                  <c:v>0.86279703678746211</c:v>
                </c:pt>
                <c:pt idx="140">
                  <c:v>0.86115587050189601</c:v>
                </c:pt>
                <c:pt idx="141">
                  <c:v>0.85951912858868762</c:v>
                </c:pt>
                <c:pt idx="142">
                  <c:v>0.85788677474369679</c:v>
                </c:pt>
                <c:pt idx="143">
                  <c:v>0.8562587735342021</c:v>
                </c:pt>
                <c:pt idx="144">
                  <c:v>0.85463509036581287</c:v>
                </c:pt>
                <c:pt idx="145">
                  <c:v>0.85301569145100831</c:v>
                </c:pt>
                <c:pt idx="146">
                  <c:v>0.8514005437792096</c:v>
                </c:pt>
                <c:pt idx="147">
                  <c:v>0.84978961508828987</c:v>
                </c:pt>
                <c:pt idx="148">
                  <c:v>0.84818287383744262</c:v>
                </c:pt>
                <c:pt idx="149">
                  <c:v>0.84658028918132633</c:v>
                </c:pt>
                <c:pt idx="150">
                  <c:v>0.84498183094541457</c:v>
                </c:pt>
                <c:pt idx="151">
                  <c:v>0.84338746960248023</c:v>
                </c:pt>
                <c:pt idx="152">
                  <c:v>0.84179717625015582</c:v>
                </c:pt>
                <c:pt idx="153">
                  <c:v>0.84021092258950247</c:v>
                </c:pt>
                <c:pt idx="154">
                  <c:v>0.83969622816293377</c:v>
                </c:pt>
                <c:pt idx="155">
                  <c:v>0.83969622816293377</c:v>
                </c:pt>
                <c:pt idx="156">
                  <c:v>0.83969622816293377</c:v>
                </c:pt>
                <c:pt idx="157">
                  <c:v>0.83969622816293377</c:v>
                </c:pt>
                <c:pt idx="158">
                  <c:v>0.83969622816293377</c:v>
                </c:pt>
                <c:pt idx="159">
                  <c:v>0.83969622816293377</c:v>
                </c:pt>
                <c:pt idx="160">
                  <c:v>0.83969622816293377</c:v>
                </c:pt>
                <c:pt idx="161">
                  <c:v>0.83969622816293377</c:v>
                </c:pt>
                <c:pt idx="162">
                  <c:v>0.83969622816293377</c:v>
                </c:pt>
                <c:pt idx="163">
                  <c:v>0.83969622816293377</c:v>
                </c:pt>
                <c:pt idx="164">
                  <c:v>0.83969622816293377</c:v>
                </c:pt>
                <c:pt idx="165">
                  <c:v>0.83969622816293377</c:v>
                </c:pt>
                <c:pt idx="166">
                  <c:v>0.83969622816293377</c:v>
                </c:pt>
                <c:pt idx="167">
                  <c:v>0.83969622816293377</c:v>
                </c:pt>
                <c:pt idx="168">
                  <c:v>0.83969622816293377</c:v>
                </c:pt>
                <c:pt idx="169">
                  <c:v>0.83969622816293377</c:v>
                </c:pt>
                <c:pt idx="170">
                  <c:v>0.83969622816293377</c:v>
                </c:pt>
                <c:pt idx="171">
                  <c:v>0.83969622816293377</c:v>
                </c:pt>
                <c:pt idx="172">
                  <c:v>0.83969622816293377</c:v>
                </c:pt>
                <c:pt idx="173">
                  <c:v>-1.0712397697600471</c:v>
                </c:pt>
                <c:pt idx="174">
                  <c:v>-1.073319273076196</c:v>
                </c:pt>
                <c:pt idx="175">
                  <c:v>-1.0754028131487876</c:v>
                </c:pt>
                <c:pt idx="176">
                  <c:v>-1.0774903978140207</c:v>
                </c:pt>
                <c:pt idx="177">
                  <c:v>-1.0795820349233063</c:v>
                </c:pt>
                <c:pt idx="178">
                  <c:v>-1.0816777323432976</c:v>
                </c:pt>
                <c:pt idx="179">
                  <c:v>-1.0837774979559167</c:v>
                </c:pt>
                <c:pt idx="180">
                  <c:v>-1.0858813396583882</c:v>
                </c:pt>
                <c:pt idx="181">
                  <c:v>-1.0879892653632655</c:v>
                </c:pt>
                <c:pt idx="182">
                  <c:v>-1.0901012829984622</c:v>
                </c:pt>
                <c:pt idx="183">
                  <c:v>-1.0922174005072824</c:v>
                </c:pt>
                <c:pt idx="184">
                  <c:v>-1.0943376258484487</c:v>
                </c:pt>
                <c:pt idx="185">
                  <c:v>-1.0964619669961342</c:v>
                </c:pt>
                <c:pt idx="186">
                  <c:v>-1.0985904319399915</c:v>
                </c:pt>
                <c:pt idx="187">
                  <c:v>-1.1007230286851819</c:v>
                </c:pt>
                <c:pt idx="188">
                  <c:v>-1.1028597652524073</c:v>
                </c:pt>
                <c:pt idx="189">
                  <c:v>-1.1050006496779392</c:v>
                </c:pt>
                <c:pt idx="190">
                  <c:v>-1.1071456900136492</c:v>
                </c:pt>
                <c:pt idx="191">
                  <c:v>-1.1092948943270395</c:v>
                </c:pt>
                <c:pt idx="192">
                  <c:v>-1.1114482707012727</c:v>
                </c:pt>
                <c:pt idx="193">
                  <c:v>-1.1136058272352027</c:v>
                </c:pt>
                <c:pt idx="194">
                  <c:v>-1.115767572043405</c:v>
                </c:pt>
                <c:pt idx="195">
                  <c:v>-1.1179335132562069</c:v>
                </c:pt>
                <c:pt idx="196">
                  <c:v>-1.1201036590197191</c:v>
                </c:pt>
                <c:pt idx="197">
                  <c:v>-1.1222780174958646</c:v>
                </c:pt>
                <c:pt idx="198">
                  <c:v>-1.1244565968624118</c:v>
                </c:pt>
                <c:pt idx="199">
                  <c:v>-1.1266394053130024</c:v>
                </c:pt>
                <c:pt idx="200">
                  <c:v>-1.1288264510571848</c:v>
                </c:pt>
                <c:pt idx="201">
                  <c:v>-1.1310177423204433</c:v>
                </c:pt>
                <c:pt idx="202">
                  <c:v>-1.1332132873442295</c:v>
                </c:pt>
                <c:pt idx="203">
                  <c:v>-1.1354130943859939</c:v>
                </c:pt>
                <c:pt idx="204">
                  <c:v>-1.1376171717192167</c:v>
                </c:pt>
                <c:pt idx="205">
                  <c:v>-1.1398255276334377</c:v>
                </c:pt>
                <c:pt idx="206">
                  <c:v>-1.1420381704342888</c:v>
                </c:pt>
                <c:pt idx="207">
                  <c:v>-1.1442551084435253</c:v>
                </c:pt>
                <c:pt idx="208">
                  <c:v>-1.1384321700416109</c:v>
                </c:pt>
                <c:pt idx="209">
                  <c:v>-1.1406266021477891</c:v>
                </c:pt>
                <c:pt idx="210">
                  <c:v>-1.1428252642225114</c:v>
                </c:pt>
                <c:pt idx="211">
                  <c:v>1.2911672646449974</c:v>
                </c:pt>
                <c:pt idx="212">
                  <c:v>1.2895527872972004</c:v>
                </c:pt>
                <c:pt idx="213">
                  <c:v>1.2879345906683553</c:v>
                </c:pt>
                <c:pt idx="214">
                  <c:v>1.2954020179447201</c:v>
                </c:pt>
                <c:pt idx="215">
                  <c:v>1.2937540117398569</c:v>
                </c:pt>
                <c:pt idx="216">
                  <c:v>1.2921028875455844</c:v>
                </c:pt>
                <c:pt idx="217">
                  <c:v>1.2904488470712245</c:v>
                </c:pt>
                <c:pt idx="218">
                  <c:v>1.288792080567795</c:v>
                </c:pt>
                <c:pt idx="219">
                  <c:v>1.2871327677129556</c:v>
                </c:pt>
                <c:pt idx="220">
                  <c:v>1.2854710784095971</c:v>
                </c:pt>
                <c:pt idx="221">
                  <c:v>1.2838071735081691</c:v>
                </c:pt>
                <c:pt idx="222">
                  <c:v>1.2821412054614891</c:v>
                </c:pt>
                <c:pt idx="223">
                  <c:v>1.2804733189196038</c:v>
                </c:pt>
                <c:pt idx="224">
                  <c:v>1.2788036512712906</c:v>
                </c:pt>
                <c:pt idx="225">
                  <c:v>1.2771323331379529</c:v>
                </c:pt>
                <c:pt idx="226">
                  <c:v>1.275459488824936</c:v>
                </c:pt>
                <c:pt idx="227">
                  <c:v>1.2737852367346774</c:v>
                </c:pt>
                <c:pt idx="228">
                  <c:v>1.2721096897455748</c:v>
                </c:pt>
                <c:pt idx="229">
                  <c:v>1.2704329555599929</c:v>
                </c:pt>
                <c:pt idx="230">
                  <c:v>1.268755137024435</c:v>
                </c:pt>
                <c:pt idx="231">
                  <c:v>1.2670763324245622</c:v>
                </c:pt>
                <c:pt idx="232">
                  <c:v>1.2653966357574391</c:v>
                </c:pt>
                <c:pt idx="233">
                  <c:v>1.2637161369831256</c:v>
                </c:pt>
                <c:pt idx="234">
                  <c:v>1.2620349222574989</c:v>
                </c:pt>
                <c:pt idx="235">
                  <c:v>1.2603530741480029</c:v>
                </c:pt>
                <c:pt idx="236">
                  <c:v>1.2586706718338285</c:v>
                </c:pt>
                <c:pt idx="237">
                  <c:v>1.2569877912918803</c:v>
                </c:pt>
                <c:pt idx="238">
                  <c:v>1.2553045054697525</c:v>
                </c:pt>
                <c:pt idx="239">
                  <c:v>1.2536208844468069</c:v>
                </c:pt>
                <c:pt idx="240">
                  <c:v>1.2519369955843387</c:v>
                </c:pt>
                <c:pt idx="241">
                  <c:v>1.2502529036657311</c:v>
                </c:pt>
                <c:pt idx="242">
                  <c:v>1.2485686710273942</c:v>
                </c:pt>
                <c:pt idx="243">
                  <c:v>1.2468843576812314</c:v>
                </c:pt>
                <c:pt idx="244">
                  <c:v>1.2452000214292889</c:v>
                </c:pt>
                <c:pt idx="245">
                  <c:v>1.2449648585873674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</c:numCache>
            </c:numRef>
          </c:val>
        </c:ser>
        <c:marker val="1"/>
        <c:axId val="93965696"/>
        <c:axId val="109184512"/>
      </c:lineChart>
      <c:catAx>
        <c:axId val="939656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Time(s)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 sz="8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9184512"/>
        <c:crosses val="autoZero"/>
        <c:auto val="1"/>
        <c:lblAlgn val="ctr"/>
        <c:lblOffset val="100"/>
      </c:catAx>
      <c:valAx>
        <c:axId val="10918451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Acceleration(m/s^2)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3965696"/>
        <c:crosses val="autoZero"/>
        <c:crossBetween val="between"/>
      </c:valAx>
    </c:plotArea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b="0">
                <a:latin typeface="Times New Roman" pitchFamily="18" charset="0"/>
                <a:cs typeface="Times New Roman" pitchFamily="18" charset="0"/>
              </a:defRPr>
            </a:pPr>
            <a:r>
              <a:rPr lang="en-US" b="0">
                <a:latin typeface="Times New Roman" pitchFamily="18" charset="0"/>
                <a:cs typeface="Times New Roman" pitchFamily="18" charset="0"/>
              </a:rPr>
              <a:t>BSFC vs Time(s)</a:t>
            </a:r>
          </a:p>
        </c:rich>
      </c:tx>
      <c:overlay val="1"/>
    </c:title>
    <c:plotArea>
      <c:layout/>
      <c:lineChart>
        <c:grouping val="standard"/>
        <c:ser>
          <c:idx val="0"/>
          <c:order val="0"/>
          <c:tx>
            <c:strRef>
              <c:f>Simulation!$K$4</c:f>
              <c:strCache>
                <c:ptCount val="1"/>
                <c:pt idx="0">
                  <c:v>BSFC</c:v>
                </c:pt>
              </c:strCache>
            </c:strRef>
          </c:tx>
          <c:marker>
            <c:symbol val="none"/>
          </c:marker>
          <c:cat>
            <c:numRef>
              <c:f>Simulation!$O$5:$O$319</c:f>
              <c:numCache>
                <c:formatCode>General</c:formatCode>
                <c:ptCount val="315"/>
                <c:pt idx="0">
                  <c:v>0</c:v>
                </c:pt>
                <c:pt idx="1">
                  <c:v>1.5739692661133495</c:v>
                </c:pt>
                <c:pt idx="2">
                  <c:v>2.687374443640091</c:v>
                </c:pt>
                <c:pt idx="3">
                  <c:v>3.5968259528392506</c:v>
                </c:pt>
                <c:pt idx="4">
                  <c:v>4.3847458635645769</c:v>
                </c:pt>
                <c:pt idx="5">
                  <c:v>5.0897617753044599</c:v>
                </c:pt>
                <c:pt idx="6">
                  <c:v>5.7336049564232479</c:v>
                </c:pt>
                <c:pt idx="7">
                  <c:v>6.3299237062167943</c:v>
                </c:pt>
                <c:pt idx="8">
                  <c:v>6.8879494116925732</c:v>
                </c:pt>
                <c:pt idx="9">
                  <c:v>7.414269095291675</c:v>
                </c:pt>
                <c:pt idx="10">
                  <c:v>7.9137771433194679</c:v>
                </c:pt>
                <c:pt idx="11">
                  <c:v>8.3902275750464277</c:v>
                </c:pt>
                <c:pt idx="12">
                  <c:v>8.8465743402385542</c:v>
                </c:pt>
                <c:pt idx="13">
                  <c:v>9.2851912894378952</c:v>
                </c:pt>
                <c:pt idx="14">
                  <c:v>9.7080200394773932</c:v>
                </c:pt>
                <c:pt idx="15">
                  <c:v>10.116672664776249</c:v>
                </c:pt>
                <c:pt idx="16">
                  <c:v>10.51250501208871</c:v>
                </c:pt>
                <c:pt idx="17">
                  <c:v>10.896670296925555</c:v>
                </c:pt>
                <c:pt idx="18">
                  <c:v>11.270159098454965</c:v>
                </c:pt>
                <c:pt idx="19">
                  <c:v>11.63382974673268</c:v>
                </c:pt>
                <c:pt idx="20">
                  <c:v>11.988431780303211</c:v>
                </c:pt>
                <c:pt idx="21">
                  <c:v>12.334624312510991</c:v>
                </c:pt>
                <c:pt idx="22">
                  <c:v>12.672990594993271</c:v>
                </c:pt>
                <c:pt idx="23">
                  <c:v>13.004049698396306</c:v>
                </c:pt>
                <c:pt idx="24">
                  <c:v>13.328265978368163</c:v>
                </c:pt>
                <c:pt idx="25">
                  <c:v>13.646056819311351</c:v>
                </c:pt>
                <c:pt idx="26">
                  <c:v>13.95779902398141</c:v>
                </c:pt>
                <c:pt idx="27">
                  <c:v>14.263834127521241</c:v>
                </c:pt>
                <c:pt idx="28">
                  <c:v>14.56447284922776</c:v>
                </c:pt>
                <c:pt idx="29">
                  <c:v>14.859998847097268</c:v>
                </c:pt>
                <c:pt idx="30">
                  <c:v>15.150671904116287</c:v>
                </c:pt>
                <c:pt idx="31">
                  <c:v>15.436730647989583</c:v>
                </c:pt>
                <c:pt idx="32">
                  <c:v>15.718394885168149</c:v>
                </c:pt>
                <c:pt idx="33">
                  <c:v>15.995867613983272</c:v>
                </c:pt>
                <c:pt idx="34">
                  <c:v>16.269336769205932</c:v>
                </c:pt>
                <c:pt idx="35">
                  <c:v>16.538976740560109</c:v>
                </c:pt>
                <c:pt idx="36">
                  <c:v>16.804949699982746</c:v>
                </c:pt>
                <c:pt idx="37">
                  <c:v>17.067406766266725</c:v>
                </c:pt>
                <c:pt idx="38">
                  <c:v>17.326489030790366</c:v>
                </c:pt>
                <c:pt idx="39">
                  <c:v>17.582328464059319</c:v>
                </c:pt>
                <c:pt idx="40">
                  <c:v>17.835048719559762</c:v>
                </c:pt>
                <c:pt idx="41">
                  <c:v>18.084765848789072</c:v>
                </c:pt>
                <c:pt idx="42">
                  <c:v>18.331588939170508</c:v>
                </c:pt>
                <c:pt idx="43">
                  <c:v>18.575620684777778</c:v>
                </c:pt>
                <c:pt idx="44">
                  <c:v>18.816957898320112</c:v>
                </c:pt>
                <c:pt idx="45">
                  <c:v>19.055691971610546</c:v>
                </c:pt>
                <c:pt idx="46">
                  <c:v>19.291909290713541</c:v>
                </c:pt>
                <c:pt idx="47">
                  <c:v>19.525691611106215</c:v>
                </c:pt>
                <c:pt idx="48">
                  <c:v>19.757116397461129</c:v>
                </c:pt>
                <c:pt idx="49">
                  <c:v>19.986257132043885</c:v>
                </c:pt>
                <c:pt idx="50">
                  <c:v>20.213183595196895</c:v>
                </c:pt>
                <c:pt idx="51">
                  <c:v>20.437962120935879</c:v>
                </c:pt>
                <c:pt idx="52">
                  <c:v>20.660655830305416</c:v>
                </c:pt>
                <c:pt idx="53">
                  <c:v>20.881324844813573</c:v>
                </c:pt>
                <c:pt idx="54">
                  <c:v>21.100026481985079</c:v>
                </c:pt>
                <c:pt idx="55">
                  <c:v>21.316815434830183</c:v>
                </c:pt>
                <c:pt idx="56">
                  <c:v>21.531743936816795</c:v>
                </c:pt>
                <c:pt idx="57">
                  <c:v>21.744861913751599</c:v>
                </c:pt>
                <c:pt idx="58">
                  <c:v>21.956217123817481</c:v>
                </c:pt>
                <c:pt idx="59">
                  <c:v>22.165855286876656</c:v>
                </c:pt>
                <c:pt idx="60">
                  <c:v>22.37382020402806</c:v>
                </c:pt>
                <c:pt idx="61">
                  <c:v>22.580153868301824</c:v>
                </c:pt>
                <c:pt idx="62">
                  <c:v>22.786487532575588</c:v>
                </c:pt>
                <c:pt idx="63">
                  <c:v>22.992821196849352</c:v>
                </c:pt>
                <c:pt idx="64">
                  <c:v>23.199154861123116</c:v>
                </c:pt>
                <c:pt idx="65">
                  <c:v>23.40548852539688</c:v>
                </c:pt>
                <c:pt idx="66">
                  <c:v>23.603716472196488</c:v>
                </c:pt>
                <c:pt idx="67">
                  <c:v>23.794740289614957</c:v>
                </c:pt>
                <c:pt idx="68">
                  <c:v>23.979306303691896</c:v>
                </c:pt>
                <c:pt idx="69">
                  <c:v>24.158040594196915</c:v>
                </c:pt>
                <c:pt idx="70">
                  <c:v>24.331474471188677</c:v>
                </c:pt>
                <c:pt idx="71">
                  <c:v>24.500063407563001</c:v>
                </c:pt>
                <c:pt idx="72">
                  <c:v>24.664201371263079</c:v>
                </c:pt>
                <c:pt idx="73">
                  <c:v>24.824231853459594</c:v>
                </c:pt>
                <c:pt idx="74">
                  <c:v>24.980456478321866</c:v>
                </c:pt>
                <c:pt idx="75">
                  <c:v>25.133141812476051</c:v>
                </c:pt>
                <c:pt idx="76">
                  <c:v>25.282524813832008</c:v>
                </c:pt>
                <c:pt idx="77">
                  <c:v>25.428817237945516</c:v>
                </c:pt>
                <c:pt idx="78">
                  <c:v>25.572209235738761</c:v>
                </c:pt>
                <c:pt idx="79">
                  <c:v>25.712872316847321</c:v>
                </c:pt>
                <c:pt idx="80">
                  <c:v>25.850961810150043</c:v>
                </c:pt>
                <c:pt idx="81">
                  <c:v>25.986618921966713</c:v>
                </c:pt>
                <c:pt idx="82">
                  <c:v>26.119972469507921</c:v>
                </c:pt>
                <c:pt idx="83">
                  <c:v>26.251140350079066</c:v>
                </c:pt>
                <c:pt idx="84">
                  <c:v>26.380201469464552</c:v>
                </c:pt>
                <c:pt idx="85">
                  <c:v>26.507258251539461</c:v>
                </c:pt>
                <c:pt idx="86">
                  <c:v>26.632405132822306</c:v>
                </c:pt>
                <c:pt idx="87">
                  <c:v>26.755729407453043</c:v>
                </c:pt>
                <c:pt idx="88">
                  <c:v>26.877311960639695</c:v>
                </c:pt>
                <c:pt idx="89">
                  <c:v>26.997227908052182</c:v>
                </c:pt>
                <c:pt idx="90">
                  <c:v>27.115547155494518</c:v>
                </c:pt>
                <c:pt idx="91">
                  <c:v>27.23233489067551</c:v>
                </c:pt>
                <c:pt idx="92">
                  <c:v>27.347652016881312</c:v>
                </c:pt>
                <c:pt idx="93">
                  <c:v>27.461555536723367</c:v>
                </c:pt>
                <c:pt idx="94">
                  <c:v>27.574098892810238</c:v>
                </c:pt>
                <c:pt idx="95">
                  <c:v>27.685332271108649</c:v>
                </c:pt>
                <c:pt idx="96">
                  <c:v>27.795302871868827</c:v>
                </c:pt>
                <c:pt idx="97">
                  <c:v>27.904055152253967</c:v>
                </c:pt>
                <c:pt idx="98">
                  <c:v>28.011631044203366</c:v>
                </c:pt>
                <c:pt idx="99">
                  <c:v>28.118070150550064</c:v>
                </c:pt>
                <c:pt idx="100">
                  <c:v>28.223409921987837</c:v>
                </c:pt>
                <c:pt idx="101">
                  <c:v>28.327685817124237</c:v>
                </c:pt>
                <c:pt idx="102">
                  <c:v>28.430931447554102</c:v>
                </c:pt>
                <c:pt idx="103">
                  <c:v>28.533178709631841</c:v>
                </c:pt>
                <c:pt idx="104">
                  <c:v>28.634457904403018</c:v>
                </c:pt>
                <c:pt idx="105">
                  <c:v>28.734797846969965</c:v>
                </c:pt>
                <c:pt idx="106">
                  <c:v>28.834225966407082</c:v>
                </c:pt>
                <c:pt idx="107">
                  <c:v>28.932768397204917</c:v>
                </c:pt>
                <c:pt idx="108">
                  <c:v>29.030450063104453</c:v>
                </c:pt>
                <c:pt idx="109">
                  <c:v>29.127294754081394</c:v>
                </c:pt>
                <c:pt idx="110">
                  <c:v>29.223325197152196</c:v>
                </c:pt>
                <c:pt idx="111">
                  <c:v>29.318557591261612</c:v>
                </c:pt>
                <c:pt idx="112">
                  <c:v>29.413013016835464</c:v>
                </c:pt>
                <c:pt idx="113">
                  <c:v>29.506711654040085</c:v>
                </c:pt>
                <c:pt idx="114">
                  <c:v>29.599672835616563</c:v>
                </c:pt>
                <c:pt idx="115">
                  <c:v>29.691915095796176</c:v>
                </c:pt>
                <c:pt idx="116">
                  <c:v>29.783456215646446</c:v>
                </c:pt>
                <c:pt idx="117">
                  <c:v>29.874313265160971</c:v>
                </c:pt>
                <c:pt idx="118">
                  <c:v>29.964502642374292</c:v>
                </c:pt>
                <c:pt idx="119">
                  <c:v>30.054040109754737</c:v>
                </c:pt>
                <c:pt idx="120">
                  <c:v>30.142940828103196</c:v>
                </c:pt>
                <c:pt idx="121">
                  <c:v>30.231219388163527</c:v>
                </c:pt>
                <c:pt idx="122">
                  <c:v>30.318889840130584</c:v>
                </c:pt>
                <c:pt idx="123">
                  <c:v>30.405965721224202</c:v>
                </c:pt>
                <c:pt idx="124">
                  <c:v>30.492460081481852</c:v>
                </c:pt>
                <c:pt idx="125">
                  <c:v>30.578385507908521</c:v>
                </c:pt>
                <c:pt idx="126">
                  <c:v>30.663754147109952</c:v>
                </c:pt>
                <c:pt idx="127">
                  <c:v>30.748577726523951</c:v>
                </c:pt>
                <c:pt idx="128">
                  <c:v>30.832867574354488</c:v>
                </c:pt>
                <c:pt idx="129">
                  <c:v>30.916634638304075</c:v>
                </c:pt>
                <c:pt idx="130">
                  <c:v>30.999889503191824</c:v>
                </c:pt>
                <c:pt idx="131">
                  <c:v>31.082642407537087</c:v>
                </c:pt>
                <c:pt idx="132">
                  <c:v>31.164903259181937</c:v>
                </c:pt>
                <c:pt idx="133">
                  <c:v>31.246681650019685</c:v>
                </c:pt>
                <c:pt idx="134">
                  <c:v>31.327986869891173</c:v>
                </c:pt>
                <c:pt idx="135">
                  <c:v>31.408827919705555</c:v>
                </c:pt>
                <c:pt idx="136">
                  <c:v>31.489213523837812</c:v>
                </c:pt>
                <c:pt idx="137">
                  <c:v>31.569152141851134</c:v>
                </c:pt>
                <c:pt idx="138">
                  <c:v>31.648651979588539</c:v>
                </c:pt>
                <c:pt idx="139">
                  <c:v>31.727720999674702</c:v>
                </c:pt>
                <c:pt idx="140">
                  <c:v>31.806366931465874</c:v>
                </c:pt>
                <c:pt idx="141">
                  <c:v>31.884597280482932</c:v>
                </c:pt>
                <c:pt idx="142">
                  <c:v>31.962419337359961</c:v>
                </c:pt>
                <c:pt idx="143">
                  <c:v>32.039840186338445</c:v>
                </c:pt>
                <c:pt idx="144">
                  <c:v>32.116866713334943</c:v>
                </c:pt>
                <c:pt idx="145">
                  <c:v>32.19350561360811</c:v>
                </c:pt>
                <c:pt idx="146">
                  <c:v>32.269763399049125</c:v>
                </c:pt>
                <c:pt idx="147">
                  <c:v>32.345646405117876</c:v>
                </c:pt>
                <c:pt idx="148">
                  <c:v>32.421160797445715</c:v>
                </c:pt>
                <c:pt idx="149">
                  <c:v>32.496312578124119</c:v>
                </c:pt>
                <c:pt idx="150">
                  <c:v>32.571107591697398</c:v>
                </c:pt>
                <c:pt idx="151">
                  <c:v>32.64555153087619</c:v>
                </c:pt>
                <c:pt idx="152">
                  <c:v>32.719649941987569</c:v>
                </c:pt>
                <c:pt idx="153">
                  <c:v>32.793408230176404</c:v>
                </c:pt>
                <c:pt idx="154">
                  <c:v>32.867057113587919</c:v>
                </c:pt>
                <c:pt idx="155">
                  <c:v>32.940705996999434</c:v>
                </c:pt>
                <c:pt idx="156">
                  <c:v>33.014354880410949</c:v>
                </c:pt>
                <c:pt idx="157">
                  <c:v>33.088003763822464</c:v>
                </c:pt>
                <c:pt idx="158">
                  <c:v>33.161652647233979</c:v>
                </c:pt>
                <c:pt idx="159">
                  <c:v>33.235301530645494</c:v>
                </c:pt>
                <c:pt idx="160">
                  <c:v>33.308950414057009</c:v>
                </c:pt>
                <c:pt idx="161">
                  <c:v>33.382599297468524</c:v>
                </c:pt>
                <c:pt idx="162">
                  <c:v>33.456248180880038</c:v>
                </c:pt>
                <c:pt idx="163">
                  <c:v>33.529897064291553</c:v>
                </c:pt>
                <c:pt idx="164">
                  <c:v>33.603545947703068</c:v>
                </c:pt>
                <c:pt idx="165">
                  <c:v>33.677194831114583</c:v>
                </c:pt>
                <c:pt idx="166">
                  <c:v>33.750843714526098</c:v>
                </c:pt>
                <c:pt idx="167">
                  <c:v>33.824492597937613</c:v>
                </c:pt>
                <c:pt idx="168">
                  <c:v>33.898141481349128</c:v>
                </c:pt>
                <c:pt idx="169">
                  <c:v>33.971790364760643</c:v>
                </c:pt>
                <c:pt idx="170">
                  <c:v>34.045439248172158</c:v>
                </c:pt>
                <c:pt idx="171">
                  <c:v>34.119088131583673</c:v>
                </c:pt>
                <c:pt idx="172">
                  <c:v>34.192737014995188</c:v>
                </c:pt>
                <c:pt idx="173">
                  <c:v>34.266385898406703</c:v>
                </c:pt>
                <c:pt idx="174">
                  <c:v>34.340466490468039</c:v>
                </c:pt>
                <c:pt idx="175">
                  <c:v>34.414987333505771</c:v>
                </c:pt>
                <c:pt idx="176">
                  <c:v>34.489957248959136</c:v>
                </c:pt>
                <c:pt idx="177">
                  <c:v>34.565385350278945</c:v>
                </c:pt>
                <c:pt idx="178">
                  <c:v>34.641281056602431</c:v>
                </c:pt>
                <c:pt idx="179">
                  <c:v>34.717654107261822</c:v>
                </c:pt>
                <c:pt idx="180">
                  <c:v>34.79451457718956</c:v>
                </c:pt>
                <c:pt idx="181">
                  <c:v>34.871872893288838</c:v>
                </c:pt>
                <c:pt idx="182">
                  <c:v>34.94973985184442</c:v>
                </c:pt>
                <c:pt idx="183">
                  <c:v>35.02812663705555</c:v>
                </c:pt>
                <c:pt idx="184">
                  <c:v>35.107044840780752</c:v>
                </c:pt>
                <c:pt idx="185">
                  <c:v>35.186506483592609</c:v>
                </c:pt>
                <c:pt idx="186">
                  <c:v>35.266524037250413</c:v>
                </c:pt>
                <c:pt idx="187">
                  <c:v>35.347110448709003</c:v>
                </c:pt>
                <c:pt idx="188">
                  <c:v>35.428279165794159</c:v>
                </c:pt>
                <c:pt idx="189">
                  <c:v>35.51004416468804</c:v>
                </c:pt>
                <c:pt idx="190">
                  <c:v>35.592419979383095</c:v>
                </c:pt>
                <c:pt idx="191">
                  <c:v>35.6754217332794</c:v>
                </c:pt>
                <c:pt idx="192">
                  <c:v>35.759065173119225</c:v>
                </c:pt>
                <c:pt idx="193">
                  <c:v>35.843366705473507</c:v>
                </c:pt>
                <c:pt idx="194">
                  <c:v>35.9283434360187</c:v>
                </c:pt>
                <c:pt idx="195">
                  <c:v>36.014013211869276</c:v>
                </c:pt>
                <c:pt idx="196">
                  <c:v>36.100394667261376</c:v>
                </c:pt>
                <c:pt idx="197">
                  <c:v>36.187507272917557</c:v>
                </c:pt>
                <c:pt idx="198">
                  <c:v>36.275371389461711</c:v>
                </c:pt>
                <c:pt idx="199">
                  <c:v>36.364008325297597</c:v>
                </c:pt>
                <c:pt idx="200">
                  <c:v>36.453440399415442</c:v>
                </c:pt>
                <c:pt idx="201">
                  <c:v>36.543691009649145</c:v>
                </c:pt>
                <c:pt idx="202">
                  <c:v>36.634784706973392</c:v>
                </c:pt>
                <c:pt idx="203">
                  <c:v>36.726747276506813</c:v>
                </c:pt>
                <c:pt idx="204">
                  <c:v>36.819605825975941</c:v>
                </c:pt>
                <c:pt idx="205">
                  <c:v>36.913388882497038</c:v>
                </c:pt>
                <c:pt idx="206">
                  <c:v>37.00812649865194</c:v>
                </c:pt>
                <c:pt idx="207">
                  <c:v>37.103850368972076</c:v>
                </c:pt>
                <c:pt idx="208">
                  <c:v>37.200593958106467</c:v>
                </c:pt>
                <c:pt idx="209">
                  <c:v>37.298385118451762</c:v>
                </c:pt>
                <c:pt idx="210">
                  <c:v>37.397260755518516</c:v>
                </c:pt>
                <c:pt idx="211">
                  <c:v>37.497259966646538</c:v>
                </c:pt>
                <c:pt idx="212">
                  <c:v>37.595992520555583</c:v>
                </c:pt>
                <c:pt idx="213">
                  <c:v>37.69350685921156</c:v>
                </c:pt>
                <c:pt idx="214">
                  <c:v>37.789848437675523</c:v>
                </c:pt>
                <c:pt idx="215">
                  <c:v>37.885052131484869</c:v>
                </c:pt>
                <c:pt idx="216">
                  <c:v>37.979158702996152</c:v>
                </c:pt>
                <c:pt idx="217">
                  <c:v>38.072206558144707</c:v>
                </c:pt>
                <c:pt idx="218">
                  <c:v>38.164231932624304</c:v>
                </c:pt>
                <c:pt idx="219">
                  <c:v>38.255269059578637</c:v>
                </c:pt>
                <c:pt idx="220">
                  <c:v>38.345350320999756</c:v>
                </c:pt>
                <c:pt idx="221">
                  <c:v>38.434506384727037</c:v>
                </c:pt>
                <c:pt idx="222">
                  <c:v>38.52276632868567</c:v>
                </c:pt>
                <c:pt idx="223">
                  <c:v>38.610157753787568</c:v>
                </c:pt>
                <c:pt idx="224">
                  <c:v>38.696706886733921</c:v>
                </c:pt>
                <c:pt idx="225">
                  <c:v>38.782438673801586</c:v>
                </c:pt>
                <c:pt idx="226">
                  <c:v>38.867376866561152</c:v>
                </c:pt>
                <c:pt idx="227">
                  <c:v>38.951544100358952</c:v>
                </c:pt>
                <c:pt idx="228">
                  <c:v>39.034961966295725</c:v>
                </c:pt>
                <c:pt idx="229">
                  <c:v>39.117651077348462</c:v>
                </c:pt>
                <c:pt idx="230">
                  <c:v>39.199631129207532</c:v>
                </c:pt>
                <c:pt idx="231">
                  <c:v>39.280920956336111</c:v>
                </c:pt>
                <c:pt idx="232">
                  <c:v>39.361538583702583</c:v>
                </c:pt>
                <c:pt idx="233">
                  <c:v>39.441501274587139</c:v>
                </c:pt>
                <c:pt idx="234">
                  <c:v>39.520825574820542</c:v>
                </c:pt>
                <c:pt idx="235">
                  <c:v>39.59952735377513</c:v>
                </c:pt>
                <c:pt idx="236">
                  <c:v>39.677621842394757</c:v>
                </c:pt>
                <c:pt idx="237">
                  <c:v>39.755123668520817</c:v>
                </c:pt>
                <c:pt idx="238">
                  <c:v>39.832046889745712</c:v>
                </c:pt>
                <c:pt idx="239">
                  <c:v>39.908405024001922</c:v>
                </c:pt>
                <c:pt idx="240">
                  <c:v>39.984211078074523</c:v>
                </c:pt>
                <c:pt idx="241">
                  <c:v>40.059477574206831</c:v>
                </c:pt>
                <c:pt idx="242">
                  <c:v>40.134216574952731</c:v>
                </c:pt>
                <c:pt idx="243">
                  <c:v>40.208439706414829</c:v>
                </c:pt>
                <c:pt idx="244">
                  <c:v>40.282158179994681</c:v>
                </c:pt>
                <c:pt idx="245">
                  <c:v>40.355807063406196</c:v>
                </c:pt>
                <c:pt idx="246">
                  <c:v>40.429455946817711</c:v>
                </c:pt>
                <c:pt idx="247">
                  <c:v>40.503104830229226</c:v>
                </c:pt>
                <c:pt idx="248">
                  <c:v>40.576753713640741</c:v>
                </c:pt>
                <c:pt idx="249">
                  <c:v>40.650402597052256</c:v>
                </c:pt>
                <c:pt idx="250">
                  <c:v>40.724051480463771</c:v>
                </c:pt>
                <c:pt idx="251">
                  <c:v>40.797700363875286</c:v>
                </c:pt>
                <c:pt idx="252">
                  <c:v>40.871349247286801</c:v>
                </c:pt>
                <c:pt idx="253">
                  <c:v>40.944998130698316</c:v>
                </c:pt>
                <c:pt idx="254">
                  <c:v>41.018647014109831</c:v>
                </c:pt>
                <c:pt idx="255">
                  <c:v>41.092295897521346</c:v>
                </c:pt>
                <c:pt idx="256">
                  <c:v>41.165944780932861</c:v>
                </c:pt>
                <c:pt idx="257">
                  <c:v>41.239593664344376</c:v>
                </c:pt>
                <c:pt idx="258">
                  <c:v>41.313242547755891</c:v>
                </c:pt>
                <c:pt idx="259">
                  <c:v>41.386891431167406</c:v>
                </c:pt>
                <c:pt idx="260">
                  <c:v>41.460540314578921</c:v>
                </c:pt>
                <c:pt idx="261">
                  <c:v>41.534189197990436</c:v>
                </c:pt>
                <c:pt idx="262">
                  <c:v>41.607838081401951</c:v>
                </c:pt>
                <c:pt idx="263">
                  <c:v>41.681486964813466</c:v>
                </c:pt>
                <c:pt idx="264">
                  <c:v>41.755135848224981</c:v>
                </c:pt>
                <c:pt idx="265">
                  <c:v>41.828784731636496</c:v>
                </c:pt>
                <c:pt idx="266">
                  <c:v>41.902433615048011</c:v>
                </c:pt>
                <c:pt idx="267">
                  <c:v>41.976082498459526</c:v>
                </c:pt>
                <c:pt idx="268">
                  <c:v>42.049731381871041</c:v>
                </c:pt>
                <c:pt idx="269">
                  <c:v>42.123380265282556</c:v>
                </c:pt>
                <c:pt idx="270">
                  <c:v>42.197029148694071</c:v>
                </c:pt>
                <c:pt idx="271">
                  <c:v>42.270678032105586</c:v>
                </c:pt>
                <c:pt idx="272">
                  <c:v>42.344326915517101</c:v>
                </c:pt>
                <c:pt idx="273">
                  <c:v>42.417975798928616</c:v>
                </c:pt>
                <c:pt idx="274">
                  <c:v>42.491624682340131</c:v>
                </c:pt>
                <c:pt idx="275">
                  <c:v>42.565273565751646</c:v>
                </c:pt>
                <c:pt idx="276">
                  <c:v>42.638922449163161</c:v>
                </c:pt>
                <c:pt idx="277">
                  <c:v>42.712571332574676</c:v>
                </c:pt>
                <c:pt idx="278">
                  <c:v>42.786220215986191</c:v>
                </c:pt>
                <c:pt idx="279">
                  <c:v>42.859869099397706</c:v>
                </c:pt>
                <c:pt idx="280">
                  <c:v>42.933517982809221</c:v>
                </c:pt>
                <c:pt idx="281">
                  <c:v>43.007166866220736</c:v>
                </c:pt>
                <c:pt idx="282">
                  <c:v>43.080815749632251</c:v>
                </c:pt>
                <c:pt idx="283">
                  <c:v>43.154464633043766</c:v>
                </c:pt>
                <c:pt idx="284">
                  <c:v>43.228113516455281</c:v>
                </c:pt>
                <c:pt idx="285">
                  <c:v>43.301762399866796</c:v>
                </c:pt>
                <c:pt idx="286">
                  <c:v>43.375411283278311</c:v>
                </c:pt>
                <c:pt idx="287">
                  <c:v>43.449060166689826</c:v>
                </c:pt>
                <c:pt idx="288">
                  <c:v>43.522709050101341</c:v>
                </c:pt>
                <c:pt idx="289">
                  <c:v>43.596357933512856</c:v>
                </c:pt>
                <c:pt idx="290">
                  <c:v>43.670006816924371</c:v>
                </c:pt>
                <c:pt idx="291">
                  <c:v>43.743655700335886</c:v>
                </c:pt>
                <c:pt idx="292">
                  <c:v>43.817304583747401</c:v>
                </c:pt>
                <c:pt idx="293">
                  <c:v>43.890953467158916</c:v>
                </c:pt>
                <c:pt idx="294">
                  <c:v>43.964602350570431</c:v>
                </c:pt>
                <c:pt idx="295">
                  <c:v>44.038251233981946</c:v>
                </c:pt>
                <c:pt idx="296">
                  <c:v>44.111900117393461</c:v>
                </c:pt>
                <c:pt idx="297">
                  <c:v>44.185549000804976</c:v>
                </c:pt>
                <c:pt idx="298">
                  <c:v>44.259197884216491</c:v>
                </c:pt>
                <c:pt idx="299">
                  <c:v>44.332846767628006</c:v>
                </c:pt>
                <c:pt idx="300">
                  <c:v>44.406495651039521</c:v>
                </c:pt>
                <c:pt idx="301">
                  <c:v>44.480144534451036</c:v>
                </c:pt>
                <c:pt idx="302">
                  <c:v>44.553793417862551</c:v>
                </c:pt>
                <c:pt idx="303">
                  <c:v>44.627442301274066</c:v>
                </c:pt>
                <c:pt idx="304">
                  <c:v>44.701091184685581</c:v>
                </c:pt>
                <c:pt idx="305">
                  <c:v>44.774740068097096</c:v>
                </c:pt>
                <c:pt idx="306">
                  <c:v>44.84838895150861</c:v>
                </c:pt>
                <c:pt idx="307">
                  <c:v>44.922037834920125</c:v>
                </c:pt>
                <c:pt idx="308">
                  <c:v>44.99568671833164</c:v>
                </c:pt>
                <c:pt idx="309">
                  <c:v>45.069335601743155</c:v>
                </c:pt>
                <c:pt idx="310">
                  <c:v>45.14298448515467</c:v>
                </c:pt>
                <c:pt idx="311">
                  <c:v>45.216633368566185</c:v>
                </c:pt>
                <c:pt idx="312">
                  <c:v>45.2902822519777</c:v>
                </c:pt>
                <c:pt idx="313">
                  <c:v>45.363931135389215</c:v>
                </c:pt>
                <c:pt idx="314">
                  <c:v>45.43758001880073</c:v>
                </c:pt>
              </c:numCache>
            </c:numRef>
          </c:cat>
          <c:val>
            <c:numRef>
              <c:f>Simulation!$K$5:$K$319</c:f>
              <c:numCache>
                <c:formatCode>0.0</c:formatCode>
                <c:ptCount val="315"/>
                <c:pt idx="0">
                  <c:v>709.89369999999997</c:v>
                </c:pt>
                <c:pt idx="1">
                  <c:v>738.17380000000003</c:v>
                </c:pt>
                <c:pt idx="2">
                  <c:v>698.97720000000004</c:v>
                </c:pt>
                <c:pt idx="3">
                  <c:v>671.42499999999995</c:v>
                </c:pt>
                <c:pt idx="4">
                  <c:v>537.86</c:v>
                </c:pt>
                <c:pt idx="5" formatCode="General">
                  <c:v>519.9</c:v>
                </c:pt>
                <c:pt idx="6" formatCode="General">
                  <c:v>516.02</c:v>
                </c:pt>
                <c:pt idx="7" formatCode="General">
                  <c:v>504.2</c:v>
                </c:pt>
                <c:pt idx="8" formatCode="General">
                  <c:v>498.7</c:v>
                </c:pt>
                <c:pt idx="9" formatCode="General">
                  <c:v>493.2</c:v>
                </c:pt>
                <c:pt idx="10" formatCode="General">
                  <c:v>487.6</c:v>
                </c:pt>
                <c:pt idx="11" formatCode="General">
                  <c:v>488.4</c:v>
                </c:pt>
                <c:pt idx="12" formatCode="General">
                  <c:v>488.4</c:v>
                </c:pt>
                <c:pt idx="13" formatCode="General">
                  <c:v>482.7</c:v>
                </c:pt>
                <c:pt idx="14" formatCode="General">
                  <c:v>479.7</c:v>
                </c:pt>
                <c:pt idx="15" formatCode="General">
                  <c:v>491.4</c:v>
                </c:pt>
                <c:pt idx="16" formatCode="General">
                  <c:v>483.6</c:v>
                </c:pt>
                <c:pt idx="17" formatCode="General">
                  <c:v>483.6</c:v>
                </c:pt>
                <c:pt idx="18" formatCode="General">
                  <c:v>483.6</c:v>
                </c:pt>
                <c:pt idx="19" formatCode="General">
                  <c:v>483.6</c:v>
                </c:pt>
                <c:pt idx="20" formatCode="General">
                  <c:v>483.6</c:v>
                </c:pt>
                <c:pt idx="21" formatCode="General">
                  <c:v>470.6</c:v>
                </c:pt>
                <c:pt idx="22" formatCode="General">
                  <c:v>470.6</c:v>
                </c:pt>
                <c:pt idx="23" formatCode="General">
                  <c:v>470.6</c:v>
                </c:pt>
                <c:pt idx="24" formatCode="General">
                  <c:v>470.6</c:v>
                </c:pt>
                <c:pt idx="25" formatCode="General">
                  <c:v>443.8</c:v>
                </c:pt>
                <c:pt idx="26" formatCode="General">
                  <c:v>443.8</c:v>
                </c:pt>
                <c:pt idx="27" formatCode="General">
                  <c:v>443.8</c:v>
                </c:pt>
                <c:pt idx="28" formatCode="General">
                  <c:v>443.8</c:v>
                </c:pt>
                <c:pt idx="29" formatCode="General">
                  <c:v>469.1</c:v>
                </c:pt>
                <c:pt idx="30" formatCode="General">
                  <c:v>469.1</c:v>
                </c:pt>
                <c:pt idx="31" formatCode="General">
                  <c:v>469.1</c:v>
                </c:pt>
                <c:pt idx="32" formatCode="General">
                  <c:v>469.1</c:v>
                </c:pt>
                <c:pt idx="33" formatCode="General">
                  <c:v>483</c:v>
                </c:pt>
                <c:pt idx="34" formatCode="General">
                  <c:v>483</c:v>
                </c:pt>
                <c:pt idx="35" formatCode="General">
                  <c:v>470.5</c:v>
                </c:pt>
                <c:pt idx="36" formatCode="General">
                  <c:v>470.5</c:v>
                </c:pt>
                <c:pt idx="37" formatCode="General">
                  <c:v>470.5</c:v>
                </c:pt>
                <c:pt idx="38" formatCode="General">
                  <c:v>470.5</c:v>
                </c:pt>
                <c:pt idx="39" formatCode="General">
                  <c:v>470.5</c:v>
                </c:pt>
                <c:pt idx="40" formatCode="General">
                  <c:v>470.5</c:v>
                </c:pt>
                <c:pt idx="41" formatCode="General">
                  <c:v>470.5</c:v>
                </c:pt>
                <c:pt idx="42" formatCode="General">
                  <c:v>470.5</c:v>
                </c:pt>
                <c:pt idx="43" formatCode="General">
                  <c:v>470.5</c:v>
                </c:pt>
                <c:pt idx="44" formatCode="General">
                  <c:v>443.8</c:v>
                </c:pt>
                <c:pt idx="45" formatCode="General">
                  <c:v>443.8</c:v>
                </c:pt>
                <c:pt idx="46" formatCode="General">
                  <c:v>443.8</c:v>
                </c:pt>
                <c:pt idx="47" formatCode="General">
                  <c:v>443.8</c:v>
                </c:pt>
                <c:pt idx="48" formatCode="General">
                  <c:v>443.8</c:v>
                </c:pt>
                <c:pt idx="49" formatCode="General">
                  <c:v>443.8</c:v>
                </c:pt>
                <c:pt idx="50" formatCode="General">
                  <c:v>443.8</c:v>
                </c:pt>
                <c:pt idx="51" formatCode="General">
                  <c:v>477</c:v>
                </c:pt>
                <c:pt idx="52" formatCode="General">
                  <c:v>477</c:v>
                </c:pt>
                <c:pt idx="53" formatCode="General">
                  <c:v>469.1</c:v>
                </c:pt>
                <c:pt idx="54" formatCode="General">
                  <c:v>469.1</c:v>
                </c:pt>
                <c:pt idx="55" formatCode="General">
                  <c:v>469.1</c:v>
                </c:pt>
                <c:pt idx="56" formatCode="General">
                  <c:v>469.1</c:v>
                </c:pt>
                <c:pt idx="57" formatCode="General">
                  <c:v>469.1</c:v>
                </c:pt>
                <c:pt idx="58" formatCode="General">
                  <c:v>469.1</c:v>
                </c:pt>
                <c:pt idx="59" formatCode="General">
                  <c:v>469.1</c:v>
                </c:pt>
                <c:pt idx="60" formatCode="General">
                  <c:v>469.1</c:v>
                </c:pt>
                <c:pt idx="61" formatCode="General">
                  <c:v>469.1</c:v>
                </c:pt>
                <c:pt idx="62" formatCode="General">
                  <c:v>504.4</c:v>
                </c:pt>
                <c:pt idx="63" formatCode="General">
                  <c:v>504.4</c:v>
                </c:pt>
                <c:pt idx="64" formatCode="General">
                  <c:v>504.4</c:v>
                </c:pt>
                <c:pt idx="65" formatCode="General">
                  <c:v>470.5</c:v>
                </c:pt>
                <c:pt idx="66" formatCode="General">
                  <c:v>470.5</c:v>
                </c:pt>
                <c:pt idx="67" formatCode="General">
                  <c:v>470.5</c:v>
                </c:pt>
                <c:pt idx="68" formatCode="General">
                  <c:v>470.5</c:v>
                </c:pt>
                <c:pt idx="69" formatCode="General">
                  <c:v>470.5</c:v>
                </c:pt>
                <c:pt idx="70" formatCode="General">
                  <c:v>470.5</c:v>
                </c:pt>
                <c:pt idx="71" formatCode="General">
                  <c:v>470.5</c:v>
                </c:pt>
                <c:pt idx="72" formatCode="General">
                  <c:v>470.5</c:v>
                </c:pt>
                <c:pt idx="73" formatCode="General">
                  <c:v>470.5</c:v>
                </c:pt>
                <c:pt idx="74" formatCode="General">
                  <c:v>443.8</c:v>
                </c:pt>
                <c:pt idx="75" formatCode="General">
                  <c:v>443.8</c:v>
                </c:pt>
                <c:pt idx="76" formatCode="General">
                  <c:v>443.8</c:v>
                </c:pt>
                <c:pt idx="77" formatCode="General">
                  <c:v>443.8</c:v>
                </c:pt>
                <c:pt idx="78" formatCode="General">
                  <c:v>443.8</c:v>
                </c:pt>
                <c:pt idx="79" formatCode="General">
                  <c:v>443.8</c:v>
                </c:pt>
                <c:pt idx="80" formatCode="General">
                  <c:v>443.8</c:v>
                </c:pt>
                <c:pt idx="81" formatCode="General">
                  <c:v>443.8</c:v>
                </c:pt>
                <c:pt idx="82" formatCode="General">
                  <c:v>443.8</c:v>
                </c:pt>
                <c:pt idx="83" formatCode="General">
                  <c:v>443.8</c:v>
                </c:pt>
                <c:pt idx="84" formatCode="General">
                  <c:v>443.8</c:v>
                </c:pt>
                <c:pt idx="85" formatCode="General">
                  <c:v>443.8</c:v>
                </c:pt>
                <c:pt idx="86" formatCode="General">
                  <c:v>469.7</c:v>
                </c:pt>
                <c:pt idx="87" formatCode="General">
                  <c:v>469.7</c:v>
                </c:pt>
                <c:pt idx="88" formatCode="General">
                  <c:v>469.1</c:v>
                </c:pt>
                <c:pt idx="89" formatCode="General">
                  <c:v>469.1</c:v>
                </c:pt>
                <c:pt idx="90" formatCode="General">
                  <c:v>469.1</c:v>
                </c:pt>
                <c:pt idx="91" formatCode="General">
                  <c:v>469.1</c:v>
                </c:pt>
                <c:pt idx="92" formatCode="General">
                  <c:v>469.1</c:v>
                </c:pt>
                <c:pt idx="93" formatCode="General">
                  <c:v>469.1</c:v>
                </c:pt>
                <c:pt idx="94" formatCode="General">
                  <c:v>469.1</c:v>
                </c:pt>
                <c:pt idx="95" formatCode="General">
                  <c:v>469.1</c:v>
                </c:pt>
                <c:pt idx="96" formatCode="General">
                  <c:v>469.1</c:v>
                </c:pt>
                <c:pt idx="97" formatCode="General">
                  <c:v>469.1</c:v>
                </c:pt>
                <c:pt idx="98" formatCode="General">
                  <c:v>469.1</c:v>
                </c:pt>
                <c:pt idx="99" formatCode="General">
                  <c:v>504.5</c:v>
                </c:pt>
                <c:pt idx="100" formatCode="General">
                  <c:v>504.5</c:v>
                </c:pt>
                <c:pt idx="101" formatCode="General">
                  <c:v>504.5</c:v>
                </c:pt>
                <c:pt idx="102" formatCode="General">
                  <c:v>504.5</c:v>
                </c:pt>
                <c:pt idx="103" formatCode="General">
                  <c:v>504.5</c:v>
                </c:pt>
                <c:pt idx="104" formatCode="General">
                  <c:v>504.5</c:v>
                </c:pt>
                <c:pt idx="105" formatCode="General">
                  <c:v>504.5</c:v>
                </c:pt>
                <c:pt idx="106" formatCode="General">
                  <c:v>504.5</c:v>
                </c:pt>
                <c:pt idx="107" formatCode="General">
                  <c:v>585.70000000000005</c:v>
                </c:pt>
                <c:pt idx="108" formatCode="General">
                  <c:v>585.70000000000005</c:v>
                </c:pt>
                <c:pt idx="109" formatCode="General">
                  <c:v>585.70000000000005</c:v>
                </c:pt>
                <c:pt idx="110" formatCode="General">
                  <c:v>585.70000000000005</c:v>
                </c:pt>
                <c:pt idx="111" formatCode="General">
                  <c:v>585.70000000000005</c:v>
                </c:pt>
                <c:pt idx="112" formatCode="General">
                  <c:v>585.70000000000005</c:v>
                </c:pt>
                <c:pt idx="113" formatCode="General">
                  <c:v>585.70000000000005</c:v>
                </c:pt>
                <c:pt idx="114" formatCode="General">
                  <c:v>585.70000000000005</c:v>
                </c:pt>
                <c:pt idx="115" formatCode="General">
                  <c:v>585.70000000000005</c:v>
                </c:pt>
                <c:pt idx="116" formatCode="General">
                  <c:v>585.70000000000005</c:v>
                </c:pt>
                <c:pt idx="117" formatCode="General">
                  <c:v>585.70000000000005</c:v>
                </c:pt>
                <c:pt idx="118" formatCode="General">
                  <c:v>585.70000000000005</c:v>
                </c:pt>
                <c:pt idx="119" formatCode="General">
                  <c:v>585.70000000000005</c:v>
                </c:pt>
                <c:pt idx="120" formatCode="General">
                  <c:v>585.70000000000005</c:v>
                </c:pt>
                <c:pt idx="121" formatCode="General">
                  <c:v>585.70000000000005</c:v>
                </c:pt>
                <c:pt idx="122" formatCode="General">
                  <c:v>585.70000000000005</c:v>
                </c:pt>
                <c:pt idx="123" formatCode="General">
                  <c:v>585.70000000000005</c:v>
                </c:pt>
                <c:pt idx="124" formatCode="General">
                  <c:v>585.70000000000005</c:v>
                </c:pt>
                <c:pt idx="125" formatCode="General">
                  <c:v>585.70000000000005</c:v>
                </c:pt>
                <c:pt idx="126" formatCode="General">
                  <c:v>585.70000000000005</c:v>
                </c:pt>
                <c:pt idx="127" formatCode="General">
                  <c:v>585.70000000000005</c:v>
                </c:pt>
                <c:pt idx="128" formatCode="General">
                  <c:v>525.1</c:v>
                </c:pt>
                <c:pt idx="129" formatCode="General">
                  <c:v>525.1</c:v>
                </c:pt>
                <c:pt idx="130" formatCode="General">
                  <c:v>450.8</c:v>
                </c:pt>
                <c:pt idx="131" formatCode="General">
                  <c:v>450.8</c:v>
                </c:pt>
                <c:pt idx="132" formatCode="General">
                  <c:v>450.8</c:v>
                </c:pt>
                <c:pt idx="133" formatCode="General">
                  <c:v>450.8</c:v>
                </c:pt>
                <c:pt idx="134" formatCode="General">
                  <c:v>450.8</c:v>
                </c:pt>
                <c:pt idx="135" formatCode="General">
                  <c:v>450.8</c:v>
                </c:pt>
                <c:pt idx="136" formatCode="General">
                  <c:v>450.8</c:v>
                </c:pt>
                <c:pt idx="137" formatCode="General">
                  <c:v>426.9</c:v>
                </c:pt>
                <c:pt idx="138" formatCode="General">
                  <c:v>426.9</c:v>
                </c:pt>
                <c:pt idx="139" formatCode="General">
                  <c:v>426.9</c:v>
                </c:pt>
                <c:pt idx="140" formatCode="General">
                  <c:v>426.9</c:v>
                </c:pt>
                <c:pt idx="141" formatCode="General">
                  <c:v>426.9</c:v>
                </c:pt>
                <c:pt idx="142" formatCode="General">
                  <c:v>426.9</c:v>
                </c:pt>
                <c:pt idx="143" formatCode="General">
                  <c:v>426.9</c:v>
                </c:pt>
                <c:pt idx="144" formatCode="General">
                  <c:v>426.9</c:v>
                </c:pt>
                <c:pt idx="145" formatCode="General">
                  <c:v>426.9</c:v>
                </c:pt>
                <c:pt idx="146" formatCode="General">
                  <c:v>426.9</c:v>
                </c:pt>
                <c:pt idx="147" formatCode="General">
                  <c:v>426.9</c:v>
                </c:pt>
                <c:pt idx="148" formatCode="General">
                  <c:v>426.9</c:v>
                </c:pt>
                <c:pt idx="149" formatCode="General">
                  <c:v>426.9</c:v>
                </c:pt>
                <c:pt idx="150" formatCode="General">
                  <c:v>426.9</c:v>
                </c:pt>
                <c:pt idx="151" formatCode="General">
                  <c:v>492.1</c:v>
                </c:pt>
                <c:pt idx="152" formatCode="General">
                  <c:v>492.1</c:v>
                </c:pt>
                <c:pt idx="153" formatCode="General">
                  <c:v>492.1</c:v>
                </c:pt>
                <c:pt idx="154" formatCode="General">
                  <c:v>492.1</c:v>
                </c:pt>
                <c:pt idx="155" formatCode="General">
                  <c:v>492.1</c:v>
                </c:pt>
                <c:pt idx="156" formatCode="General">
                  <c:v>492.1</c:v>
                </c:pt>
                <c:pt idx="157" formatCode="General">
                  <c:v>492.1</c:v>
                </c:pt>
                <c:pt idx="158" formatCode="General">
                  <c:v>492.1</c:v>
                </c:pt>
                <c:pt idx="159" formatCode="General">
                  <c:v>492.1</c:v>
                </c:pt>
                <c:pt idx="160" formatCode="General">
                  <c:v>504.4</c:v>
                </c:pt>
                <c:pt idx="161" formatCode="General">
                  <c:v>504.4</c:v>
                </c:pt>
                <c:pt idx="162" formatCode="General">
                  <c:v>504.4</c:v>
                </c:pt>
                <c:pt idx="163" formatCode="General">
                  <c:v>504.4</c:v>
                </c:pt>
                <c:pt idx="164" formatCode="General">
                  <c:v>494.4</c:v>
                </c:pt>
                <c:pt idx="165" formatCode="General">
                  <c:v>494.4</c:v>
                </c:pt>
                <c:pt idx="166" formatCode="General">
                  <c:v>494.4</c:v>
                </c:pt>
                <c:pt idx="167" formatCode="General">
                  <c:v>494.4</c:v>
                </c:pt>
                <c:pt idx="168" formatCode="General">
                  <c:v>494.4</c:v>
                </c:pt>
                <c:pt idx="169" formatCode="General">
                  <c:v>494.4</c:v>
                </c:pt>
                <c:pt idx="170" formatCode="General">
                  <c:v>494.4</c:v>
                </c:pt>
                <c:pt idx="171" formatCode="General">
                  <c:v>494.4</c:v>
                </c:pt>
                <c:pt idx="172" formatCode="General">
                  <c:v>494.4</c:v>
                </c:pt>
                <c:pt idx="173" formatCode="General">
                  <c:v>494.4</c:v>
                </c:pt>
                <c:pt idx="174" formatCode="General">
                  <c:v>494.4</c:v>
                </c:pt>
                <c:pt idx="175" formatCode="General">
                  <c:v>494.4</c:v>
                </c:pt>
                <c:pt idx="176" formatCode="General">
                  <c:v>494.4</c:v>
                </c:pt>
                <c:pt idx="177" formatCode="General">
                  <c:v>494.4</c:v>
                </c:pt>
                <c:pt idx="178" formatCode="General">
                  <c:v>494.4</c:v>
                </c:pt>
                <c:pt idx="179" formatCode="General">
                  <c:v>494.4</c:v>
                </c:pt>
                <c:pt idx="180" formatCode="General">
                  <c:v>494.4</c:v>
                </c:pt>
                <c:pt idx="181" formatCode="General">
                  <c:v>494.4</c:v>
                </c:pt>
                <c:pt idx="182" formatCode="General">
                  <c:v>494.4</c:v>
                </c:pt>
                <c:pt idx="183" formatCode="General">
                  <c:v>494.4</c:v>
                </c:pt>
                <c:pt idx="184" formatCode="General">
                  <c:v>494.4</c:v>
                </c:pt>
                <c:pt idx="185" formatCode="General">
                  <c:v>494.4</c:v>
                </c:pt>
                <c:pt idx="186" formatCode="General">
                  <c:v>494.4</c:v>
                </c:pt>
                <c:pt idx="187" formatCode="General">
                  <c:v>494.4</c:v>
                </c:pt>
                <c:pt idx="188" formatCode="General">
                  <c:v>494.4</c:v>
                </c:pt>
                <c:pt idx="189" formatCode="General">
                  <c:v>494.4</c:v>
                </c:pt>
                <c:pt idx="190" formatCode="General">
                  <c:v>494.4</c:v>
                </c:pt>
                <c:pt idx="191" formatCode="General">
                  <c:v>494.4</c:v>
                </c:pt>
                <c:pt idx="192" formatCode="General">
                  <c:v>494.4</c:v>
                </c:pt>
                <c:pt idx="193" formatCode="General">
                  <c:v>494.4</c:v>
                </c:pt>
                <c:pt idx="194" formatCode="General">
                  <c:v>494.4</c:v>
                </c:pt>
                <c:pt idx="195" formatCode="General">
                  <c:v>494.4</c:v>
                </c:pt>
                <c:pt idx="196" formatCode="General">
                  <c:v>494.4</c:v>
                </c:pt>
                <c:pt idx="197" formatCode="General">
                  <c:v>494.4</c:v>
                </c:pt>
                <c:pt idx="198" formatCode="General">
                  <c:v>494.4</c:v>
                </c:pt>
                <c:pt idx="199" formatCode="General">
                  <c:v>494.4</c:v>
                </c:pt>
                <c:pt idx="200" formatCode="General">
                  <c:v>494.4</c:v>
                </c:pt>
                <c:pt idx="201" formatCode="General">
                  <c:v>494.4</c:v>
                </c:pt>
                <c:pt idx="202" formatCode="General">
                  <c:v>494.4</c:v>
                </c:pt>
                <c:pt idx="203" formatCode="General">
                  <c:v>494.4</c:v>
                </c:pt>
                <c:pt idx="204" formatCode="General">
                  <c:v>494.4</c:v>
                </c:pt>
                <c:pt idx="205" formatCode="General">
                  <c:v>494.4</c:v>
                </c:pt>
                <c:pt idx="206" formatCode="General">
                  <c:v>494.4</c:v>
                </c:pt>
                <c:pt idx="207" formatCode="General">
                  <c:v>494.4</c:v>
                </c:pt>
                <c:pt idx="208" formatCode="General">
                  <c:v>494.4</c:v>
                </c:pt>
                <c:pt idx="209" formatCode="General">
                  <c:v>494.4</c:v>
                </c:pt>
                <c:pt idx="210" formatCode="General">
                  <c:v>494.4</c:v>
                </c:pt>
                <c:pt idx="211" formatCode="General">
                  <c:v>504.47</c:v>
                </c:pt>
                <c:pt idx="212" formatCode="General">
                  <c:v>504.47</c:v>
                </c:pt>
                <c:pt idx="213" formatCode="General">
                  <c:v>504.47</c:v>
                </c:pt>
                <c:pt idx="214" formatCode="General">
                  <c:v>470.5</c:v>
                </c:pt>
                <c:pt idx="215" formatCode="General">
                  <c:v>470.5</c:v>
                </c:pt>
                <c:pt idx="216" formatCode="General">
                  <c:v>470.5</c:v>
                </c:pt>
                <c:pt idx="217" formatCode="General">
                  <c:v>470.5</c:v>
                </c:pt>
                <c:pt idx="218" formatCode="General">
                  <c:v>470.5</c:v>
                </c:pt>
                <c:pt idx="219" formatCode="General">
                  <c:v>470.5</c:v>
                </c:pt>
                <c:pt idx="220" formatCode="General">
                  <c:v>470.5</c:v>
                </c:pt>
                <c:pt idx="221" formatCode="General">
                  <c:v>470.5</c:v>
                </c:pt>
                <c:pt idx="222" formatCode="General">
                  <c:v>470.5</c:v>
                </c:pt>
                <c:pt idx="223" formatCode="General">
                  <c:v>470.5</c:v>
                </c:pt>
                <c:pt idx="224" formatCode="General">
                  <c:v>443.8</c:v>
                </c:pt>
                <c:pt idx="225" formatCode="General">
                  <c:v>443.8</c:v>
                </c:pt>
                <c:pt idx="226" formatCode="General">
                  <c:v>443.8</c:v>
                </c:pt>
                <c:pt idx="227" formatCode="General">
                  <c:v>443.8</c:v>
                </c:pt>
                <c:pt idx="228" formatCode="General">
                  <c:v>443.8</c:v>
                </c:pt>
                <c:pt idx="229" formatCode="General">
                  <c:v>443.8</c:v>
                </c:pt>
                <c:pt idx="230" formatCode="General">
                  <c:v>443.8</c:v>
                </c:pt>
                <c:pt idx="231" formatCode="General">
                  <c:v>443.8</c:v>
                </c:pt>
                <c:pt idx="232" formatCode="General">
                  <c:v>443.8</c:v>
                </c:pt>
                <c:pt idx="233" formatCode="General">
                  <c:v>443.8</c:v>
                </c:pt>
                <c:pt idx="234" formatCode="General">
                  <c:v>443.8</c:v>
                </c:pt>
                <c:pt idx="235" formatCode="General">
                  <c:v>443.8</c:v>
                </c:pt>
                <c:pt idx="236" formatCode="General">
                  <c:v>414.1</c:v>
                </c:pt>
                <c:pt idx="237" formatCode="General">
                  <c:v>414.1</c:v>
                </c:pt>
                <c:pt idx="238" formatCode="General">
                  <c:v>414.1</c:v>
                </c:pt>
                <c:pt idx="239" formatCode="General">
                  <c:v>469.1</c:v>
                </c:pt>
                <c:pt idx="240" formatCode="General">
                  <c:v>469.1</c:v>
                </c:pt>
                <c:pt idx="241" formatCode="General">
                  <c:v>469.1</c:v>
                </c:pt>
                <c:pt idx="242" formatCode="General">
                  <c:v>469.1</c:v>
                </c:pt>
                <c:pt idx="243" formatCode="General">
                  <c:v>469.1</c:v>
                </c:pt>
                <c:pt idx="244" formatCode="General">
                  <c:v>469.1</c:v>
                </c:pt>
                <c:pt idx="245" formatCode="General">
                  <c:v>469.1</c:v>
                </c:pt>
                <c:pt idx="246" formatCode="General">
                  <c:v>469.1</c:v>
                </c:pt>
                <c:pt idx="247" formatCode="General">
                  <c:v>469.1</c:v>
                </c:pt>
                <c:pt idx="248" formatCode="General">
                  <c:v>469.1</c:v>
                </c:pt>
                <c:pt idx="249" formatCode="General">
                  <c:v>469.1</c:v>
                </c:pt>
                <c:pt idx="250" formatCode="General">
                  <c:v>469.1</c:v>
                </c:pt>
                <c:pt idx="251" formatCode="General">
                  <c:v>457.16</c:v>
                </c:pt>
                <c:pt idx="252" formatCode="General">
                  <c:v>457.16</c:v>
                </c:pt>
                <c:pt idx="253" formatCode="General">
                  <c:v>457.16</c:v>
                </c:pt>
                <c:pt idx="254" formatCode="General">
                  <c:v>457.16</c:v>
                </c:pt>
                <c:pt idx="255" formatCode="General">
                  <c:v>457.16</c:v>
                </c:pt>
                <c:pt idx="256" formatCode="General">
                  <c:v>457.16</c:v>
                </c:pt>
                <c:pt idx="257" formatCode="General">
                  <c:v>457.16</c:v>
                </c:pt>
                <c:pt idx="258" formatCode="General">
                  <c:v>504.5</c:v>
                </c:pt>
                <c:pt idx="259" formatCode="General">
                  <c:v>504.5</c:v>
                </c:pt>
                <c:pt idx="260" formatCode="General">
                  <c:v>504.5</c:v>
                </c:pt>
                <c:pt idx="261" formatCode="General">
                  <c:v>504.5</c:v>
                </c:pt>
                <c:pt idx="262" formatCode="General">
                  <c:v>504.5</c:v>
                </c:pt>
                <c:pt idx="263" formatCode="General">
                  <c:v>504.5</c:v>
                </c:pt>
                <c:pt idx="264" formatCode="General">
                  <c:v>504.5</c:v>
                </c:pt>
                <c:pt idx="265" formatCode="General">
                  <c:v>504.5</c:v>
                </c:pt>
                <c:pt idx="266" formatCode="General">
                  <c:v>504.5</c:v>
                </c:pt>
                <c:pt idx="267" formatCode="General">
                  <c:v>504.5</c:v>
                </c:pt>
                <c:pt idx="268" formatCode="General">
                  <c:v>504.5</c:v>
                </c:pt>
                <c:pt idx="269" formatCode="General">
                  <c:v>504.5</c:v>
                </c:pt>
                <c:pt idx="270" formatCode="General">
                  <c:v>504.5</c:v>
                </c:pt>
                <c:pt idx="271" formatCode="General">
                  <c:v>535.1</c:v>
                </c:pt>
                <c:pt idx="272" formatCode="General">
                  <c:v>535.1</c:v>
                </c:pt>
                <c:pt idx="273" formatCode="General">
                  <c:v>535.1</c:v>
                </c:pt>
                <c:pt idx="274" formatCode="General">
                  <c:v>535.1</c:v>
                </c:pt>
                <c:pt idx="275" formatCode="General">
                  <c:v>535.1</c:v>
                </c:pt>
                <c:pt idx="276" formatCode="General">
                  <c:v>535.1</c:v>
                </c:pt>
                <c:pt idx="277" formatCode="General">
                  <c:v>450.79</c:v>
                </c:pt>
                <c:pt idx="278" formatCode="General">
                  <c:v>450.79</c:v>
                </c:pt>
                <c:pt idx="279" formatCode="General">
                  <c:v>450.79</c:v>
                </c:pt>
                <c:pt idx="280" formatCode="General">
                  <c:v>450.79</c:v>
                </c:pt>
                <c:pt idx="281" formatCode="General">
                  <c:v>450.79</c:v>
                </c:pt>
                <c:pt idx="282" formatCode="General">
                  <c:v>450.79</c:v>
                </c:pt>
                <c:pt idx="283" formatCode="General">
                  <c:v>450.79</c:v>
                </c:pt>
                <c:pt idx="284" formatCode="General">
                  <c:v>426.9</c:v>
                </c:pt>
                <c:pt idx="285" formatCode="General">
                  <c:v>426.9</c:v>
                </c:pt>
                <c:pt idx="286" formatCode="General">
                  <c:v>426.9</c:v>
                </c:pt>
                <c:pt idx="287" formatCode="General">
                  <c:v>426.9</c:v>
                </c:pt>
                <c:pt idx="288" formatCode="General">
                  <c:v>426.9</c:v>
                </c:pt>
                <c:pt idx="289" formatCode="General">
                  <c:v>426.9</c:v>
                </c:pt>
                <c:pt idx="290" formatCode="General">
                  <c:v>426.9</c:v>
                </c:pt>
                <c:pt idx="291" formatCode="General">
                  <c:v>426.9</c:v>
                </c:pt>
                <c:pt idx="292" formatCode="General">
                  <c:v>426.9</c:v>
                </c:pt>
                <c:pt idx="293" formatCode="General">
                  <c:v>426.9</c:v>
                </c:pt>
                <c:pt idx="294" formatCode="General">
                  <c:v>426.9</c:v>
                </c:pt>
                <c:pt idx="295" formatCode="General">
                  <c:v>426.9</c:v>
                </c:pt>
                <c:pt idx="296" formatCode="General">
                  <c:v>426.9</c:v>
                </c:pt>
                <c:pt idx="297" formatCode="General">
                  <c:v>426.9</c:v>
                </c:pt>
                <c:pt idx="298" formatCode="General">
                  <c:v>426.9</c:v>
                </c:pt>
                <c:pt idx="299" formatCode="General">
                  <c:v>426.9</c:v>
                </c:pt>
                <c:pt idx="300" formatCode="General">
                  <c:v>426.9</c:v>
                </c:pt>
                <c:pt idx="301" formatCode="General">
                  <c:v>504.47</c:v>
                </c:pt>
                <c:pt idx="302" formatCode="General">
                  <c:v>504.47</c:v>
                </c:pt>
                <c:pt idx="303" formatCode="General">
                  <c:v>504.47</c:v>
                </c:pt>
                <c:pt idx="304" formatCode="General">
                  <c:v>504.47</c:v>
                </c:pt>
                <c:pt idx="305" formatCode="General">
                  <c:v>457.1</c:v>
                </c:pt>
                <c:pt idx="306" formatCode="General">
                  <c:v>457.1</c:v>
                </c:pt>
                <c:pt idx="307" formatCode="General">
                  <c:v>457.1</c:v>
                </c:pt>
                <c:pt idx="308" formatCode="General">
                  <c:v>457.1</c:v>
                </c:pt>
                <c:pt idx="309" formatCode="General">
                  <c:v>457.1</c:v>
                </c:pt>
                <c:pt idx="310" formatCode="General">
                  <c:v>457.1</c:v>
                </c:pt>
                <c:pt idx="311" formatCode="General">
                  <c:v>457.1</c:v>
                </c:pt>
                <c:pt idx="312" formatCode="General">
                  <c:v>457.1</c:v>
                </c:pt>
                <c:pt idx="313" formatCode="General">
                  <c:v>457.1</c:v>
                </c:pt>
                <c:pt idx="314" formatCode="General">
                  <c:v>457.1</c:v>
                </c:pt>
              </c:numCache>
            </c:numRef>
          </c:val>
        </c:ser>
        <c:marker val="1"/>
        <c:axId val="109220992"/>
        <c:axId val="109222912"/>
      </c:lineChart>
      <c:catAx>
        <c:axId val="1092209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Time(s)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 sz="8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9222912"/>
        <c:crosses val="autoZero"/>
        <c:auto val="1"/>
        <c:lblAlgn val="ctr"/>
        <c:lblOffset val="100"/>
      </c:catAx>
      <c:valAx>
        <c:axId val="10922291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BSFC</a:t>
                </a:r>
              </a:p>
            </c:rich>
          </c:tx>
        </c:title>
        <c:numFmt formatCode="0.0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9220992"/>
        <c:crosses val="autoZero"/>
        <c:crossBetween val="between"/>
      </c:valAx>
    </c:plotArea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b="0">
                <a:latin typeface="Times New Roman" pitchFamily="18" charset="0"/>
                <a:cs typeface="Times New Roman" pitchFamily="18" charset="0"/>
              </a:defRPr>
            </a:pPr>
            <a:r>
              <a:rPr lang="en-US" b="0">
                <a:latin typeface="Times New Roman" pitchFamily="18" charset="0"/>
                <a:cs typeface="Times New Roman" pitchFamily="18" charset="0"/>
              </a:rPr>
              <a:t>RPM vs Distance(m)</a:t>
            </a:r>
          </a:p>
        </c:rich>
      </c:tx>
      <c:overlay val="1"/>
    </c:title>
    <c:plotArea>
      <c:layout/>
      <c:lineChart>
        <c:grouping val="standard"/>
        <c:ser>
          <c:idx val="0"/>
          <c:order val="0"/>
          <c:tx>
            <c:strRef>
              <c:f>Simulation!$G$4</c:f>
              <c:strCache>
                <c:ptCount val="1"/>
                <c:pt idx="0">
                  <c:v>RPM</c:v>
                </c:pt>
              </c:strCache>
            </c:strRef>
          </c:tx>
          <c:marker>
            <c:symbol val="none"/>
          </c:marker>
          <c:val>
            <c:numRef>
              <c:f>Simulation!$G$5:$G$319</c:f>
              <c:numCache>
                <c:formatCode>General</c:formatCode>
                <c:ptCount val="315"/>
                <c:pt idx="0">
                  <c:v>1000</c:v>
                </c:pt>
                <c:pt idx="1">
                  <c:v>1200</c:v>
                </c:pt>
                <c:pt idx="2">
                  <c:v>1400</c:v>
                </c:pt>
                <c:pt idx="3">
                  <c:v>1900</c:v>
                </c:pt>
                <c:pt idx="4">
                  <c:v>2300</c:v>
                </c:pt>
                <c:pt idx="5">
                  <c:v>2500</c:v>
                </c:pt>
                <c:pt idx="6">
                  <c:v>2700</c:v>
                </c:pt>
                <c:pt idx="7">
                  <c:v>3000</c:v>
                </c:pt>
                <c:pt idx="8">
                  <c:v>3200</c:v>
                </c:pt>
                <c:pt idx="9">
                  <c:v>3400</c:v>
                </c:pt>
                <c:pt idx="10">
                  <c:v>3600</c:v>
                </c:pt>
                <c:pt idx="11">
                  <c:v>3800</c:v>
                </c:pt>
                <c:pt idx="12">
                  <c:v>3900</c:v>
                </c:pt>
                <c:pt idx="13">
                  <c:v>4000</c:v>
                </c:pt>
                <c:pt idx="14">
                  <c:v>4200</c:v>
                </c:pt>
                <c:pt idx="15">
                  <c:v>4300</c:v>
                </c:pt>
                <c:pt idx="16">
                  <c:v>4400</c:v>
                </c:pt>
                <c:pt idx="17">
                  <c:v>4500</c:v>
                </c:pt>
                <c:pt idx="18">
                  <c:v>4600</c:v>
                </c:pt>
                <c:pt idx="19">
                  <c:v>4800</c:v>
                </c:pt>
                <c:pt idx="20">
                  <c:v>4900</c:v>
                </c:pt>
                <c:pt idx="21">
                  <c:v>5000</c:v>
                </c:pt>
                <c:pt idx="22">
                  <c:v>5200</c:v>
                </c:pt>
                <c:pt idx="23">
                  <c:v>5300</c:v>
                </c:pt>
                <c:pt idx="24">
                  <c:v>5400</c:v>
                </c:pt>
                <c:pt idx="25">
                  <c:v>5500</c:v>
                </c:pt>
                <c:pt idx="26">
                  <c:v>5600</c:v>
                </c:pt>
                <c:pt idx="27">
                  <c:v>5700</c:v>
                </c:pt>
                <c:pt idx="28">
                  <c:v>5800</c:v>
                </c:pt>
                <c:pt idx="29">
                  <c:v>5900</c:v>
                </c:pt>
                <c:pt idx="30">
                  <c:v>6000</c:v>
                </c:pt>
                <c:pt idx="31">
                  <c:v>6100</c:v>
                </c:pt>
                <c:pt idx="32">
                  <c:v>6200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5100</c:v>
                </c:pt>
                <c:pt idx="38">
                  <c:v>5200</c:v>
                </c:pt>
                <c:pt idx="39">
                  <c:v>5200</c:v>
                </c:pt>
                <c:pt idx="40">
                  <c:v>5300</c:v>
                </c:pt>
                <c:pt idx="41">
                  <c:v>5300</c:v>
                </c:pt>
                <c:pt idx="42">
                  <c:v>5400</c:v>
                </c:pt>
                <c:pt idx="43">
                  <c:v>5400</c:v>
                </c:pt>
                <c:pt idx="44">
                  <c:v>5500</c:v>
                </c:pt>
                <c:pt idx="45">
                  <c:v>5500</c:v>
                </c:pt>
                <c:pt idx="46">
                  <c:v>5600</c:v>
                </c:pt>
                <c:pt idx="47">
                  <c:v>5700</c:v>
                </c:pt>
                <c:pt idx="48">
                  <c:v>5700</c:v>
                </c:pt>
                <c:pt idx="49">
                  <c:v>5800</c:v>
                </c:pt>
                <c:pt idx="50">
                  <c:v>5800</c:v>
                </c:pt>
                <c:pt idx="51">
                  <c:v>5900</c:v>
                </c:pt>
                <c:pt idx="52">
                  <c:v>5900</c:v>
                </c:pt>
                <c:pt idx="53">
                  <c:v>6000</c:v>
                </c:pt>
                <c:pt idx="54">
                  <c:v>6000</c:v>
                </c:pt>
                <c:pt idx="55">
                  <c:v>6100</c:v>
                </c:pt>
                <c:pt idx="56">
                  <c:v>6200</c:v>
                </c:pt>
                <c:pt idx="57">
                  <c:v>6200</c:v>
                </c:pt>
                <c:pt idx="58">
                  <c:v>6300</c:v>
                </c:pt>
                <c:pt idx="59">
                  <c:v>6300</c:v>
                </c:pt>
                <c:pt idx="60">
                  <c:v>6400</c:v>
                </c:pt>
                <c:pt idx="61">
                  <c:v>6500</c:v>
                </c:pt>
                <c:pt idx="62">
                  <c:v>6500</c:v>
                </c:pt>
                <c:pt idx="63">
                  <c:v>6600</c:v>
                </c:pt>
                <c:pt idx="64">
                  <c:v>6600</c:v>
                </c:pt>
                <c:pt idx="65">
                  <c:v>6600</c:v>
                </c:pt>
                <c:pt idx="66">
                  <c:v>6600</c:v>
                </c:pt>
                <c:pt idx="67">
                  <c:v>6600</c:v>
                </c:pt>
                <c:pt idx="68">
                  <c:v>6600</c:v>
                </c:pt>
                <c:pt idx="69">
                  <c:v>6600</c:v>
                </c:pt>
                <c:pt idx="70">
                  <c:v>6600</c:v>
                </c:pt>
                <c:pt idx="71">
                  <c:v>6600</c:v>
                </c:pt>
                <c:pt idx="72">
                  <c:v>6600</c:v>
                </c:pt>
                <c:pt idx="73">
                  <c:v>6600</c:v>
                </c:pt>
                <c:pt idx="74">
                  <c:v>6600</c:v>
                </c:pt>
                <c:pt idx="75">
                  <c:v>6600</c:v>
                </c:pt>
                <c:pt idx="76">
                  <c:v>6600</c:v>
                </c:pt>
                <c:pt idx="77">
                  <c:v>6600</c:v>
                </c:pt>
                <c:pt idx="78">
                  <c:v>6600</c:v>
                </c:pt>
                <c:pt idx="79">
                  <c:v>6600</c:v>
                </c:pt>
                <c:pt idx="80">
                  <c:v>6600</c:v>
                </c:pt>
                <c:pt idx="81">
                  <c:v>6600</c:v>
                </c:pt>
                <c:pt idx="82">
                  <c:v>6600</c:v>
                </c:pt>
                <c:pt idx="83">
                  <c:v>6600</c:v>
                </c:pt>
                <c:pt idx="84">
                  <c:v>7000</c:v>
                </c:pt>
                <c:pt idx="85">
                  <c:v>7000</c:v>
                </c:pt>
                <c:pt idx="86">
                  <c:v>6900</c:v>
                </c:pt>
                <c:pt idx="87">
                  <c:v>6900</c:v>
                </c:pt>
                <c:pt idx="88">
                  <c:v>6900</c:v>
                </c:pt>
                <c:pt idx="89">
                  <c:v>6900</c:v>
                </c:pt>
                <c:pt idx="90">
                  <c:v>6900</c:v>
                </c:pt>
                <c:pt idx="91">
                  <c:v>6900</c:v>
                </c:pt>
                <c:pt idx="92">
                  <c:v>6900</c:v>
                </c:pt>
                <c:pt idx="93">
                  <c:v>6800</c:v>
                </c:pt>
                <c:pt idx="94">
                  <c:v>6800</c:v>
                </c:pt>
                <c:pt idx="95">
                  <c:v>6800</c:v>
                </c:pt>
                <c:pt idx="96">
                  <c:v>6800</c:v>
                </c:pt>
                <c:pt idx="97">
                  <c:v>6800</c:v>
                </c:pt>
                <c:pt idx="98">
                  <c:v>6800</c:v>
                </c:pt>
                <c:pt idx="99">
                  <c:v>6700</c:v>
                </c:pt>
                <c:pt idx="100">
                  <c:v>6700</c:v>
                </c:pt>
                <c:pt idx="101">
                  <c:v>6700</c:v>
                </c:pt>
                <c:pt idx="102">
                  <c:v>6700</c:v>
                </c:pt>
                <c:pt idx="103">
                  <c:v>6700</c:v>
                </c:pt>
                <c:pt idx="104">
                  <c:v>6700</c:v>
                </c:pt>
                <c:pt idx="105">
                  <c:v>6700</c:v>
                </c:pt>
                <c:pt idx="106">
                  <c:v>6700</c:v>
                </c:pt>
                <c:pt idx="107">
                  <c:v>6600</c:v>
                </c:pt>
                <c:pt idx="108">
                  <c:v>6600</c:v>
                </c:pt>
                <c:pt idx="109">
                  <c:v>6600</c:v>
                </c:pt>
                <c:pt idx="110">
                  <c:v>6600</c:v>
                </c:pt>
                <c:pt idx="111">
                  <c:v>6600</c:v>
                </c:pt>
                <c:pt idx="112">
                  <c:v>6600</c:v>
                </c:pt>
                <c:pt idx="113">
                  <c:v>6600</c:v>
                </c:pt>
                <c:pt idx="114">
                  <c:v>6600</c:v>
                </c:pt>
                <c:pt idx="115">
                  <c:v>6600</c:v>
                </c:pt>
                <c:pt idx="116">
                  <c:v>6500</c:v>
                </c:pt>
                <c:pt idx="117">
                  <c:v>6500</c:v>
                </c:pt>
                <c:pt idx="118">
                  <c:v>6500</c:v>
                </c:pt>
                <c:pt idx="119">
                  <c:v>6500</c:v>
                </c:pt>
                <c:pt idx="120">
                  <c:v>6400</c:v>
                </c:pt>
                <c:pt idx="121">
                  <c:v>6400</c:v>
                </c:pt>
                <c:pt idx="122">
                  <c:v>6400</c:v>
                </c:pt>
                <c:pt idx="123">
                  <c:v>6400</c:v>
                </c:pt>
                <c:pt idx="124">
                  <c:v>6400</c:v>
                </c:pt>
                <c:pt idx="125">
                  <c:v>6400</c:v>
                </c:pt>
                <c:pt idx="126">
                  <c:v>6400</c:v>
                </c:pt>
                <c:pt idx="127">
                  <c:v>6400</c:v>
                </c:pt>
                <c:pt idx="128">
                  <c:v>6400</c:v>
                </c:pt>
                <c:pt idx="129">
                  <c:v>6400</c:v>
                </c:pt>
                <c:pt idx="130">
                  <c:v>6400</c:v>
                </c:pt>
                <c:pt idx="131">
                  <c:v>6400</c:v>
                </c:pt>
                <c:pt idx="132">
                  <c:v>6400</c:v>
                </c:pt>
                <c:pt idx="133">
                  <c:v>6400</c:v>
                </c:pt>
                <c:pt idx="134">
                  <c:v>6400</c:v>
                </c:pt>
                <c:pt idx="135">
                  <c:v>6400</c:v>
                </c:pt>
                <c:pt idx="136">
                  <c:v>6400</c:v>
                </c:pt>
                <c:pt idx="137">
                  <c:v>6400</c:v>
                </c:pt>
                <c:pt idx="138">
                  <c:v>6400</c:v>
                </c:pt>
                <c:pt idx="139">
                  <c:v>6400</c:v>
                </c:pt>
                <c:pt idx="140">
                  <c:v>6400</c:v>
                </c:pt>
                <c:pt idx="141">
                  <c:v>6400</c:v>
                </c:pt>
                <c:pt idx="142">
                  <c:v>6400</c:v>
                </c:pt>
                <c:pt idx="143">
                  <c:v>6400</c:v>
                </c:pt>
                <c:pt idx="144">
                  <c:v>6400</c:v>
                </c:pt>
                <c:pt idx="145">
                  <c:v>6400</c:v>
                </c:pt>
                <c:pt idx="146">
                  <c:v>6400</c:v>
                </c:pt>
                <c:pt idx="147">
                  <c:v>6400</c:v>
                </c:pt>
                <c:pt idx="148">
                  <c:v>6400</c:v>
                </c:pt>
                <c:pt idx="149">
                  <c:v>6400</c:v>
                </c:pt>
                <c:pt idx="150">
                  <c:v>6400</c:v>
                </c:pt>
                <c:pt idx="151">
                  <c:v>6400</c:v>
                </c:pt>
                <c:pt idx="152">
                  <c:v>6400</c:v>
                </c:pt>
                <c:pt idx="153">
                  <c:v>6400</c:v>
                </c:pt>
                <c:pt idx="154">
                  <c:v>6400</c:v>
                </c:pt>
                <c:pt idx="155">
                  <c:v>6400</c:v>
                </c:pt>
                <c:pt idx="156">
                  <c:v>6400</c:v>
                </c:pt>
                <c:pt idx="157">
                  <c:v>6400</c:v>
                </c:pt>
                <c:pt idx="158">
                  <c:v>6400</c:v>
                </c:pt>
                <c:pt idx="159">
                  <c:v>6400</c:v>
                </c:pt>
                <c:pt idx="160">
                  <c:v>6400</c:v>
                </c:pt>
                <c:pt idx="161">
                  <c:v>6400</c:v>
                </c:pt>
                <c:pt idx="162">
                  <c:v>6400</c:v>
                </c:pt>
                <c:pt idx="163">
                  <c:v>6400</c:v>
                </c:pt>
                <c:pt idx="164">
                  <c:v>6400</c:v>
                </c:pt>
                <c:pt idx="165">
                  <c:v>6400</c:v>
                </c:pt>
                <c:pt idx="166">
                  <c:v>6400</c:v>
                </c:pt>
                <c:pt idx="167">
                  <c:v>6500</c:v>
                </c:pt>
                <c:pt idx="168">
                  <c:v>6500</c:v>
                </c:pt>
                <c:pt idx="169">
                  <c:v>6500</c:v>
                </c:pt>
                <c:pt idx="170">
                  <c:v>5100</c:v>
                </c:pt>
                <c:pt idx="171">
                  <c:v>5100</c:v>
                </c:pt>
                <c:pt idx="172">
                  <c:v>5200</c:v>
                </c:pt>
                <c:pt idx="173">
                  <c:v>5200</c:v>
                </c:pt>
                <c:pt idx="174">
                  <c:v>5200</c:v>
                </c:pt>
                <c:pt idx="175">
                  <c:v>5300</c:v>
                </c:pt>
                <c:pt idx="176">
                  <c:v>5300</c:v>
                </c:pt>
                <c:pt idx="177">
                  <c:v>5400</c:v>
                </c:pt>
                <c:pt idx="178">
                  <c:v>5400</c:v>
                </c:pt>
                <c:pt idx="179">
                  <c:v>5500</c:v>
                </c:pt>
                <c:pt idx="180">
                  <c:v>5500</c:v>
                </c:pt>
                <c:pt idx="181">
                  <c:v>5600</c:v>
                </c:pt>
                <c:pt idx="182">
                  <c:v>5600</c:v>
                </c:pt>
                <c:pt idx="183">
                  <c:v>5600</c:v>
                </c:pt>
                <c:pt idx="184">
                  <c:v>5600</c:v>
                </c:pt>
                <c:pt idx="185">
                  <c:v>5700</c:v>
                </c:pt>
                <c:pt idx="186">
                  <c:v>5700</c:v>
                </c:pt>
                <c:pt idx="187">
                  <c:v>5700</c:v>
                </c:pt>
                <c:pt idx="188">
                  <c:v>5700</c:v>
                </c:pt>
                <c:pt idx="189">
                  <c:v>5800</c:v>
                </c:pt>
                <c:pt idx="190">
                  <c:v>5800</c:v>
                </c:pt>
                <c:pt idx="191">
                  <c:v>5800</c:v>
                </c:pt>
                <c:pt idx="192">
                  <c:v>5900</c:v>
                </c:pt>
                <c:pt idx="193">
                  <c:v>5900</c:v>
                </c:pt>
                <c:pt idx="194">
                  <c:v>5900</c:v>
                </c:pt>
                <c:pt idx="195">
                  <c:v>6000</c:v>
                </c:pt>
                <c:pt idx="196">
                  <c:v>6000</c:v>
                </c:pt>
                <c:pt idx="197">
                  <c:v>6000</c:v>
                </c:pt>
                <c:pt idx="198">
                  <c:v>6000</c:v>
                </c:pt>
                <c:pt idx="199">
                  <c:v>6100</c:v>
                </c:pt>
                <c:pt idx="200">
                  <c:v>6100</c:v>
                </c:pt>
                <c:pt idx="201">
                  <c:v>6100</c:v>
                </c:pt>
                <c:pt idx="202">
                  <c:v>6100</c:v>
                </c:pt>
                <c:pt idx="203">
                  <c:v>6200</c:v>
                </c:pt>
                <c:pt idx="204">
                  <c:v>6200</c:v>
                </c:pt>
                <c:pt idx="205">
                  <c:v>6200</c:v>
                </c:pt>
                <c:pt idx="206">
                  <c:v>6200</c:v>
                </c:pt>
                <c:pt idx="207">
                  <c:v>6300</c:v>
                </c:pt>
                <c:pt idx="208">
                  <c:v>6300</c:v>
                </c:pt>
                <c:pt idx="209">
                  <c:v>6300</c:v>
                </c:pt>
                <c:pt idx="210">
                  <c:v>6300</c:v>
                </c:pt>
                <c:pt idx="211">
                  <c:v>6400</c:v>
                </c:pt>
                <c:pt idx="212">
                  <c:v>6400</c:v>
                </c:pt>
                <c:pt idx="213">
                  <c:v>6400</c:v>
                </c:pt>
                <c:pt idx="214">
                  <c:v>6500</c:v>
                </c:pt>
                <c:pt idx="215">
                  <c:v>6500</c:v>
                </c:pt>
                <c:pt idx="216">
                  <c:v>6500</c:v>
                </c:pt>
                <c:pt idx="217">
                  <c:v>6500</c:v>
                </c:pt>
                <c:pt idx="218">
                  <c:v>6500</c:v>
                </c:pt>
                <c:pt idx="219">
                  <c:v>6500</c:v>
                </c:pt>
                <c:pt idx="220">
                  <c:v>6500</c:v>
                </c:pt>
                <c:pt idx="221">
                  <c:v>6500</c:v>
                </c:pt>
                <c:pt idx="222">
                  <c:v>6500</c:v>
                </c:pt>
                <c:pt idx="223">
                  <c:v>6500</c:v>
                </c:pt>
                <c:pt idx="224">
                  <c:v>6500</c:v>
                </c:pt>
                <c:pt idx="225">
                  <c:v>6500</c:v>
                </c:pt>
                <c:pt idx="226">
                  <c:v>6500</c:v>
                </c:pt>
                <c:pt idx="227">
                  <c:v>7000</c:v>
                </c:pt>
                <c:pt idx="228">
                  <c:v>7000</c:v>
                </c:pt>
                <c:pt idx="229">
                  <c:v>7000</c:v>
                </c:pt>
                <c:pt idx="230">
                  <c:v>7000</c:v>
                </c:pt>
                <c:pt idx="231">
                  <c:v>7000</c:v>
                </c:pt>
                <c:pt idx="232">
                  <c:v>7000</c:v>
                </c:pt>
                <c:pt idx="233">
                  <c:v>6900</c:v>
                </c:pt>
                <c:pt idx="234">
                  <c:v>6900</c:v>
                </c:pt>
                <c:pt idx="235">
                  <c:v>6900</c:v>
                </c:pt>
                <c:pt idx="236">
                  <c:v>6900</c:v>
                </c:pt>
                <c:pt idx="237">
                  <c:v>6900</c:v>
                </c:pt>
                <c:pt idx="238">
                  <c:v>6900</c:v>
                </c:pt>
                <c:pt idx="239">
                  <c:v>6900</c:v>
                </c:pt>
                <c:pt idx="240">
                  <c:v>6800</c:v>
                </c:pt>
                <c:pt idx="241">
                  <c:v>6800</c:v>
                </c:pt>
                <c:pt idx="242">
                  <c:v>6800</c:v>
                </c:pt>
                <c:pt idx="243">
                  <c:v>6800</c:v>
                </c:pt>
                <c:pt idx="244">
                  <c:v>6800</c:v>
                </c:pt>
                <c:pt idx="245">
                  <c:v>6800</c:v>
                </c:pt>
                <c:pt idx="246">
                  <c:v>6700</c:v>
                </c:pt>
                <c:pt idx="247">
                  <c:v>6700</c:v>
                </c:pt>
                <c:pt idx="248">
                  <c:v>6700</c:v>
                </c:pt>
                <c:pt idx="249">
                  <c:v>6700</c:v>
                </c:pt>
                <c:pt idx="250">
                  <c:v>6700</c:v>
                </c:pt>
                <c:pt idx="251">
                  <c:v>6700</c:v>
                </c:pt>
                <c:pt idx="252">
                  <c:v>6600</c:v>
                </c:pt>
                <c:pt idx="253">
                  <c:v>6600</c:v>
                </c:pt>
                <c:pt idx="254">
                  <c:v>6600</c:v>
                </c:pt>
                <c:pt idx="255">
                  <c:v>6600</c:v>
                </c:pt>
                <c:pt idx="256">
                  <c:v>6600</c:v>
                </c:pt>
                <c:pt idx="257">
                  <c:v>6500</c:v>
                </c:pt>
                <c:pt idx="258">
                  <c:v>6500</c:v>
                </c:pt>
                <c:pt idx="259">
                  <c:v>6500</c:v>
                </c:pt>
                <c:pt idx="260">
                  <c:v>6500</c:v>
                </c:pt>
                <c:pt idx="261">
                  <c:v>6400</c:v>
                </c:pt>
                <c:pt idx="262">
                  <c:v>6400</c:v>
                </c:pt>
                <c:pt idx="263">
                  <c:v>6400</c:v>
                </c:pt>
                <c:pt idx="264">
                  <c:v>6400</c:v>
                </c:pt>
                <c:pt idx="265">
                  <c:v>6300</c:v>
                </c:pt>
                <c:pt idx="266">
                  <c:v>6200</c:v>
                </c:pt>
                <c:pt idx="267">
                  <c:v>6200</c:v>
                </c:pt>
                <c:pt idx="268">
                  <c:v>6100</c:v>
                </c:pt>
                <c:pt idx="269">
                  <c:v>6100</c:v>
                </c:pt>
                <c:pt idx="270">
                  <c:v>6000</c:v>
                </c:pt>
                <c:pt idx="271">
                  <c:v>5900</c:v>
                </c:pt>
                <c:pt idx="272">
                  <c:v>5800</c:v>
                </c:pt>
                <c:pt idx="273">
                  <c:v>5800</c:v>
                </c:pt>
                <c:pt idx="274">
                  <c:v>5800</c:v>
                </c:pt>
                <c:pt idx="275">
                  <c:v>5600</c:v>
                </c:pt>
                <c:pt idx="276">
                  <c:v>5600</c:v>
                </c:pt>
                <c:pt idx="277">
                  <c:v>5700</c:v>
                </c:pt>
                <c:pt idx="278">
                  <c:v>5700</c:v>
                </c:pt>
                <c:pt idx="279">
                  <c:v>5800</c:v>
                </c:pt>
                <c:pt idx="280">
                  <c:v>5900</c:v>
                </c:pt>
                <c:pt idx="281">
                  <c:v>5900</c:v>
                </c:pt>
                <c:pt idx="282">
                  <c:v>6000</c:v>
                </c:pt>
                <c:pt idx="283">
                  <c:v>6000</c:v>
                </c:pt>
                <c:pt idx="284">
                  <c:v>6000</c:v>
                </c:pt>
                <c:pt idx="285">
                  <c:v>6100</c:v>
                </c:pt>
                <c:pt idx="286">
                  <c:v>6100</c:v>
                </c:pt>
                <c:pt idx="287">
                  <c:v>6200</c:v>
                </c:pt>
                <c:pt idx="288">
                  <c:v>6200</c:v>
                </c:pt>
                <c:pt idx="289">
                  <c:v>6300</c:v>
                </c:pt>
                <c:pt idx="290">
                  <c:v>6400</c:v>
                </c:pt>
                <c:pt idx="291">
                  <c:v>6400</c:v>
                </c:pt>
                <c:pt idx="292">
                  <c:v>6500</c:v>
                </c:pt>
                <c:pt idx="293">
                  <c:v>6500</c:v>
                </c:pt>
                <c:pt idx="294">
                  <c:v>6600</c:v>
                </c:pt>
                <c:pt idx="295">
                  <c:v>5200</c:v>
                </c:pt>
                <c:pt idx="296">
                  <c:v>5200</c:v>
                </c:pt>
                <c:pt idx="297">
                  <c:v>5300</c:v>
                </c:pt>
                <c:pt idx="298">
                  <c:v>5300</c:v>
                </c:pt>
                <c:pt idx="299">
                  <c:v>5300</c:v>
                </c:pt>
                <c:pt idx="300">
                  <c:v>5400</c:v>
                </c:pt>
                <c:pt idx="301">
                  <c:v>5400</c:v>
                </c:pt>
                <c:pt idx="302">
                  <c:v>5400</c:v>
                </c:pt>
                <c:pt idx="303">
                  <c:v>5500</c:v>
                </c:pt>
                <c:pt idx="304">
                  <c:v>5500</c:v>
                </c:pt>
                <c:pt idx="305">
                  <c:v>5500</c:v>
                </c:pt>
                <c:pt idx="306">
                  <c:v>5600</c:v>
                </c:pt>
                <c:pt idx="307">
                  <c:v>5600</c:v>
                </c:pt>
                <c:pt idx="308">
                  <c:v>5700</c:v>
                </c:pt>
                <c:pt idx="309">
                  <c:v>5700</c:v>
                </c:pt>
                <c:pt idx="310">
                  <c:v>5700</c:v>
                </c:pt>
                <c:pt idx="311">
                  <c:v>5700</c:v>
                </c:pt>
                <c:pt idx="312">
                  <c:v>5800</c:v>
                </c:pt>
                <c:pt idx="313">
                  <c:v>5800</c:v>
                </c:pt>
                <c:pt idx="314">
                  <c:v>5800</c:v>
                </c:pt>
              </c:numCache>
            </c:numRef>
          </c:val>
        </c:ser>
        <c:marker val="1"/>
        <c:axId val="109243008"/>
        <c:axId val="109318912"/>
      </c:lineChart>
      <c:catAx>
        <c:axId val="1092430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Distance(m)</a:t>
                </a:r>
              </a:p>
            </c:rich>
          </c:tx>
        </c:title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9318912"/>
        <c:crosses val="autoZero"/>
        <c:auto val="1"/>
        <c:lblAlgn val="ctr"/>
        <c:lblOffset val="100"/>
      </c:catAx>
      <c:valAx>
        <c:axId val="10931891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RPM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9243008"/>
        <c:crosses val="autoZero"/>
        <c:crossBetween val="between"/>
      </c:valAx>
    </c:plotArea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b="0">
                <a:latin typeface="Times New Roman" pitchFamily="18" charset="0"/>
                <a:cs typeface="Times New Roman" pitchFamily="18" charset="0"/>
              </a:defRPr>
            </a:pPr>
            <a:r>
              <a:rPr lang="en-US" b="0">
                <a:latin typeface="Times New Roman" pitchFamily="18" charset="0"/>
                <a:cs typeface="Times New Roman" pitchFamily="18" charset="0"/>
              </a:rPr>
              <a:t>Fuel Consumption(g), Total Fuel Burned(L) vs Time(s)</a:t>
            </a:r>
          </a:p>
        </c:rich>
      </c:tx>
      <c:overlay val="1"/>
    </c:title>
    <c:plotArea>
      <c:layout/>
      <c:lineChart>
        <c:grouping val="standard"/>
        <c:ser>
          <c:idx val="0"/>
          <c:order val="0"/>
          <c:tx>
            <c:strRef>
              <c:f>'Fuel Consumption'!$J$3</c:f>
              <c:strCache>
                <c:ptCount val="1"/>
                <c:pt idx="0">
                  <c:v>Fuel Usage(g)</c:v>
                </c:pt>
              </c:strCache>
            </c:strRef>
          </c:tx>
          <c:marker>
            <c:symbol val="none"/>
          </c:marker>
          <c:cat>
            <c:numRef>
              <c:f>Simulation!$O$5:$O$319</c:f>
              <c:numCache>
                <c:formatCode>General</c:formatCode>
                <c:ptCount val="315"/>
                <c:pt idx="0">
                  <c:v>0</c:v>
                </c:pt>
                <c:pt idx="1">
                  <c:v>1.5739692661133495</c:v>
                </c:pt>
                <c:pt idx="2">
                  <c:v>2.687374443640091</c:v>
                </c:pt>
                <c:pt idx="3">
                  <c:v>3.5968259528392506</c:v>
                </c:pt>
                <c:pt idx="4">
                  <c:v>4.3847458635645769</c:v>
                </c:pt>
                <c:pt idx="5">
                  <c:v>5.0897617753044599</c:v>
                </c:pt>
                <c:pt idx="6">
                  <c:v>5.7336049564232479</c:v>
                </c:pt>
                <c:pt idx="7">
                  <c:v>6.3299237062167943</c:v>
                </c:pt>
                <c:pt idx="8">
                  <c:v>6.8879494116925732</c:v>
                </c:pt>
                <c:pt idx="9">
                  <c:v>7.414269095291675</c:v>
                </c:pt>
                <c:pt idx="10">
                  <c:v>7.9137771433194679</c:v>
                </c:pt>
                <c:pt idx="11">
                  <c:v>8.3902275750464277</c:v>
                </c:pt>
                <c:pt idx="12">
                  <c:v>8.8465743402385542</c:v>
                </c:pt>
                <c:pt idx="13">
                  <c:v>9.2851912894378952</c:v>
                </c:pt>
                <c:pt idx="14">
                  <c:v>9.7080200394773932</c:v>
                </c:pt>
                <c:pt idx="15">
                  <c:v>10.116672664776249</c:v>
                </c:pt>
                <c:pt idx="16">
                  <c:v>10.51250501208871</c:v>
                </c:pt>
                <c:pt idx="17">
                  <c:v>10.896670296925555</c:v>
                </c:pt>
                <c:pt idx="18">
                  <c:v>11.270159098454965</c:v>
                </c:pt>
                <c:pt idx="19">
                  <c:v>11.63382974673268</c:v>
                </c:pt>
                <c:pt idx="20">
                  <c:v>11.988431780303211</c:v>
                </c:pt>
                <c:pt idx="21">
                  <c:v>12.334624312510991</c:v>
                </c:pt>
                <c:pt idx="22">
                  <c:v>12.672990594993271</c:v>
                </c:pt>
                <c:pt idx="23">
                  <c:v>13.004049698396306</c:v>
                </c:pt>
                <c:pt idx="24">
                  <c:v>13.328265978368163</c:v>
                </c:pt>
                <c:pt idx="25">
                  <c:v>13.646056819311351</c:v>
                </c:pt>
                <c:pt idx="26">
                  <c:v>13.95779902398141</c:v>
                </c:pt>
                <c:pt idx="27">
                  <c:v>14.263834127521241</c:v>
                </c:pt>
                <c:pt idx="28">
                  <c:v>14.56447284922776</c:v>
                </c:pt>
                <c:pt idx="29">
                  <c:v>14.859998847097268</c:v>
                </c:pt>
                <c:pt idx="30">
                  <c:v>15.150671904116287</c:v>
                </c:pt>
                <c:pt idx="31">
                  <c:v>15.436730647989583</c:v>
                </c:pt>
                <c:pt idx="32">
                  <c:v>15.718394885168149</c:v>
                </c:pt>
                <c:pt idx="33">
                  <c:v>15.995867613983272</c:v>
                </c:pt>
                <c:pt idx="34">
                  <c:v>16.269336769205932</c:v>
                </c:pt>
                <c:pt idx="35">
                  <c:v>16.538976740560109</c:v>
                </c:pt>
                <c:pt idx="36">
                  <c:v>16.804949699982746</c:v>
                </c:pt>
                <c:pt idx="37">
                  <c:v>17.067406766266725</c:v>
                </c:pt>
                <c:pt idx="38">
                  <c:v>17.326489030790366</c:v>
                </c:pt>
                <c:pt idx="39">
                  <c:v>17.582328464059319</c:v>
                </c:pt>
                <c:pt idx="40">
                  <c:v>17.835048719559762</c:v>
                </c:pt>
                <c:pt idx="41">
                  <c:v>18.084765848789072</c:v>
                </c:pt>
                <c:pt idx="42">
                  <c:v>18.331588939170508</c:v>
                </c:pt>
                <c:pt idx="43">
                  <c:v>18.575620684777778</c:v>
                </c:pt>
                <c:pt idx="44">
                  <c:v>18.816957898320112</c:v>
                </c:pt>
                <c:pt idx="45">
                  <c:v>19.055691971610546</c:v>
                </c:pt>
                <c:pt idx="46">
                  <c:v>19.291909290713541</c:v>
                </c:pt>
                <c:pt idx="47">
                  <c:v>19.525691611106215</c:v>
                </c:pt>
                <c:pt idx="48">
                  <c:v>19.757116397461129</c:v>
                </c:pt>
                <c:pt idx="49">
                  <c:v>19.986257132043885</c:v>
                </c:pt>
                <c:pt idx="50">
                  <c:v>20.213183595196895</c:v>
                </c:pt>
                <c:pt idx="51">
                  <c:v>20.437962120935879</c:v>
                </c:pt>
                <c:pt idx="52">
                  <c:v>20.660655830305416</c:v>
                </c:pt>
                <c:pt idx="53">
                  <c:v>20.881324844813573</c:v>
                </c:pt>
                <c:pt idx="54">
                  <c:v>21.100026481985079</c:v>
                </c:pt>
                <c:pt idx="55">
                  <c:v>21.316815434830183</c:v>
                </c:pt>
                <c:pt idx="56">
                  <c:v>21.531743936816795</c:v>
                </c:pt>
                <c:pt idx="57">
                  <c:v>21.744861913751599</c:v>
                </c:pt>
                <c:pt idx="58">
                  <c:v>21.956217123817481</c:v>
                </c:pt>
                <c:pt idx="59">
                  <c:v>22.165855286876656</c:v>
                </c:pt>
                <c:pt idx="60">
                  <c:v>22.37382020402806</c:v>
                </c:pt>
                <c:pt idx="61">
                  <c:v>22.580153868301824</c:v>
                </c:pt>
                <c:pt idx="62">
                  <c:v>22.786487532575588</c:v>
                </c:pt>
                <c:pt idx="63">
                  <c:v>22.992821196849352</c:v>
                </c:pt>
                <c:pt idx="64">
                  <c:v>23.199154861123116</c:v>
                </c:pt>
                <c:pt idx="65">
                  <c:v>23.40548852539688</c:v>
                </c:pt>
                <c:pt idx="66">
                  <c:v>23.603716472196488</c:v>
                </c:pt>
                <c:pt idx="67">
                  <c:v>23.794740289614957</c:v>
                </c:pt>
                <c:pt idx="68">
                  <c:v>23.979306303691896</c:v>
                </c:pt>
                <c:pt idx="69">
                  <c:v>24.158040594196915</c:v>
                </c:pt>
                <c:pt idx="70">
                  <c:v>24.331474471188677</c:v>
                </c:pt>
                <c:pt idx="71">
                  <c:v>24.500063407563001</c:v>
                </c:pt>
                <c:pt idx="72">
                  <c:v>24.664201371263079</c:v>
                </c:pt>
                <c:pt idx="73">
                  <c:v>24.824231853459594</c:v>
                </c:pt>
                <c:pt idx="74">
                  <c:v>24.980456478321866</c:v>
                </c:pt>
                <c:pt idx="75">
                  <c:v>25.133141812476051</c:v>
                </c:pt>
                <c:pt idx="76">
                  <c:v>25.282524813832008</c:v>
                </c:pt>
                <c:pt idx="77">
                  <c:v>25.428817237945516</c:v>
                </c:pt>
                <c:pt idx="78">
                  <c:v>25.572209235738761</c:v>
                </c:pt>
                <c:pt idx="79">
                  <c:v>25.712872316847321</c:v>
                </c:pt>
                <c:pt idx="80">
                  <c:v>25.850961810150043</c:v>
                </c:pt>
                <c:pt idx="81">
                  <c:v>25.986618921966713</c:v>
                </c:pt>
                <c:pt idx="82">
                  <c:v>26.119972469507921</c:v>
                </c:pt>
                <c:pt idx="83">
                  <c:v>26.251140350079066</c:v>
                </c:pt>
                <c:pt idx="84">
                  <c:v>26.380201469464552</c:v>
                </c:pt>
                <c:pt idx="85">
                  <c:v>26.507258251539461</c:v>
                </c:pt>
                <c:pt idx="86">
                  <c:v>26.632405132822306</c:v>
                </c:pt>
                <c:pt idx="87">
                  <c:v>26.755729407453043</c:v>
                </c:pt>
                <c:pt idx="88">
                  <c:v>26.877311960639695</c:v>
                </c:pt>
                <c:pt idx="89">
                  <c:v>26.997227908052182</c:v>
                </c:pt>
                <c:pt idx="90">
                  <c:v>27.115547155494518</c:v>
                </c:pt>
                <c:pt idx="91">
                  <c:v>27.23233489067551</c:v>
                </c:pt>
                <c:pt idx="92">
                  <c:v>27.347652016881312</c:v>
                </c:pt>
                <c:pt idx="93">
                  <c:v>27.461555536723367</c:v>
                </c:pt>
                <c:pt idx="94">
                  <c:v>27.574098892810238</c:v>
                </c:pt>
                <c:pt idx="95">
                  <c:v>27.685332271108649</c:v>
                </c:pt>
                <c:pt idx="96">
                  <c:v>27.795302871868827</c:v>
                </c:pt>
                <c:pt idx="97">
                  <c:v>27.904055152253967</c:v>
                </c:pt>
                <c:pt idx="98">
                  <c:v>28.011631044203366</c:v>
                </c:pt>
                <c:pt idx="99">
                  <c:v>28.118070150550064</c:v>
                </c:pt>
                <c:pt idx="100">
                  <c:v>28.223409921987837</c:v>
                </c:pt>
                <c:pt idx="101">
                  <c:v>28.327685817124237</c:v>
                </c:pt>
                <c:pt idx="102">
                  <c:v>28.430931447554102</c:v>
                </c:pt>
                <c:pt idx="103">
                  <c:v>28.533178709631841</c:v>
                </c:pt>
                <c:pt idx="104">
                  <c:v>28.634457904403018</c:v>
                </c:pt>
                <c:pt idx="105">
                  <c:v>28.734797846969965</c:v>
                </c:pt>
                <c:pt idx="106">
                  <c:v>28.834225966407082</c:v>
                </c:pt>
                <c:pt idx="107">
                  <c:v>28.932768397204917</c:v>
                </c:pt>
                <c:pt idx="108">
                  <c:v>29.030450063104453</c:v>
                </c:pt>
                <c:pt idx="109">
                  <c:v>29.127294754081394</c:v>
                </c:pt>
                <c:pt idx="110">
                  <c:v>29.223325197152196</c:v>
                </c:pt>
                <c:pt idx="111">
                  <c:v>29.318557591261612</c:v>
                </c:pt>
                <c:pt idx="112">
                  <c:v>29.413013016835464</c:v>
                </c:pt>
                <c:pt idx="113">
                  <c:v>29.506711654040085</c:v>
                </c:pt>
                <c:pt idx="114">
                  <c:v>29.599672835616563</c:v>
                </c:pt>
                <c:pt idx="115">
                  <c:v>29.691915095796176</c:v>
                </c:pt>
                <c:pt idx="116">
                  <c:v>29.783456215646446</c:v>
                </c:pt>
                <c:pt idx="117">
                  <c:v>29.874313265160971</c:v>
                </c:pt>
                <c:pt idx="118">
                  <c:v>29.964502642374292</c:v>
                </c:pt>
                <c:pt idx="119">
                  <c:v>30.054040109754737</c:v>
                </c:pt>
                <c:pt idx="120">
                  <c:v>30.142940828103196</c:v>
                </c:pt>
                <c:pt idx="121">
                  <c:v>30.231219388163527</c:v>
                </c:pt>
                <c:pt idx="122">
                  <c:v>30.318889840130584</c:v>
                </c:pt>
                <c:pt idx="123">
                  <c:v>30.405965721224202</c:v>
                </c:pt>
                <c:pt idx="124">
                  <c:v>30.492460081481852</c:v>
                </c:pt>
                <c:pt idx="125">
                  <c:v>30.578385507908521</c:v>
                </c:pt>
                <c:pt idx="126">
                  <c:v>30.663754147109952</c:v>
                </c:pt>
                <c:pt idx="127">
                  <c:v>30.748577726523951</c:v>
                </c:pt>
                <c:pt idx="128">
                  <c:v>30.832867574354488</c:v>
                </c:pt>
                <c:pt idx="129">
                  <c:v>30.916634638304075</c:v>
                </c:pt>
                <c:pt idx="130">
                  <c:v>30.999889503191824</c:v>
                </c:pt>
                <c:pt idx="131">
                  <c:v>31.082642407537087</c:v>
                </c:pt>
                <c:pt idx="132">
                  <c:v>31.164903259181937</c:v>
                </c:pt>
                <c:pt idx="133">
                  <c:v>31.246681650019685</c:v>
                </c:pt>
                <c:pt idx="134">
                  <c:v>31.327986869891173</c:v>
                </c:pt>
                <c:pt idx="135">
                  <c:v>31.408827919705555</c:v>
                </c:pt>
                <c:pt idx="136">
                  <c:v>31.489213523837812</c:v>
                </c:pt>
                <c:pt idx="137">
                  <c:v>31.569152141851134</c:v>
                </c:pt>
                <c:pt idx="138">
                  <c:v>31.648651979588539</c:v>
                </c:pt>
                <c:pt idx="139">
                  <c:v>31.727720999674702</c:v>
                </c:pt>
                <c:pt idx="140">
                  <c:v>31.806366931465874</c:v>
                </c:pt>
                <c:pt idx="141">
                  <c:v>31.884597280482932</c:v>
                </c:pt>
                <c:pt idx="142">
                  <c:v>31.962419337359961</c:v>
                </c:pt>
                <c:pt idx="143">
                  <c:v>32.039840186338445</c:v>
                </c:pt>
                <c:pt idx="144">
                  <c:v>32.116866713334943</c:v>
                </c:pt>
                <c:pt idx="145">
                  <c:v>32.19350561360811</c:v>
                </c:pt>
                <c:pt idx="146">
                  <c:v>32.269763399049125</c:v>
                </c:pt>
                <c:pt idx="147">
                  <c:v>32.345646405117876</c:v>
                </c:pt>
                <c:pt idx="148">
                  <c:v>32.421160797445715</c:v>
                </c:pt>
                <c:pt idx="149">
                  <c:v>32.496312578124119</c:v>
                </c:pt>
                <c:pt idx="150">
                  <c:v>32.571107591697398</c:v>
                </c:pt>
                <c:pt idx="151">
                  <c:v>32.64555153087619</c:v>
                </c:pt>
                <c:pt idx="152">
                  <c:v>32.719649941987569</c:v>
                </c:pt>
                <c:pt idx="153">
                  <c:v>32.793408230176404</c:v>
                </c:pt>
                <c:pt idx="154">
                  <c:v>32.867057113587919</c:v>
                </c:pt>
                <c:pt idx="155">
                  <c:v>32.940705996999434</c:v>
                </c:pt>
                <c:pt idx="156">
                  <c:v>33.014354880410949</c:v>
                </c:pt>
                <c:pt idx="157">
                  <c:v>33.088003763822464</c:v>
                </c:pt>
                <c:pt idx="158">
                  <c:v>33.161652647233979</c:v>
                </c:pt>
                <c:pt idx="159">
                  <c:v>33.235301530645494</c:v>
                </c:pt>
                <c:pt idx="160">
                  <c:v>33.308950414057009</c:v>
                </c:pt>
                <c:pt idx="161">
                  <c:v>33.382599297468524</c:v>
                </c:pt>
                <c:pt idx="162">
                  <c:v>33.456248180880038</c:v>
                </c:pt>
                <c:pt idx="163">
                  <c:v>33.529897064291553</c:v>
                </c:pt>
                <c:pt idx="164">
                  <c:v>33.603545947703068</c:v>
                </c:pt>
                <c:pt idx="165">
                  <c:v>33.677194831114583</c:v>
                </c:pt>
                <c:pt idx="166">
                  <c:v>33.750843714526098</c:v>
                </c:pt>
                <c:pt idx="167">
                  <c:v>33.824492597937613</c:v>
                </c:pt>
                <c:pt idx="168">
                  <c:v>33.898141481349128</c:v>
                </c:pt>
                <c:pt idx="169">
                  <c:v>33.971790364760643</c:v>
                </c:pt>
                <c:pt idx="170">
                  <c:v>34.045439248172158</c:v>
                </c:pt>
                <c:pt idx="171">
                  <c:v>34.119088131583673</c:v>
                </c:pt>
                <c:pt idx="172">
                  <c:v>34.192737014995188</c:v>
                </c:pt>
                <c:pt idx="173">
                  <c:v>34.266385898406703</c:v>
                </c:pt>
                <c:pt idx="174">
                  <c:v>34.340466490468039</c:v>
                </c:pt>
                <c:pt idx="175">
                  <c:v>34.414987333505771</c:v>
                </c:pt>
                <c:pt idx="176">
                  <c:v>34.489957248959136</c:v>
                </c:pt>
                <c:pt idx="177">
                  <c:v>34.565385350278945</c:v>
                </c:pt>
                <c:pt idx="178">
                  <c:v>34.641281056602431</c:v>
                </c:pt>
                <c:pt idx="179">
                  <c:v>34.717654107261822</c:v>
                </c:pt>
                <c:pt idx="180">
                  <c:v>34.79451457718956</c:v>
                </c:pt>
                <c:pt idx="181">
                  <c:v>34.871872893288838</c:v>
                </c:pt>
                <c:pt idx="182">
                  <c:v>34.94973985184442</c:v>
                </c:pt>
                <c:pt idx="183">
                  <c:v>35.02812663705555</c:v>
                </c:pt>
                <c:pt idx="184">
                  <c:v>35.107044840780752</c:v>
                </c:pt>
                <c:pt idx="185">
                  <c:v>35.186506483592609</c:v>
                </c:pt>
                <c:pt idx="186">
                  <c:v>35.266524037250413</c:v>
                </c:pt>
                <c:pt idx="187">
                  <c:v>35.347110448709003</c:v>
                </c:pt>
                <c:pt idx="188">
                  <c:v>35.428279165794159</c:v>
                </c:pt>
                <c:pt idx="189">
                  <c:v>35.51004416468804</c:v>
                </c:pt>
                <c:pt idx="190">
                  <c:v>35.592419979383095</c:v>
                </c:pt>
                <c:pt idx="191">
                  <c:v>35.6754217332794</c:v>
                </c:pt>
                <c:pt idx="192">
                  <c:v>35.759065173119225</c:v>
                </c:pt>
                <c:pt idx="193">
                  <c:v>35.843366705473507</c:v>
                </c:pt>
                <c:pt idx="194">
                  <c:v>35.9283434360187</c:v>
                </c:pt>
                <c:pt idx="195">
                  <c:v>36.014013211869276</c:v>
                </c:pt>
                <c:pt idx="196">
                  <c:v>36.100394667261376</c:v>
                </c:pt>
                <c:pt idx="197">
                  <c:v>36.187507272917557</c:v>
                </c:pt>
                <c:pt idx="198">
                  <c:v>36.275371389461711</c:v>
                </c:pt>
                <c:pt idx="199">
                  <c:v>36.364008325297597</c:v>
                </c:pt>
                <c:pt idx="200">
                  <c:v>36.453440399415442</c:v>
                </c:pt>
                <c:pt idx="201">
                  <c:v>36.543691009649145</c:v>
                </c:pt>
                <c:pt idx="202">
                  <c:v>36.634784706973392</c:v>
                </c:pt>
                <c:pt idx="203">
                  <c:v>36.726747276506813</c:v>
                </c:pt>
                <c:pt idx="204">
                  <c:v>36.819605825975941</c:v>
                </c:pt>
                <c:pt idx="205">
                  <c:v>36.913388882497038</c:v>
                </c:pt>
                <c:pt idx="206">
                  <c:v>37.00812649865194</c:v>
                </c:pt>
                <c:pt idx="207">
                  <c:v>37.103850368972076</c:v>
                </c:pt>
                <c:pt idx="208">
                  <c:v>37.200593958106467</c:v>
                </c:pt>
                <c:pt idx="209">
                  <c:v>37.298385118451762</c:v>
                </c:pt>
                <c:pt idx="210">
                  <c:v>37.397260755518516</c:v>
                </c:pt>
                <c:pt idx="211">
                  <c:v>37.497259966646538</c:v>
                </c:pt>
                <c:pt idx="212">
                  <c:v>37.595992520555583</c:v>
                </c:pt>
                <c:pt idx="213">
                  <c:v>37.69350685921156</c:v>
                </c:pt>
                <c:pt idx="214">
                  <c:v>37.789848437675523</c:v>
                </c:pt>
                <c:pt idx="215">
                  <c:v>37.885052131484869</c:v>
                </c:pt>
                <c:pt idx="216">
                  <c:v>37.979158702996152</c:v>
                </c:pt>
                <c:pt idx="217">
                  <c:v>38.072206558144707</c:v>
                </c:pt>
                <c:pt idx="218">
                  <c:v>38.164231932624304</c:v>
                </c:pt>
                <c:pt idx="219">
                  <c:v>38.255269059578637</c:v>
                </c:pt>
                <c:pt idx="220">
                  <c:v>38.345350320999756</c:v>
                </c:pt>
                <c:pt idx="221">
                  <c:v>38.434506384727037</c:v>
                </c:pt>
                <c:pt idx="222">
                  <c:v>38.52276632868567</c:v>
                </c:pt>
                <c:pt idx="223">
                  <c:v>38.610157753787568</c:v>
                </c:pt>
                <c:pt idx="224">
                  <c:v>38.696706886733921</c:v>
                </c:pt>
                <c:pt idx="225">
                  <c:v>38.782438673801586</c:v>
                </c:pt>
                <c:pt idx="226">
                  <c:v>38.867376866561152</c:v>
                </c:pt>
                <c:pt idx="227">
                  <c:v>38.951544100358952</c:v>
                </c:pt>
                <c:pt idx="228">
                  <c:v>39.034961966295725</c:v>
                </c:pt>
                <c:pt idx="229">
                  <c:v>39.117651077348462</c:v>
                </c:pt>
                <c:pt idx="230">
                  <c:v>39.199631129207532</c:v>
                </c:pt>
                <c:pt idx="231">
                  <c:v>39.280920956336111</c:v>
                </c:pt>
                <c:pt idx="232">
                  <c:v>39.361538583702583</c:v>
                </c:pt>
                <c:pt idx="233">
                  <c:v>39.441501274587139</c:v>
                </c:pt>
                <c:pt idx="234">
                  <c:v>39.520825574820542</c:v>
                </c:pt>
                <c:pt idx="235">
                  <c:v>39.59952735377513</c:v>
                </c:pt>
                <c:pt idx="236">
                  <c:v>39.677621842394757</c:v>
                </c:pt>
                <c:pt idx="237">
                  <c:v>39.755123668520817</c:v>
                </c:pt>
                <c:pt idx="238">
                  <c:v>39.832046889745712</c:v>
                </c:pt>
                <c:pt idx="239">
                  <c:v>39.908405024001922</c:v>
                </c:pt>
                <c:pt idx="240">
                  <c:v>39.984211078074523</c:v>
                </c:pt>
                <c:pt idx="241">
                  <c:v>40.059477574206831</c:v>
                </c:pt>
                <c:pt idx="242">
                  <c:v>40.134216574952731</c:v>
                </c:pt>
                <c:pt idx="243">
                  <c:v>40.208439706414829</c:v>
                </c:pt>
                <c:pt idx="244">
                  <c:v>40.282158179994681</c:v>
                </c:pt>
                <c:pt idx="245">
                  <c:v>40.355807063406196</c:v>
                </c:pt>
                <c:pt idx="246">
                  <c:v>40.429455946817711</c:v>
                </c:pt>
                <c:pt idx="247">
                  <c:v>40.503104830229226</c:v>
                </c:pt>
                <c:pt idx="248">
                  <c:v>40.576753713640741</c:v>
                </c:pt>
                <c:pt idx="249">
                  <c:v>40.650402597052256</c:v>
                </c:pt>
                <c:pt idx="250">
                  <c:v>40.724051480463771</c:v>
                </c:pt>
                <c:pt idx="251">
                  <c:v>40.797700363875286</c:v>
                </c:pt>
                <c:pt idx="252">
                  <c:v>40.871349247286801</c:v>
                </c:pt>
                <c:pt idx="253">
                  <c:v>40.944998130698316</c:v>
                </c:pt>
                <c:pt idx="254">
                  <c:v>41.018647014109831</c:v>
                </c:pt>
                <c:pt idx="255">
                  <c:v>41.092295897521346</c:v>
                </c:pt>
                <c:pt idx="256">
                  <c:v>41.165944780932861</c:v>
                </c:pt>
                <c:pt idx="257">
                  <c:v>41.239593664344376</c:v>
                </c:pt>
                <c:pt idx="258">
                  <c:v>41.313242547755891</c:v>
                </c:pt>
                <c:pt idx="259">
                  <c:v>41.386891431167406</c:v>
                </c:pt>
                <c:pt idx="260">
                  <c:v>41.460540314578921</c:v>
                </c:pt>
                <c:pt idx="261">
                  <c:v>41.534189197990436</c:v>
                </c:pt>
                <c:pt idx="262">
                  <c:v>41.607838081401951</c:v>
                </c:pt>
                <c:pt idx="263">
                  <c:v>41.681486964813466</c:v>
                </c:pt>
                <c:pt idx="264">
                  <c:v>41.755135848224981</c:v>
                </c:pt>
                <c:pt idx="265">
                  <c:v>41.828784731636496</c:v>
                </c:pt>
                <c:pt idx="266">
                  <c:v>41.902433615048011</c:v>
                </c:pt>
                <c:pt idx="267">
                  <c:v>41.976082498459526</c:v>
                </c:pt>
                <c:pt idx="268">
                  <c:v>42.049731381871041</c:v>
                </c:pt>
                <c:pt idx="269">
                  <c:v>42.123380265282556</c:v>
                </c:pt>
                <c:pt idx="270">
                  <c:v>42.197029148694071</c:v>
                </c:pt>
                <c:pt idx="271">
                  <c:v>42.270678032105586</c:v>
                </c:pt>
                <c:pt idx="272">
                  <c:v>42.344326915517101</c:v>
                </c:pt>
                <c:pt idx="273">
                  <c:v>42.417975798928616</c:v>
                </c:pt>
                <c:pt idx="274">
                  <c:v>42.491624682340131</c:v>
                </c:pt>
                <c:pt idx="275">
                  <c:v>42.565273565751646</c:v>
                </c:pt>
                <c:pt idx="276">
                  <c:v>42.638922449163161</c:v>
                </c:pt>
                <c:pt idx="277">
                  <c:v>42.712571332574676</c:v>
                </c:pt>
                <c:pt idx="278">
                  <c:v>42.786220215986191</c:v>
                </c:pt>
                <c:pt idx="279">
                  <c:v>42.859869099397706</c:v>
                </c:pt>
                <c:pt idx="280">
                  <c:v>42.933517982809221</c:v>
                </c:pt>
                <c:pt idx="281">
                  <c:v>43.007166866220736</c:v>
                </c:pt>
                <c:pt idx="282">
                  <c:v>43.080815749632251</c:v>
                </c:pt>
                <c:pt idx="283">
                  <c:v>43.154464633043766</c:v>
                </c:pt>
                <c:pt idx="284">
                  <c:v>43.228113516455281</c:v>
                </c:pt>
                <c:pt idx="285">
                  <c:v>43.301762399866796</c:v>
                </c:pt>
                <c:pt idx="286">
                  <c:v>43.375411283278311</c:v>
                </c:pt>
                <c:pt idx="287">
                  <c:v>43.449060166689826</c:v>
                </c:pt>
                <c:pt idx="288">
                  <c:v>43.522709050101341</c:v>
                </c:pt>
                <c:pt idx="289">
                  <c:v>43.596357933512856</c:v>
                </c:pt>
                <c:pt idx="290">
                  <c:v>43.670006816924371</c:v>
                </c:pt>
                <c:pt idx="291">
                  <c:v>43.743655700335886</c:v>
                </c:pt>
                <c:pt idx="292">
                  <c:v>43.817304583747401</c:v>
                </c:pt>
                <c:pt idx="293">
                  <c:v>43.890953467158916</c:v>
                </c:pt>
                <c:pt idx="294">
                  <c:v>43.964602350570431</c:v>
                </c:pt>
                <c:pt idx="295">
                  <c:v>44.038251233981946</c:v>
                </c:pt>
                <c:pt idx="296">
                  <c:v>44.111900117393461</c:v>
                </c:pt>
                <c:pt idx="297">
                  <c:v>44.185549000804976</c:v>
                </c:pt>
                <c:pt idx="298">
                  <c:v>44.259197884216491</c:v>
                </c:pt>
                <c:pt idx="299">
                  <c:v>44.332846767628006</c:v>
                </c:pt>
                <c:pt idx="300">
                  <c:v>44.406495651039521</c:v>
                </c:pt>
                <c:pt idx="301">
                  <c:v>44.480144534451036</c:v>
                </c:pt>
                <c:pt idx="302">
                  <c:v>44.553793417862551</c:v>
                </c:pt>
                <c:pt idx="303">
                  <c:v>44.627442301274066</c:v>
                </c:pt>
                <c:pt idx="304">
                  <c:v>44.701091184685581</c:v>
                </c:pt>
                <c:pt idx="305">
                  <c:v>44.774740068097096</c:v>
                </c:pt>
                <c:pt idx="306">
                  <c:v>44.84838895150861</c:v>
                </c:pt>
                <c:pt idx="307">
                  <c:v>44.922037834920125</c:v>
                </c:pt>
                <c:pt idx="308">
                  <c:v>44.99568671833164</c:v>
                </c:pt>
                <c:pt idx="309">
                  <c:v>45.069335601743155</c:v>
                </c:pt>
                <c:pt idx="310">
                  <c:v>45.14298448515467</c:v>
                </c:pt>
                <c:pt idx="311">
                  <c:v>45.216633368566185</c:v>
                </c:pt>
                <c:pt idx="312">
                  <c:v>45.2902822519777</c:v>
                </c:pt>
                <c:pt idx="313">
                  <c:v>45.363931135389215</c:v>
                </c:pt>
                <c:pt idx="314">
                  <c:v>45.43758001880073</c:v>
                </c:pt>
              </c:numCache>
            </c:numRef>
          </c:cat>
          <c:val>
            <c:numRef>
              <c:f>'Fuel Consumption'!$J$4:$J$318</c:f>
              <c:numCache>
                <c:formatCode>General</c:formatCode>
                <c:ptCount val="315"/>
                <c:pt idx="0">
                  <c:v>0</c:v>
                </c:pt>
                <c:pt idx="1">
                  <c:v>0.15755499567888889</c:v>
                </c:pt>
                <c:pt idx="2">
                  <c:v>0.20133261604666663</c:v>
                </c:pt>
                <c:pt idx="3">
                  <c:v>0.40627180722222223</c:v>
                </c:pt>
                <c:pt idx="4">
                  <c:v>0.47257574844444444</c:v>
                </c:pt>
                <c:pt idx="5">
                  <c:v>0.56453052666666659</c:v>
                </c:pt>
                <c:pt idx="6">
                  <c:v>0.63409970988888886</c:v>
                </c:pt>
                <c:pt idx="7">
                  <c:v>0.74913195666666654</c:v>
                </c:pt>
                <c:pt idx="8">
                  <c:v>0.82983402944444429</c:v>
                </c:pt>
                <c:pt idx="9">
                  <c:v>0.91572992000000009</c:v>
                </c:pt>
                <c:pt idx="10">
                  <c:v>0.97404059555555578</c:v>
                </c:pt>
                <c:pt idx="11">
                  <c:v>1.0191578466666666</c:v>
                </c:pt>
                <c:pt idx="12">
                  <c:v>1.0404113866666664</c:v>
                </c:pt>
                <c:pt idx="13">
                  <c:v>1.0862841699999999</c:v>
                </c:pt>
                <c:pt idx="14">
                  <c:v>1.1968301800000001</c:v>
                </c:pt>
                <c:pt idx="15">
                  <c:v>1.2861002700000002</c:v>
                </c:pt>
                <c:pt idx="16">
                  <c:v>1.3248114533333335</c:v>
                </c:pt>
                <c:pt idx="17">
                  <c:v>1.3839369266666668</c:v>
                </c:pt>
                <c:pt idx="18">
                  <c:v>1.4129986000000001</c:v>
                </c:pt>
                <c:pt idx="19">
                  <c:v>1.471121946666667</c:v>
                </c:pt>
                <c:pt idx="20">
                  <c:v>1.5001836200000003</c:v>
                </c:pt>
                <c:pt idx="21">
                  <c:v>1.4881365488888887</c:v>
                </c:pt>
                <c:pt idx="22">
                  <c:v>1.5524989422222222</c:v>
                </c:pt>
                <c:pt idx="23">
                  <c:v>1.5846801388888891</c:v>
                </c:pt>
                <c:pt idx="24">
                  <c:v>1.6168613355555552</c:v>
                </c:pt>
                <c:pt idx="25">
                  <c:v>1.5578908644444447</c:v>
                </c:pt>
                <c:pt idx="26">
                  <c:v>1.5680070388888889</c:v>
                </c:pt>
                <c:pt idx="27">
                  <c:v>1.5735249522222221</c:v>
                </c:pt>
                <c:pt idx="28">
                  <c:v>1.5799625177777779</c:v>
                </c:pt>
                <c:pt idx="29">
                  <c:v>1.6758649622222221</c:v>
                </c:pt>
                <c:pt idx="30">
                  <c:v>1.6836415977777777</c:v>
                </c:pt>
                <c:pt idx="31">
                  <c:v>1.6885019950000002</c:v>
                </c:pt>
                <c:pt idx="32">
                  <c:v>1.6953065511111114</c:v>
                </c:pt>
                <c:pt idx="33">
                  <c:v>1.4692967333333335</c:v>
                </c:pt>
                <c:pt idx="34">
                  <c:v>1.4983223500000002</c:v>
                </c:pt>
                <c:pt idx="35">
                  <c:v>1.4878203277777775</c:v>
                </c:pt>
                <c:pt idx="36">
                  <c:v>1.5199946861111109</c:v>
                </c:pt>
                <c:pt idx="37">
                  <c:v>1.5199946861111109</c:v>
                </c:pt>
                <c:pt idx="38">
                  <c:v>1.5521690444444445</c:v>
                </c:pt>
                <c:pt idx="39">
                  <c:v>1.5521690444444445</c:v>
                </c:pt>
                <c:pt idx="40">
                  <c:v>1.5843434027777779</c:v>
                </c:pt>
                <c:pt idx="41">
                  <c:v>1.5843434027777779</c:v>
                </c:pt>
                <c:pt idx="42">
                  <c:v>1.6165177611111108</c:v>
                </c:pt>
                <c:pt idx="43">
                  <c:v>1.6165177611111108</c:v>
                </c:pt>
                <c:pt idx="44">
                  <c:v>1.5578908644444447</c:v>
                </c:pt>
                <c:pt idx="45">
                  <c:v>1.5578908644444447</c:v>
                </c:pt>
                <c:pt idx="46">
                  <c:v>1.5680070388888889</c:v>
                </c:pt>
                <c:pt idx="47">
                  <c:v>1.5735249522222221</c:v>
                </c:pt>
                <c:pt idx="48">
                  <c:v>1.5735249522222221</c:v>
                </c:pt>
                <c:pt idx="49">
                  <c:v>1.5799625177777779</c:v>
                </c:pt>
                <c:pt idx="50">
                  <c:v>1.5799625177777779</c:v>
                </c:pt>
                <c:pt idx="51">
                  <c:v>1.7040877999999999</c:v>
                </c:pt>
                <c:pt idx="52">
                  <c:v>1.7040877999999999</c:v>
                </c:pt>
                <c:pt idx="53">
                  <c:v>1.6836415977777777</c:v>
                </c:pt>
                <c:pt idx="54">
                  <c:v>1.6836415977777777</c:v>
                </c:pt>
                <c:pt idx="55">
                  <c:v>1.6885019950000002</c:v>
                </c:pt>
                <c:pt idx="56">
                  <c:v>1.6953065511111114</c:v>
                </c:pt>
                <c:pt idx="57">
                  <c:v>1.6953065511111114</c:v>
                </c:pt>
                <c:pt idx="58">
                  <c:v>1.7011390277777778</c:v>
                </c:pt>
                <c:pt idx="59">
                  <c:v>1.7011390277777778</c:v>
                </c:pt>
                <c:pt idx="60">
                  <c:v>1.7303014111111112</c:v>
                </c:pt>
                <c:pt idx="61">
                  <c:v>1.7497430000000003</c:v>
                </c:pt>
                <c:pt idx="62">
                  <c:v>1.8814120000000001</c:v>
                </c:pt>
                <c:pt idx="63">
                  <c:v>1.7559845333333335</c:v>
                </c:pt>
                <c:pt idx="64">
                  <c:v>1.7559845333333335</c:v>
                </c:pt>
                <c:pt idx="65">
                  <c:v>1.6379673333333336</c:v>
                </c:pt>
                <c:pt idx="66">
                  <c:v>1.6379673333333336</c:v>
                </c:pt>
                <c:pt idx="67">
                  <c:v>1.6379673333333336</c:v>
                </c:pt>
                <c:pt idx="68">
                  <c:v>1.6379673333333336</c:v>
                </c:pt>
                <c:pt idx="69">
                  <c:v>1.6379673333333336</c:v>
                </c:pt>
                <c:pt idx="70">
                  <c:v>1.6379673333333336</c:v>
                </c:pt>
                <c:pt idx="71">
                  <c:v>1.6379673333333336</c:v>
                </c:pt>
                <c:pt idx="72">
                  <c:v>1.6379673333333336</c:v>
                </c:pt>
                <c:pt idx="73">
                  <c:v>1.6379673333333336</c:v>
                </c:pt>
                <c:pt idx="74">
                  <c:v>1.5450157333333334</c:v>
                </c:pt>
                <c:pt idx="75">
                  <c:v>1.5450157333333334</c:v>
                </c:pt>
                <c:pt idx="76">
                  <c:v>1.5450157333333334</c:v>
                </c:pt>
                <c:pt idx="77">
                  <c:v>1.5450157333333334</c:v>
                </c:pt>
                <c:pt idx="78">
                  <c:v>1.5450157333333334</c:v>
                </c:pt>
                <c:pt idx="79">
                  <c:v>1.5450157333333334</c:v>
                </c:pt>
                <c:pt idx="80">
                  <c:v>1.5450157333333334</c:v>
                </c:pt>
                <c:pt idx="81">
                  <c:v>1.5450157333333334</c:v>
                </c:pt>
                <c:pt idx="82">
                  <c:v>1.5450157333333334</c:v>
                </c:pt>
                <c:pt idx="83">
                  <c:v>1.5450157333333334</c:v>
                </c:pt>
                <c:pt idx="84">
                  <c:v>1.1449670166666666</c:v>
                </c:pt>
                <c:pt idx="85">
                  <c:v>1.1449670166666666</c:v>
                </c:pt>
                <c:pt idx="86">
                  <c:v>1.2623996427777777</c:v>
                </c:pt>
                <c:pt idx="87">
                  <c:v>1.2623996427777777</c:v>
                </c:pt>
                <c:pt idx="88">
                  <c:v>1.2607870394444445</c:v>
                </c:pt>
                <c:pt idx="89">
                  <c:v>1.2607870394444445</c:v>
                </c:pt>
                <c:pt idx="90">
                  <c:v>1.2607870394444445</c:v>
                </c:pt>
                <c:pt idx="91">
                  <c:v>1.2607870394444445</c:v>
                </c:pt>
                <c:pt idx="92">
                  <c:v>1.2607870394444445</c:v>
                </c:pt>
                <c:pt idx="93">
                  <c:v>1.3103630911111113</c:v>
                </c:pt>
                <c:pt idx="94">
                  <c:v>1.3103630911111113</c:v>
                </c:pt>
                <c:pt idx="95">
                  <c:v>1.3103630911111113</c:v>
                </c:pt>
                <c:pt idx="96">
                  <c:v>1.3103630911111113</c:v>
                </c:pt>
                <c:pt idx="97">
                  <c:v>1.3103630911111113</c:v>
                </c:pt>
                <c:pt idx="98">
                  <c:v>1.3103630911111113</c:v>
                </c:pt>
                <c:pt idx="99">
                  <c:v>1.4636105555555556</c:v>
                </c:pt>
                <c:pt idx="100">
                  <c:v>1.4636105555555556</c:v>
                </c:pt>
                <c:pt idx="101">
                  <c:v>1.4636105555555556</c:v>
                </c:pt>
                <c:pt idx="102">
                  <c:v>1.4636105555555556</c:v>
                </c:pt>
                <c:pt idx="103">
                  <c:v>1.4636105555555556</c:v>
                </c:pt>
                <c:pt idx="104">
                  <c:v>1.4636105555555556</c:v>
                </c:pt>
                <c:pt idx="105">
                  <c:v>1.4636105555555556</c:v>
                </c:pt>
                <c:pt idx="106">
                  <c:v>1.4636105555555556</c:v>
                </c:pt>
                <c:pt idx="107">
                  <c:v>2.0390169333333339</c:v>
                </c:pt>
                <c:pt idx="108">
                  <c:v>2.0390169333333339</c:v>
                </c:pt>
                <c:pt idx="109">
                  <c:v>2.0390169333333339</c:v>
                </c:pt>
                <c:pt idx="110">
                  <c:v>2.0390169333333339</c:v>
                </c:pt>
                <c:pt idx="111">
                  <c:v>2.0390169333333339</c:v>
                </c:pt>
                <c:pt idx="112">
                  <c:v>2.0390169333333339</c:v>
                </c:pt>
                <c:pt idx="113">
                  <c:v>2.0390169333333339</c:v>
                </c:pt>
                <c:pt idx="114">
                  <c:v>2.0390169333333339</c:v>
                </c:pt>
                <c:pt idx="115">
                  <c:v>2.0390169333333339</c:v>
                </c:pt>
                <c:pt idx="116">
                  <c:v>2.1846610000000002</c:v>
                </c:pt>
                <c:pt idx="117">
                  <c:v>2.1846610000000002</c:v>
                </c:pt>
                <c:pt idx="118">
                  <c:v>2.1846610000000002</c:v>
                </c:pt>
                <c:pt idx="119">
                  <c:v>2.1846610000000002</c:v>
                </c:pt>
                <c:pt idx="120">
                  <c:v>2.1603869888888889</c:v>
                </c:pt>
                <c:pt idx="121">
                  <c:v>2.1603869888888889</c:v>
                </c:pt>
                <c:pt idx="122">
                  <c:v>2.1603869888888889</c:v>
                </c:pt>
                <c:pt idx="123">
                  <c:v>2.1603869888888889</c:v>
                </c:pt>
                <c:pt idx="124">
                  <c:v>2.1603869888888889</c:v>
                </c:pt>
                <c:pt idx="125">
                  <c:v>2.1603869888888889</c:v>
                </c:pt>
                <c:pt idx="126">
                  <c:v>2.1603869888888889</c:v>
                </c:pt>
                <c:pt idx="127">
                  <c:v>2.1603869888888889</c:v>
                </c:pt>
                <c:pt idx="128">
                  <c:v>1.9368605222222224</c:v>
                </c:pt>
                <c:pt idx="129">
                  <c:v>1.9368605222222224</c:v>
                </c:pt>
                <c:pt idx="130">
                  <c:v>1.6628008444444444</c:v>
                </c:pt>
                <c:pt idx="131">
                  <c:v>1.6628008444444444</c:v>
                </c:pt>
                <c:pt idx="132">
                  <c:v>1.6628008444444444</c:v>
                </c:pt>
                <c:pt idx="133">
                  <c:v>1.6628008444444444</c:v>
                </c:pt>
                <c:pt idx="134">
                  <c:v>1.6628008444444444</c:v>
                </c:pt>
                <c:pt idx="135">
                  <c:v>1.6628008444444444</c:v>
                </c:pt>
                <c:pt idx="136">
                  <c:v>1.6628008444444444</c:v>
                </c:pt>
                <c:pt idx="137">
                  <c:v>1.5746443666666665</c:v>
                </c:pt>
                <c:pt idx="138">
                  <c:v>1.5746443666666665</c:v>
                </c:pt>
                <c:pt idx="139">
                  <c:v>1.5746443666666665</c:v>
                </c:pt>
                <c:pt idx="140">
                  <c:v>1.5746443666666665</c:v>
                </c:pt>
                <c:pt idx="141">
                  <c:v>1.5746443666666665</c:v>
                </c:pt>
                <c:pt idx="142">
                  <c:v>1.5746443666666665</c:v>
                </c:pt>
                <c:pt idx="143">
                  <c:v>1.5746443666666665</c:v>
                </c:pt>
                <c:pt idx="144">
                  <c:v>1.5746443666666665</c:v>
                </c:pt>
                <c:pt idx="145">
                  <c:v>1.5746443666666665</c:v>
                </c:pt>
                <c:pt idx="146">
                  <c:v>1.5746443666666665</c:v>
                </c:pt>
                <c:pt idx="147">
                  <c:v>1.5746443666666665</c:v>
                </c:pt>
                <c:pt idx="148">
                  <c:v>1.5746443666666665</c:v>
                </c:pt>
                <c:pt idx="149">
                  <c:v>1.5746443666666665</c:v>
                </c:pt>
                <c:pt idx="150">
                  <c:v>1.5746443666666665</c:v>
                </c:pt>
                <c:pt idx="151">
                  <c:v>1.8151381888888889</c:v>
                </c:pt>
                <c:pt idx="152">
                  <c:v>1.8151381888888889</c:v>
                </c:pt>
                <c:pt idx="153">
                  <c:v>1.8151381888888889</c:v>
                </c:pt>
                <c:pt idx="154">
                  <c:v>1.8151381888888889</c:v>
                </c:pt>
                <c:pt idx="155">
                  <c:v>1.8151381888888889</c:v>
                </c:pt>
                <c:pt idx="156">
                  <c:v>1.8151381888888889</c:v>
                </c:pt>
                <c:pt idx="157">
                  <c:v>1.8151381888888889</c:v>
                </c:pt>
                <c:pt idx="158">
                  <c:v>1.8151381888888889</c:v>
                </c:pt>
                <c:pt idx="159">
                  <c:v>1.8151381888888889</c:v>
                </c:pt>
                <c:pt idx="160">
                  <c:v>1.8605074222222222</c:v>
                </c:pt>
                <c:pt idx="161">
                  <c:v>1.8605074222222222</c:v>
                </c:pt>
                <c:pt idx="162">
                  <c:v>1.8605074222222222</c:v>
                </c:pt>
                <c:pt idx="163">
                  <c:v>1.8605074222222222</c:v>
                </c:pt>
                <c:pt idx="164">
                  <c:v>1.8236218666666666</c:v>
                </c:pt>
                <c:pt idx="165">
                  <c:v>1.8236218666666666</c:v>
                </c:pt>
                <c:pt idx="166">
                  <c:v>1.8236218666666666</c:v>
                </c:pt>
                <c:pt idx="167">
                  <c:v>1.8236218666666666</c:v>
                </c:pt>
                <c:pt idx="168">
                  <c:v>1.8236218666666666</c:v>
                </c:pt>
                <c:pt idx="169">
                  <c:v>1.8236218666666666</c:v>
                </c:pt>
                <c:pt idx="170">
                  <c:v>1.5972058933333331</c:v>
                </c:pt>
                <c:pt idx="171">
                  <c:v>1.5972058933333331</c:v>
                </c:pt>
                <c:pt idx="172">
                  <c:v>1.6310146133333332</c:v>
                </c:pt>
                <c:pt idx="173">
                  <c:v>1.6310146133333332</c:v>
                </c:pt>
                <c:pt idx="174">
                  <c:v>1.6310146133333332</c:v>
                </c:pt>
                <c:pt idx="175">
                  <c:v>1.6648233333333333</c:v>
                </c:pt>
                <c:pt idx="176">
                  <c:v>1.6648233333333333</c:v>
                </c:pt>
                <c:pt idx="177">
                  <c:v>1.6986320533333328</c:v>
                </c:pt>
                <c:pt idx="178">
                  <c:v>1.6986320533333328</c:v>
                </c:pt>
                <c:pt idx="179">
                  <c:v>1.7355142933333336</c:v>
                </c:pt>
                <c:pt idx="180">
                  <c:v>1.7355142933333336</c:v>
                </c:pt>
                <c:pt idx="181">
                  <c:v>1.7467838666666666</c:v>
                </c:pt>
                <c:pt idx="182">
                  <c:v>1.7467838666666666</c:v>
                </c:pt>
                <c:pt idx="183">
                  <c:v>1.7467838666666666</c:v>
                </c:pt>
                <c:pt idx="184">
                  <c:v>1.7467838666666666</c:v>
                </c:pt>
                <c:pt idx="185">
                  <c:v>1.7529309066666663</c:v>
                </c:pt>
                <c:pt idx="186">
                  <c:v>1.7529309066666663</c:v>
                </c:pt>
                <c:pt idx="187">
                  <c:v>1.7529309066666663</c:v>
                </c:pt>
                <c:pt idx="188">
                  <c:v>1.7529309066666663</c:v>
                </c:pt>
                <c:pt idx="189">
                  <c:v>1.7601024533333334</c:v>
                </c:pt>
                <c:pt idx="190">
                  <c:v>1.7601024533333334</c:v>
                </c:pt>
                <c:pt idx="191">
                  <c:v>1.7601024533333334</c:v>
                </c:pt>
                <c:pt idx="192">
                  <c:v>1.766249493333333</c:v>
                </c:pt>
                <c:pt idx="193">
                  <c:v>1.766249493333333</c:v>
                </c:pt>
                <c:pt idx="194">
                  <c:v>1.766249493333333</c:v>
                </c:pt>
                <c:pt idx="195">
                  <c:v>1.7744455466666664</c:v>
                </c:pt>
                <c:pt idx="196">
                  <c:v>1.7744455466666664</c:v>
                </c:pt>
                <c:pt idx="197">
                  <c:v>1.7744455466666664</c:v>
                </c:pt>
                <c:pt idx="198">
                  <c:v>1.7744455466666664</c:v>
                </c:pt>
                <c:pt idx="199">
                  <c:v>1.77956808</c:v>
                </c:pt>
                <c:pt idx="200">
                  <c:v>1.77956808</c:v>
                </c:pt>
                <c:pt idx="201">
                  <c:v>1.77956808</c:v>
                </c:pt>
                <c:pt idx="202">
                  <c:v>1.77956808</c:v>
                </c:pt>
                <c:pt idx="203">
                  <c:v>1.7867396266666666</c:v>
                </c:pt>
                <c:pt idx="204">
                  <c:v>1.7867396266666666</c:v>
                </c:pt>
                <c:pt idx="205">
                  <c:v>1.7867396266666666</c:v>
                </c:pt>
                <c:pt idx="206">
                  <c:v>1.7867396266666666</c:v>
                </c:pt>
                <c:pt idx="207">
                  <c:v>1.7928866666666665</c:v>
                </c:pt>
                <c:pt idx="208">
                  <c:v>1.7928866666666665</c:v>
                </c:pt>
                <c:pt idx="209">
                  <c:v>1.7928866666666665</c:v>
                </c:pt>
                <c:pt idx="210">
                  <c:v>1.7928866666666665</c:v>
                </c:pt>
                <c:pt idx="211">
                  <c:v>1.8607656211111112</c:v>
                </c:pt>
                <c:pt idx="212">
                  <c:v>1.8607656211111112</c:v>
                </c:pt>
                <c:pt idx="213">
                  <c:v>1.8607656211111112</c:v>
                </c:pt>
                <c:pt idx="214">
                  <c:v>1.7354653888888889</c:v>
                </c:pt>
                <c:pt idx="215">
                  <c:v>1.7354653888888889</c:v>
                </c:pt>
                <c:pt idx="216">
                  <c:v>1.7354653888888889</c:v>
                </c:pt>
                <c:pt idx="217">
                  <c:v>1.7354653888888889</c:v>
                </c:pt>
                <c:pt idx="218">
                  <c:v>1.7354653888888889</c:v>
                </c:pt>
                <c:pt idx="219">
                  <c:v>1.7354653888888889</c:v>
                </c:pt>
                <c:pt idx="220">
                  <c:v>1.7354653888888889</c:v>
                </c:pt>
                <c:pt idx="221">
                  <c:v>1.7354653888888889</c:v>
                </c:pt>
                <c:pt idx="222">
                  <c:v>1.7354653888888889</c:v>
                </c:pt>
                <c:pt idx="223">
                  <c:v>1.7354653888888889</c:v>
                </c:pt>
                <c:pt idx="224">
                  <c:v>1.6369809555555557</c:v>
                </c:pt>
                <c:pt idx="225">
                  <c:v>1.6369809555555557</c:v>
                </c:pt>
                <c:pt idx="226">
                  <c:v>1.6369809555555557</c:v>
                </c:pt>
                <c:pt idx="227">
                  <c:v>1.1449670166666666</c:v>
                </c:pt>
                <c:pt idx="228">
                  <c:v>1.1449670166666666</c:v>
                </c:pt>
                <c:pt idx="229">
                  <c:v>1.1449670166666666</c:v>
                </c:pt>
                <c:pt idx="230">
                  <c:v>1.1449670166666666</c:v>
                </c:pt>
                <c:pt idx="231">
                  <c:v>1.1449670166666666</c:v>
                </c:pt>
                <c:pt idx="232">
                  <c:v>1.1449670166666666</c:v>
                </c:pt>
                <c:pt idx="233">
                  <c:v>1.1927889322222223</c:v>
                </c:pt>
                <c:pt idx="234">
                  <c:v>1.1927889322222223</c:v>
                </c:pt>
                <c:pt idx="235">
                  <c:v>1.1927889322222223</c:v>
                </c:pt>
                <c:pt idx="236">
                  <c:v>1.1129650672222222</c:v>
                </c:pt>
                <c:pt idx="237">
                  <c:v>1.1129650672222222</c:v>
                </c:pt>
                <c:pt idx="238">
                  <c:v>1.1129650672222222</c:v>
                </c:pt>
                <c:pt idx="239">
                  <c:v>1.2607870394444445</c:v>
                </c:pt>
                <c:pt idx="240">
                  <c:v>1.3103630911111113</c:v>
                </c:pt>
                <c:pt idx="241">
                  <c:v>1.3103630911111113</c:v>
                </c:pt>
                <c:pt idx="242">
                  <c:v>1.3103630911111113</c:v>
                </c:pt>
                <c:pt idx="243">
                  <c:v>1.3103630911111113</c:v>
                </c:pt>
                <c:pt idx="244">
                  <c:v>1.3103630911111113</c:v>
                </c:pt>
                <c:pt idx="245">
                  <c:v>1.3103630911111113</c:v>
                </c:pt>
                <c:pt idx="246">
                  <c:v>1.3609112222222224</c:v>
                </c:pt>
                <c:pt idx="247">
                  <c:v>1.3609112222222224</c:v>
                </c:pt>
                <c:pt idx="248">
                  <c:v>1.3609112222222224</c:v>
                </c:pt>
                <c:pt idx="249">
                  <c:v>1.3609112222222224</c:v>
                </c:pt>
                <c:pt idx="250">
                  <c:v>1.3609112222222224</c:v>
                </c:pt>
                <c:pt idx="251">
                  <c:v>1.3262719555555558</c:v>
                </c:pt>
                <c:pt idx="252">
                  <c:v>1.5915263466666669</c:v>
                </c:pt>
                <c:pt idx="253">
                  <c:v>1.5915263466666669</c:v>
                </c:pt>
                <c:pt idx="254">
                  <c:v>1.5915263466666669</c:v>
                </c:pt>
                <c:pt idx="255">
                  <c:v>1.5915263466666669</c:v>
                </c:pt>
                <c:pt idx="256">
                  <c:v>1.5915263466666669</c:v>
                </c:pt>
                <c:pt idx="257">
                  <c:v>1.7052068000000002</c:v>
                </c:pt>
                <c:pt idx="258">
                  <c:v>1.881785</c:v>
                </c:pt>
                <c:pt idx="259">
                  <c:v>1.881785</c:v>
                </c:pt>
                <c:pt idx="260">
                  <c:v>1.881785</c:v>
                </c:pt>
                <c:pt idx="261">
                  <c:v>1.8608762777777779</c:v>
                </c:pt>
                <c:pt idx="262">
                  <c:v>1.8608762777777779</c:v>
                </c:pt>
                <c:pt idx="263">
                  <c:v>1.8608762777777779</c:v>
                </c:pt>
                <c:pt idx="264">
                  <c:v>1.8608762777777779</c:v>
                </c:pt>
                <c:pt idx="265">
                  <c:v>1.8295131944444443</c:v>
                </c:pt>
                <c:pt idx="266">
                  <c:v>1.8232405777777778</c:v>
                </c:pt>
                <c:pt idx="267">
                  <c:v>1.8232405777777778</c:v>
                </c:pt>
                <c:pt idx="268">
                  <c:v>1.8159225250000002</c:v>
                </c:pt>
                <c:pt idx="269">
                  <c:v>1.8159225250000002</c:v>
                </c:pt>
                <c:pt idx="270">
                  <c:v>1.8106953444444442</c:v>
                </c:pt>
                <c:pt idx="271">
                  <c:v>1.9116506955555554</c:v>
                </c:pt>
                <c:pt idx="272">
                  <c:v>1.9049976188888891</c:v>
                </c:pt>
                <c:pt idx="273">
                  <c:v>1.9049976188888891</c:v>
                </c:pt>
                <c:pt idx="274">
                  <c:v>1.9049976188888891</c:v>
                </c:pt>
                <c:pt idx="275">
                  <c:v>1.8905826194444446</c:v>
                </c:pt>
                <c:pt idx="276">
                  <c:v>1.8905826194444446</c:v>
                </c:pt>
                <c:pt idx="277">
                  <c:v>1.5983085020555554</c:v>
                </c:pt>
                <c:pt idx="278">
                  <c:v>1.5983085020555554</c:v>
                </c:pt>
                <c:pt idx="279">
                  <c:v>1.6048474614444446</c:v>
                </c:pt>
                <c:pt idx="280">
                  <c:v>1.6104522837777777</c:v>
                </c:pt>
                <c:pt idx="281">
                  <c:v>1.6104522837777777</c:v>
                </c:pt>
                <c:pt idx="282">
                  <c:v>1.6179253802222222</c:v>
                </c:pt>
                <c:pt idx="283">
                  <c:v>1.6179253802222222</c:v>
                </c:pt>
                <c:pt idx="284">
                  <c:v>1.5321820466666665</c:v>
                </c:pt>
                <c:pt idx="285">
                  <c:v>1.5366052050000001</c:v>
                </c:pt>
                <c:pt idx="286">
                  <c:v>1.5366052050000001</c:v>
                </c:pt>
                <c:pt idx="287">
                  <c:v>1.5427976266666668</c:v>
                </c:pt>
                <c:pt idx="288">
                  <c:v>1.5427976266666668</c:v>
                </c:pt>
                <c:pt idx="289">
                  <c:v>1.5481054166666666</c:v>
                </c:pt>
                <c:pt idx="290">
                  <c:v>1.5746443666666665</c:v>
                </c:pt>
                <c:pt idx="291">
                  <c:v>1.5746443666666665</c:v>
                </c:pt>
                <c:pt idx="292">
                  <c:v>1.5923370000000001</c:v>
                </c:pt>
                <c:pt idx="293">
                  <c:v>1.5923370000000001</c:v>
                </c:pt>
                <c:pt idx="294">
                  <c:v>1.4861812000000001</c:v>
                </c:pt>
                <c:pt idx="295">
                  <c:v>1.4083336133333333</c:v>
                </c:pt>
                <c:pt idx="296">
                  <c:v>1.4083336133333333</c:v>
                </c:pt>
                <c:pt idx="297">
                  <c:v>1.4375264583333334</c:v>
                </c:pt>
                <c:pt idx="298">
                  <c:v>1.4375264583333334</c:v>
                </c:pt>
                <c:pt idx="299">
                  <c:v>1.4375264583333334</c:v>
                </c:pt>
                <c:pt idx="300">
                  <c:v>1.466719303333333</c:v>
                </c:pt>
                <c:pt idx="301">
                  <c:v>1.7332299998888885</c:v>
                </c:pt>
                <c:pt idx="302">
                  <c:v>1.7332299998888885</c:v>
                </c:pt>
                <c:pt idx="303">
                  <c:v>1.7708634618888892</c:v>
                </c:pt>
                <c:pt idx="304">
                  <c:v>1.7708634618888892</c:v>
                </c:pt>
                <c:pt idx="305">
                  <c:v>1.6045784455555558</c:v>
                </c:pt>
                <c:pt idx="306">
                  <c:v>1.6149977861111113</c:v>
                </c:pt>
                <c:pt idx="307">
                  <c:v>1.6149977861111113</c:v>
                </c:pt>
                <c:pt idx="308">
                  <c:v>1.6206810627777777</c:v>
                </c:pt>
                <c:pt idx="309">
                  <c:v>1.6206810627777777</c:v>
                </c:pt>
                <c:pt idx="310">
                  <c:v>1.6206810627777777</c:v>
                </c:pt>
                <c:pt idx="311">
                  <c:v>1.6206810627777777</c:v>
                </c:pt>
                <c:pt idx="312">
                  <c:v>1.6273115522222223</c:v>
                </c:pt>
                <c:pt idx="313">
                  <c:v>1.6273115522222223</c:v>
                </c:pt>
                <c:pt idx="314">
                  <c:v>1.6273115522222223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'Fuel Consumption'!$M$3</c:f>
              <c:strCache>
                <c:ptCount val="1"/>
                <c:pt idx="0">
                  <c:v>Total Fuel Consumed (L)</c:v>
                </c:pt>
              </c:strCache>
            </c:strRef>
          </c:tx>
          <c:marker>
            <c:symbol val="none"/>
          </c:marker>
          <c:cat>
            <c:numRef>
              <c:f>Simulation!$O$5:$O$319</c:f>
              <c:numCache>
                <c:formatCode>General</c:formatCode>
                <c:ptCount val="315"/>
                <c:pt idx="0">
                  <c:v>0</c:v>
                </c:pt>
                <c:pt idx="1">
                  <c:v>1.5739692661133495</c:v>
                </c:pt>
                <c:pt idx="2">
                  <c:v>2.687374443640091</c:v>
                </c:pt>
                <c:pt idx="3">
                  <c:v>3.5968259528392506</c:v>
                </c:pt>
                <c:pt idx="4">
                  <c:v>4.3847458635645769</c:v>
                </c:pt>
                <c:pt idx="5">
                  <c:v>5.0897617753044599</c:v>
                </c:pt>
                <c:pt idx="6">
                  <c:v>5.7336049564232479</c:v>
                </c:pt>
                <c:pt idx="7">
                  <c:v>6.3299237062167943</c:v>
                </c:pt>
                <c:pt idx="8">
                  <c:v>6.8879494116925732</c:v>
                </c:pt>
                <c:pt idx="9">
                  <c:v>7.414269095291675</c:v>
                </c:pt>
                <c:pt idx="10">
                  <c:v>7.9137771433194679</c:v>
                </c:pt>
                <c:pt idx="11">
                  <c:v>8.3902275750464277</c:v>
                </c:pt>
                <c:pt idx="12">
                  <c:v>8.8465743402385542</c:v>
                </c:pt>
                <c:pt idx="13">
                  <c:v>9.2851912894378952</c:v>
                </c:pt>
                <c:pt idx="14">
                  <c:v>9.7080200394773932</c:v>
                </c:pt>
                <c:pt idx="15">
                  <c:v>10.116672664776249</c:v>
                </c:pt>
                <c:pt idx="16">
                  <c:v>10.51250501208871</c:v>
                </c:pt>
                <c:pt idx="17">
                  <c:v>10.896670296925555</c:v>
                </c:pt>
                <c:pt idx="18">
                  <c:v>11.270159098454965</c:v>
                </c:pt>
                <c:pt idx="19">
                  <c:v>11.63382974673268</c:v>
                </c:pt>
                <c:pt idx="20">
                  <c:v>11.988431780303211</c:v>
                </c:pt>
                <c:pt idx="21">
                  <c:v>12.334624312510991</c:v>
                </c:pt>
                <c:pt idx="22">
                  <c:v>12.672990594993271</c:v>
                </c:pt>
                <c:pt idx="23">
                  <c:v>13.004049698396306</c:v>
                </c:pt>
                <c:pt idx="24">
                  <c:v>13.328265978368163</c:v>
                </c:pt>
                <c:pt idx="25">
                  <c:v>13.646056819311351</c:v>
                </c:pt>
                <c:pt idx="26">
                  <c:v>13.95779902398141</c:v>
                </c:pt>
                <c:pt idx="27">
                  <c:v>14.263834127521241</c:v>
                </c:pt>
                <c:pt idx="28">
                  <c:v>14.56447284922776</c:v>
                </c:pt>
                <c:pt idx="29">
                  <c:v>14.859998847097268</c:v>
                </c:pt>
                <c:pt idx="30">
                  <c:v>15.150671904116287</c:v>
                </c:pt>
                <c:pt idx="31">
                  <c:v>15.436730647989583</c:v>
                </c:pt>
                <c:pt idx="32">
                  <c:v>15.718394885168149</c:v>
                </c:pt>
                <c:pt idx="33">
                  <c:v>15.995867613983272</c:v>
                </c:pt>
                <c:pt idx="34">
                  <c:v>16.269336769205932</c:v>
                </c:pt>
                <c:pt idx="35">
                  <c:v>16.538976740560109</c:v>
                </c:pt>
                <c:pt idx="36">
                  <c:v>16.804949699982746</c:v>
                </c:pt>
                <c:pt idx="37">
                  <c:v>17.067406766266725</c:v>
                </c:pt>
                <c:pt idx="38">
                  <c:v>17.326489030790366</c:v>
                </c:pt>
                <c:pt idx="39">
                  <c:v>17.582328464059319</c:v>
                </c:pt>
                <c:pt idx="40">
                  <c:v>17.835048719559762</c:v>
                </c:pt>
                <c:pt idx="41">
                  <c:v>18.084765848789072</c:v>
                </c:pt>
                <c:pt idx="42">
                  <c:v>18.331588939170508</c:v>
                </c:pt>
                <c:pt idx="43">
                  <c:v>18.575620684777778</c:v>
                </c:pt>
                <c:pt idx="44">
                  <c:v>18.816957898320112</c:v>
                </c:pt>
                <c:pt idx="45">
                  <c:v>19.055691971610546</c:v>
                </c:pt>
                <c:pt idx="46">
                  <c:v>19.291909290713541</c:v>
                </c:pt>
                <c:pt idx="47">
                  <c:v>19.525691611106215</c:v>
                </c:pt>
                <c:pt idx="48">
                  <c:v>19.757116397461129</c:v>
                </c:pt>
                <c:pt idx="49">
                  <c:v>19.986257132043885</c:v>
                </c:pt>
                <c:pt idx="50">
                  <c:v>20.213183595196895</c:v>
                </c:pt>
                <c:pt idx="51">
                  <c:v>20.437962120935879</c:v>
                </c:pt>
                <c:pt idx="52">
                  <c:v>20.660655830305416</c:v>
                </c:pt>
                <c:pt idx="53">
                  <c:v>20.881324844813573</c:v>
                </c:pt>
                <c:pt idx="54">
                  <c:v>21.100026481985079</c:v>
                </c:pt>
                <c:pt idx="55">
                  <c:v>21.316815434830183</c:v>
                </c:pt>
                <c:pt idx="56">
                  <c:v>21.531743936816795</c:v>
                </c:pt>
                <c:pt idx="57">
                  <c:v>21.744861913751599</c:v>
                </c:pt>
                <c:pt idx="58">
                  <c:v>21.956217123817481</c:v>
                </c:pt>
                <c:pt idx="59">
                  <c:v>22.165855286876656</c:v>
                </c:pt>
                <c:pt idx="60">
                  <c:v>22.37382020402806</c:v>
                </c:pt>
                <c:pt idx="61">
                  <c:v>22.580153868301824</c:v>
                </c:pt>
                <c:pt idx="62">
                  <c:v>22.786487532575588</c:v>
                </c:pt>
                <c:pt idx="63">
                  <c:v>22.992821196849352</c:v>
                </c:pt>
                <c:pt idx="64">
                  <c:v>23.199154861123116</c:v>
                </c:pt>
                <c:pt idx="65">
                  <c:v>23.40548852539688</c:v>
                </c:pt>
                <c:pt idx="66">
                  <c:v>23.603716472196488</c:v>
                </c:pt>
                <c:pt idx="67">
                  <c:v>23.794740289614957</c:v>
                </c:pt>
                <c:pt idx="68">
                  <c:v>23.979306303691896</c:v>
                </c:pt>
                <c:pt idx="69">
                  <c:v>24.158040594196915</c:v>
                </c:pt>
                <c:pt idx="70">
                  <c:v>24.331474471188677</c:v>
                </c:pt>
                <c:pt idx="71">
                  <c:v>24.500063407563001</c:v>
                </c:pt>
                <c:pt idx="72">
                  <c:v>24.664201371263079</c:v>
                </c:pt>
                <c:pt idx="73">
                  <c:v>24.824231853459594</c:v>
                </c:pt>
                <c:pt idx="74">
                  <c:v>24.980456478321866</c:v>
                </c:pt>
                <c:pt idx="75">
                  <c:v>25.133141812476051</c:v>
                </c:pt>
                <c:pt idx="76">
                  <c:v>25.282524813832008</c:v>
                </c:pt>
                <c:pt idx="77">
                  <c:v>25.428817237945516</c:v>
                </c:pt>
                <c:pt idx="78">
                  <c:v>25.572209235738761</c:v>
                </c:pt>
                <c:pt idx="79">
                  <c:v>25.712872316847321</c:v>
                </c:pt>
                <c:pt idx="80">
                  <c:v>25.850961810150043</c:v>
                </c:pt>
                <c:pt idx="81">
                  <c:v>25.986618921966713</c:v>
                </c:pt>
                <c:pt idx="82">
                  <c:v>26.119972469507921</c:v>
                </c:pt>
                <c:pt idx="83">
                  <c:v>26.251140350079066</c:v>
                </c:pt>
                <c:pt idx="84">
                  <c:v>26.380201469464552</c:v>
                </c:pt>
                <c:pt idx="85">
                  <c:v>26.507258251539461</c:v>
                </c:pt>
                <c:pt idx="86">
                  <c:v>26.632405132822306</c:v>
                </c:pt>
                <c:pt idx="87">
                  <c:v>26.755729407453043</c:v>
                </c:pt>
                <c:pt idx="88">
                  <c:v>26.877311960639695</c:v>
                </c:pt>
                <c:pt idx="89">
                  <c:v>26.997227908052182</c:v>
                </c:pt>
                <c:pt idx="90">
                  <c:v>27.115547155494518</c:v>
                </c:pt>
                <c:pt idx="91">
                  <c:v>27.23233489067551</c:v>
                </c:pt>
                <c:pt idx="92">
                  <c:v>27.347652016881312</c:v>
                </c:pt>
                <c:pt idx="93">
                  <c:v>27.461555536723367</c:v>
                </c:pt>
                <c:pt idx="94">
                  <c:v>27.574098892810238</c:v>
                </c:pt>
                <c:pt idx="95">
                  <c:v>27.685332271108649</c:v>
                </c:pt>
                <c:pt idx="96">
                  <c:v>27.795302871868827</c:v>
                </c:pt>
                <c:pt idx="97">
                  <c:v>27.904055152253967</c:v>
                </c:pt>
                <c:pt idx="98">
                  <c:v>28.011631044203366</c:v>
                </c:pt>
                <c:pt idx="99">
                  <c:v>28.118070150550064</c:v>
                </c:pt>
                <c:pt idx="100">
                  <c:v>28.223409921987837</c:v>
                </c:pt>
                <c:pt idx="101">
                  <c:v>28.327685817124237</c:v>
                </c:pt>
                <c:pt idx="102">
                  <c:v>28.430931447554102</c:v>
                </c:pt>
                <c:pt idx="103">
                  <c:v>28.533178709631841</c:v>
                </c:pt>
                <c:pt idx="104">
                  <c:v>28.634457904403018</c:v>
                </c:pt>
                <c:pt idx="105">
                  <c:v>28.734797846969965</c:v>
                </c:pt>
                <c:pt idx="106">
                  <c:v>28.834225966407082</c:v>
                </c:pt>
                <c:pt idx="107">
                  <c:v>28.932768397204917</c:v>
                </c:pt>
                <c:pt idx="108">
                  <c:v>29.030450063104453</c:v>
                </c:pt>
                <c:pt idx="109">
                  <c:v>29.127294754081394</c:v>
                </c:pt>
                <c:pt idx="110">
                  <c:v>29.223325197152196</c:v>
                </c:pt>
                <c:pt idx="111">
                  <c:v>29.318557591261612</c:v>
                </c:pt>
                <c:pt idx="112">
                  <c:v>29.413013016835464</c:v>
                </c:pt>
                <c:pt idx="113">
                  <c:v>29.506711654040085</c:v>
                </c:pt>
                <c:pt idx="114">
                  <c:v>29.599672835616563</c:v>
                </c:pt>
                <c:pt idx="115">
                  <c:v>29.691915095796176</c:v>
                </c:pt>
                <c:pt idx="116">
                  <c:v>29.783456215646446</c:v>
                </c:pt>
                <c:pt idx="117">
                  <c:v>29.874313265160971</c:v>
                </c:pt>
                <c:pt idx="118">
                  <c:v>29.964502642374292</c:v>
                </c:pt>
                <c:pt idx="119">
                  <c:v>30.054040109754737</c:v>
                </c:pt>
                <c:pt idx="120">
                  <c:v>30.142940828103196</c:v>
                </c:pt>
                <c:pt idx="121">
                  <c:v>30.231219388163527</c:v>
                </c:pt>
                <c:pt idx="122">
                  <c:v>30.318889840130584</c:v>
                </c:pt>
                <c:pt idx="123">
                  <c:v>30.405965721224202</c:v>
                </c:pt>
                <c:pt idx="124">
                  <c:v>30.492460081481852</c:v>
                </c:pt>
                <c:pt idx="125">
                  <c:v>30.578385507908521</c:v>
                </c:pt>
                <c:pt idx="126">
                  <c:v>30.663754147109952</c:v>
                </c:pt>
                <c:pt idx="127">
                  <c:v>30.748577726523951</c:v>
                </c:pt>
                <c:pt idx="128">
                  <c:v>30.832867574354488</c:v>
                </c:pt>
                <c:pt idx="129">
                  <c:v>30.916634638304075</c:v>
                </c:pt>
                <c:pt idx="130">
                  <c:v>30.999889503191824</c:v>
                </c:pt>
                <c:pt idx="131">
                  <c:v>31.082642407537087</c:v>
                </c:pt>
                <c:pt idx="132">
                  <c:v>31.164903259181937</c:v>
                </c:pt>
                <c:pt idx="133">
                  <c:v>31.246681650019685</c:v>
                </c:pt>
                <c:pt idx="134">
                  <c:v>31.327986869891173</c:v>
                </c:pt>
                <c:pt idx="135">
                  <c:v>31.408827919705555</c:v>
                </c:pt>
                <c:pt idx="136">
                  <c:v>31.489213523837812</c:v>
                </c:pt>
                <c:pt idx="137">
                  <c:v>31.569152141851134</c:v>
                </c:pt>
                <c:pt idx="138">
                  <c:v>31.648651979588539</c:v>
                </c:pt>
                <c:pt idx="139">
                  <c:v>31.727720999674702</c:v>
                </c:pt>
                <c:pt idx="140">
                  <c:v>31.806366931465874</c:v>
                </c:pt>
                <c:pt idx="141">
                  <c:v>31.884597280482932</c:v>
                </c:pt>
                <c:pt idx="142">
                  <c:v>31.962419337359961</c:v>
                </c:pt>
                <c:pt idx="143">
                  <c:v>32.039840186338445</c:v>
                </c:pt>
                <c:pt idx="144">
                  <c:v>32.116866713334943</c:v>
                </c:pt>
                <c:pt idx="145">
                  <c:v>32.19350561360811</c:v>
                </c:pt>
                <c:pt idx="146">
                  <c:v>32.269763399049125</c:v>
                </c:pt>
                <c:pt idx="147">
                  <c:v>32.345646405117876</c:v>
                </c:pt>
                <c:pt idx="148">
                  <c:v>32.421160797445715</c:v>
                </c:pt>
                <c:pt idx="149">
                  <c:v>32.496312578124119</c:v>
                </c:pt>
                <c:pt idx="150">
                  <c:v>32.571107591697398</c:v>
                </c:pt>
                <c:pt idx="151">
                  <c:v>32.64555153087619</c:v>
                </c:pt>
                <c:pt idx="152">
                  <c:v>32.719649941987569</c:v>
                </c:pt>
                <c:pt idx="153">
                  <c:v>32.793408230176404</c:v>
                </c:pt>
                <c:pt idx="154">
                  <c:v>32.867057113587919</c:v>
                </c:pt>
                <c:pt idx="155">
                  <c:v>32.940705996999434</c:v>
                </c:pt>
                <c:pt idx="156">
                  <c:v>33.014354880410949</c:v>
                </c:pt>
                <c:pt idx="157">
                  <c:v>33.088003763822464</c:v>
                </c:pt>
                <c:pt idx="158">
                  <c:v>33.161652647233979</c:v>
                </c:pt>
                <c:pt idx="159">
                  <c:v>33.235301530645494</c:v>
                </c:pt>
                <c:pt idx="160">
                  <c:v>33.308950414057009</c:v>
                </c:pt>
                <c:pt idx="161">
                  <c:v>33.382599297468524</c:v>
                </c:pt>
                <c:pt idx="162">
                  <c:v>33.456248180880038</c:v>
                </c:pt>
                <c:pt idx="163">
                  <c:v>33.529897064291553</c:v>
                </c:pt>
                <c:pt idx="164">
                  <c:v>33.603545947703068</c:v>
                </c:pt>
                <c:pt idx="165">
                  <c:v>33.677194831114583</c:v>
                </c:pt>
                <c:pt idx="166">
                  <c:v>33.750843714526098</c:v>
                </c:pt>
                <c:pt idx="167">
                  <c:v>33.824492597937613</c:v>
                </c:pt>
                <c:pt idx="168">
                  <c:v>33.898141481349128</c:v>
                </c:pt>
                <c:pt idx="169">
                  <c:v>33.971790364760643</c:v>
                </c:pt>
                <c:pt idx="170">
                  <c:v>34.045439248172158</c:v>
                </c:pt>
                <c:pt idx="171">
                  <c:v>34.119088131583673</c:v>
                </c:pt>
                <c:pt idx="172">
                  <c:v>34.192737014995188</c:v>
                </c:pt>
                <c:pt idx="173">
                  <c:v>34.266385898406703</c:v>
                </c:pt>
                <c:pt idx="174">
                  <c:v>34.340466490468039</c:v>
                </c:pt>
                <c:pt idx="175">
                  <c:v>34.414987333505771</c:v>
                </c:pt>
                <c:pt idx="176">
                  <c:v>34.489957248959136</c:v>
                </c:pt>
                <c:pt idx="177">
                  <c:v>34.565385350278945</c:v>
                </c:pt>
                <c:pt idx="178">
                  <c:v>34.641281056602431</c:v>
                </c:pt>
                <c:pt idx="179">
                  <c:v>34.717654107261822</c:v>
                </c:pt>
                <c:pt idx="180">
                  <c:v>34.79451457718956</c:v>
                </c:pt>
                <c:pt idx="181">
                  <c:v>34.871872893288838</c:v>
                </c:pt>
                <c:pt idx="182">
                  <c:v>34.94973985184442</c:v>
                </c:pt>
                <c:pt idx="183">
                  <c:v>35.02812663705555</c:v>
                </c:pt>
                <c:pt idx="184">
                  <c:v>35.107044840780752</c:v>
                </c:pt>
                <c:pt idx="185">
                  <c:v>35.186506483592609</c:v>
                </c:pt>
                <c:pt idx="186">
                  <c:v>35.266524037250413</c:v>
                </c:pt>
                <c:pt idx="187">
                  <c:v>35.347110448709003</c:v>
                </c:pt>
                <c:pt idx="188">
                  <c:v>35.428279165794159</c:v>
                </c:pt>
                <c:pt idx="189">
                  <c:v>35.51004416468804</c:v>
                </c:pt>
                <c:pt idx="190">
                  <c:v>35.592419979383095</c:v>
                </c:pt>
                <c:pt idx="191">
                  <c:v>35.6754217332794</c:v>
                </c:pt>
                <c:pt idx="192">
                  <c:v>35.759065173119225</c:v>
                </c:pt>
                <c:pt idx="193">
                  <c:v>35.843366705473507</c:v>
                </c:pt>
                <c:pt idx="194">
                  <c:v>35.9283434360187</c:v>
                </c:pt>
                <c:pt idx="195">
                  <c:v>36.014013211869276</c:v>
                </c:pt>
                <c:pt idx="196">
                  <c:v>36.100394667261376</c:v>
                </c:pt>
                <c:pt idx="197">
                  <c:v>36.187507272917557</c:v>
                </c:pt>
                <c:pt idx="198">
                  <c:v>36.275371389461711</c:v>
                </c:pt>
                <c:pt idx="199">
                  <c:v>36.364008325297597</c:v>
                </c:pt>
                <c:pt idx="200">
                  <c:v>36.453440399415442</c:v>
                </c:pt>
                <c:pt idx="201">
                  <c:v>36.543691009649145</c:v>
                </c:pt>
                <c:pt idx="202">
                  <c:v>36.634784706973392</c:v>
                </c:pt>
                <c:pt idx="203">
                  <c:v>36.726747276506813</c:v>
                </c:pt>
                <c:pt idx="204">
                  <c:v>36.819605825975941</c:v>
                </c:pt>
                <c:pt idx="205">
                  <c:v>36.913388882497038</c:v>
                </c:pt>
                <c:pt idx="206">
                  <c:v>37.00812649865194</c:v>
                </c:pt>
                <c:pt idx="207">
                  <c:v>37.103850368972076</c:v>
                </c:pt>
                <c:pt idx="208">
                  <c:v>37.200593958106467</c:v>
                </c:pt>
                <c:pt idx="209">
                  <c:v>37.298385118451762</c:v>
                </c:pt>
                <c:pt idx="210">
                  <c:v>37.397260755518516</c:v>
                </c:pt>
                <c:pt idx="211">
                  <c:v>37.497259966646538</c:v>
                </c:pt>
                <c:pt idx="212">
                  <c:v>37.595992520555583</c:v>
                </c:pt>
                <c:pt idx="213">
                  <c:v>37.69350685921156</c:v>
                </c:pt>
                <c:pt idx="214">
                  <c:v>37.789848437675523</c:v>
                </c:pt>
                <c:pt idx="215">
                  <c:v>37.885052131484869</c:v>
                </c:pt>
                <c:pt idx="216">
                  <c:v>37.979158702996152</c:v>
                </c:pt>
                <c:pt idx="217">
                  <c:v>38.072206558144707</c:v>
                </c:pt>
                <c:pt idx="218">
                  <c:v>38.164231932624304</c:v>
                </c:pt>
                <c:pt idx="219">
                  <c:v>38.255269059578637</c:v>
                </c:pt>
                <c:pt idx="220">
                  <c:v>38.345350320999756</c:v>
                </c:pt>
                <c:pt idx="221">
                  <c:v>38.434506384727037</c:v>
                </c:pt>
                <c:pt idx="222">
                  <c:v>38.52276632868567</c:v>
                </c:pt>
                <c:pt idx="223">
                  <c:v>38.610157753787568</c:v>
                </c:pt>
                <c:pt idx="224">
                  <c:v>38.696706886733921</c:v>
                </c:pt>
                <c:pt idx="225">
                  <c:v>38.782438673801586</c:v>
                </c:pt>
                <c:pt idx="226">
                  <c:v>38.867376866561152</c:v>
                </c:pt>
                <c:pt idx="227">
                  <c:v>38.951544100358952</c:v>
                </c:pt>
                <c:pt idx="228">
                  <c:v>39.034961966295725</c:v>
                </c:pt>
                <c:pt idx="229">
                  <c:v>39.117651077348462</c:v>
                </c:pt>
                <c:pt idx="230">
                  <c:v>39.199631129207532</c:v>
                </c:pt>
                <c:pt idx="231">
                  <c:v>39.280920956336111</c:v>
                </c:pt>
                <c:pt idx="232">
                  <c:v>39.361538583702583</c:v>
                </c:pt>
                <c:pt idx="233">
                  <c:v>39.441501274587139</c:v>
                </c:pt>
                <c:pt idx="234">
                  <c:v>39.520825574820542</c:v>
                </c:pt>
                <c:pt idx="235">
                  <c:v>39.59952735377513</c:v>
                </c:pt>
                <c:pt idx="236">
                  <c:v>39.677621842394757</c:v>
                </c:pt>
                <c:pt idx="237">
                  <c:v>39.755123668520817</c:v>
                </c:pt>
                <c:pt idx="238">
                  <c:v>39.832046889745712</c:v>
                </c:pt>
                <c:pt idx="239">
                  <c:v>39.908405024001922</c:v>
                </c:pt>
                <c:pt idx="240">
                  <c:v>39.984211078074523</c:v>
                </c:pt>
                <c:pt idx="241">
                  <c:v>40.059477574206831</c:v>
                </c:pt>
                <c:pt idx="242">
                  <c:v>40.134216574952731</c:v>
                </c:pt>
                <c:pt idx="243">
                  <c:v>40.208439706414829</c:v>
                </c:pt>
                <c:pt idx="244">
                  <c:v>40.282158179994681</c:v>
                </c:pt>
                <c:pt idx="245">
                  <c:v>40.355807063406196</c:v>
                </c:pt>
                <c:pt idx="246">
                  <c:v>40.429455946817711</c:v>
                </c:pt>
                <c:pt idx="247">
                  <c:v>40.503104830229226</c:v>
                </c:pt>
                <c:pt idx="248">
                  <c:v>40.576753713640741</c:v>
                </c:pt>
                <c:pt idx="249">
                  <c:v>40.650402597052256</c:v>
                </c:pt>
                <c:pt idx="250">
                  <c:v>40.724051480463771</c:v>
                </c:pt>
                <c:pt idx="251">
                  <c:v>40.797700363875286</c:v>
                </c:pt>
                <c:pt idx="252">
                  <c:v>40.871349247286801</c:v>
                </c:pt>
                <c:pt idx="253">
                  <c:v>40.944998130698316</c:v>
                </c:pt>
                <c:pt idx="254">
                  <c:v>41.018647014109831</c:v>
                </c:pt>
                <c:pt idx="255">
                  <c:v>41.092295897521346</c:v>
                </c:pt>
                <c:pt idx="256">
                  <c:v>41.165944780932861</c:v>
                </c:pt>
                <c:pt idx="257">
                  <c:v>41.239593664344376</c:v>
                </c:pt>
                <c:pt idx="258">
                  <c:v>41.313242547755891</c:v>
                </c:pt>
                <c:pt idx="259">
                  <c:v>41.386891431167406</c:v>
                </c:pt>
                <c:pt idx="260">
                  <c:v>41.460540314578921</c:v>
                </c:pt>
                <c:pt idx="261">
                  <c:v>41.534189197990436</c:v>
                </c:pt>
                <c:pt idx="262">
                  <c:v>41.607838081401951</c:v>
                </c:pt>
                <c:pt idx="263">
                  <c:v>41.681486964813466</c:v>
                </c:pt>
                <c:pt idx="264">
                  <c:v>41.755135848224981</c:v>
                </c:pt>
                <c:pt idx="265">
                  <c:v>41.828784731636496</c:v>
                </c:pt>
                <c:pt idx="266">
                  <c:v>41.902433615048011</c:v>
                </c:pt>
                <c:pt idx="267">
                  <c:v>41.976082498459526</c:v>
                </c:pt>
                <c:pt idx="268">
                  <c:v>42.049731381871041</c:v>
                </c:pt>
                <c:pt idx="269">
                  <c:v>42.123380265282556</c:v>
                </c:pt>
                <c:pt idx="270">
                  <c:v>42.197029148694071</c:v>
                </c:pt>
                <c:pt idx="271">
                  <c:v>42.270678032105586</c:v>
                </c:pt>
                <c:pt idx="272">
                  <c:v>42.344326915517101</c:v>
                </c:pt>
                <c:pt idx="273">
                  <c:v>42.417975798928616</c:v>
                </c:pt>
                <c:pt idx="274">
                  <c:v>42.491624682340131</c:v>
                </c:pt>
                <c:pt idx="275">
                  <c:v>42.565273565751646</c:v>
                </c:pt>
                <c:pt idx="276">
                  <c:v>42.638922449163161</c:v>
                </c:pt>
                <c:pt idx="277">
                  <c:v>42.712571332574676</c:v>
                </c:pt>
                <c:pt idx="278">
                  <c:v>42.786220215986191</c:v>
                </c:pt>
                <c:pt idx="279">
                  <c:v>42.859869099397706</c:v>
                </c:pt>
                <c:pt idx="280">
                  <c:v>42.933517982809221</c:v>
                </c:pt>
                <c:pt idx="281">
                  <c:v>43.007166866220736</c:v>
                </c:pt>
                <c:pt idx="282">
                  <c:v>43.080815749632251</c:v>
                </c:pt>
                <c:pt idx="283">
                  <c:v>43.154464633043766</c:v>
                </c:pt>
                <c:pt idx="284">
                  <c:v>43.228113516455281</c:v>
                </c:pt>
                <c:pt idx="285">
                  <c:v>43.301762399866796</c:v>
                </c:pt>
                <c:pt idx="286">
                  <c:v>43.375411283278311</c:v>
                </c:pt>
                <c:pt idx="287">
                  <c:v>43.449060166689826</c:v>
                </c:pt>
                <c:pt idx="288">
                  <c:v>43.522709050101341</c:v>
                </c:pt>
                <c:pt idx="289">
                  <c:v>43.596357933512856</c:v>
                </c:pt>
                <c:pt idx="290">
                  <c:v>43.670006816924371</c:v>
                </c:pt>
                <c:pt idx="291">
                  <c:v>43.743655700335886</c:v>
                </c:pt>
                <c:pt idx="292">
                  <c:v>43.817304583747401</c:v>
                </c:pt>
                <c:pt idx="293">
                  <c:v>43.890953467158916</c:v>
                </c:pt>
                <c:pt idx="294">
                  <c:v>43.964602350570431</c:v>
                </c:pt>
                <c:pt idx="295">
                  <c:v>44.038251233981946</c:v>
                </c:pt>
                <c:pt idx="296">
                  <c:v>44.111900117393461</c:v>
                </c:pt>
                <c:pt idx="297">
                  <c:v>44.185549000804976</c:v>
                </c:pt>
                <c:pt idx="298">
                  <c:v>44.259197884216491</c:v>
                </c:pt>
                <c:pt idx="299">
                  <c:v>44.332846767628006</c:v>
                </c:pt>
                <c:pt idx="300">
                  <c:v>44.406495651039521</c:v>
                </c:pt>
                <c:pt idx="301">
                  <c:v>44.480144534451036</c:v>
                </c:pt>
                <c:pt idx="302">
                  <c:v>44.553793417862551</c:v>
                </c:pt>
                <c:pt idx="303">
                  <c:v>44.627442301274066</c:v>
                </c:pt>
                <c:pt idx="304">
                  <c:v>44.701091184685581</c:v>
                </c:pt>
                <c:pt idx="305">
                  <c:v>44.774740068097096</c:v>
                </c:pt>
                <c:pt idx="306">
                  <c:v>44.84838895150861</c:v>
                </c:pt>
                <c:pt idx="307">
                  <c:v>44.922037834920125</c:v>
                </c:pt>
                <c:pt idx="308">
                  <c:v>44.99568671833164</c:v>
                </c:pt>
                <c:pt idx="309">
                  <c:v>45.069335601743155</c:v>
                </c:pt>
                <c:pt idx="310">
                  <c:v>45.14298448515467</c:v>
                </c:pt>
                <c:pt idx="311">
                  <c:v>45.216633368566185</c:v>
                </c:pt>
                <c:pt idx="312">
                  <c:v>45.2902822519777</c:v>
                </c:pt>
                <c:pt idx="313">
                  <c:v>45.363931135389215</c:v>
                </c:pt>
                <c:pt idx="314">
                  <c:v>45.43758001880073</c:v>
                </c:pt>
              </c:numCache>
            </c:numRef>
          </c:cat>
          <c:val>
            <c:numRef>
              <c:f>'Fuel Consumption'!$M$4:$M$318</c:f>
              <c:numCache>
                <c:formatCode>General</c:formatCode>
                <c:ptCount val="315"/>
                <c:pt idx="0">
                  <c:v>0</c:v>
                </c:pt>
                <c:pt idx="1">
                  <c:v>1.2210512165113888E-4</c:v>
                </c:pt>
                <c:pt idx="2">
                  <c:v>2.781378990873055E-4</c:v>
                </c:pt>
                <c:pt idx="3">
                  <c:v>5.9299854968452768E-4</c:v>
                </c:pt>
                <c:pt idx="4">
                  <c:v>9.5924475472897218E-4</c:v>
                </c:pt>
                <c:pt idx="5">
                  <c:v>1.3967559128956388E-3</c:v>
                </c:pt>
                <c:pt idx="6">
                  <c:v>1.8881831880595277E-3</c:v>
                </c:pt>
                <c:pt idx="7">
                  <c:v>2.4687604544761941E-3</c:v>
                </c:pt>
                <c:pt idx="8">
                  <c:v>3.1118818272956386E-3</c:v>
                </c:pt>
                <c:pt idx="9">
                  <c:v>3.8215725152956387E-3</c:v>
                </c:pt>
                <c:pt idx="10">
                  <c:v>4.5764539768511948E-3</c:v>
                </c:pt>
                <c:pt idx="11">
                  <c:v>5.3663013080178616E-3</c:v>
                </c:pt>
                <c:pt idx="12">
                  <c:v>6.1726201326845285E-3</c:v>
                </c:pt>
                <c:pt idx="13">
                  <c:v>7.0144903644345285E-3</c:v>
                </c:pt>
                <c:pt idx="14">
                  <c:v>7.9420337539345288E-3</c:v>
                </c:pt>
                <c:pt idx="15">
                  <c:v>8.9387614631845289E-3</c:v>
                </c:pt>
                <c:pt idx="16">
                  <c:v>9.9654903395178622E-3</c:v>
                </c:pt>
                <c:pt idx="17">
                  <c:v>1.1038041457684529E-2</c:v>
                </c:pt>
                <c:pt idx="18">
                  <c:v>1.2133115372684529E-2</c:v>
                </c:pt>
                <c:pt idx="19">
                  <c:v>1.3273234881351195E-2</c:v>
                </c:pt>
                <c:pt idx="20">
                  <c:v>1.4435877186851196E-2</c:v>
                </c:pt>
                <c:pt idx="21">
                  <c:v>1.5589183012240085E-2</c:v>
                </c:pt>
                <c:pt idx="22">
                  <c:v>1.6792369692462308E-2</c:v>
                </c:pt>
                <c:pt idx="23">
                  <c:v>1.8020496800101198E-2</c:v>
                </c:pt>
                <c:pt idx="24">
                  <c:v>1.9273564335156753E-2</c:v>
                </c:pt>
                <c:pt idx="25">
                  <c:v>2.0480929755101199E-2</c:v>
                </c:pt>
                <c:pt idx="26">
                  <c:v>2.1696135210240088E-2</c:v>
                </c:pt>
                <c:pt idx="27">
                  <c:v>2.2915617048212308E-2</c:v>
                </c:pt>
                <c:pt idx="28">
                  <c:v>2.4140087999490085E-2</c:v>
                </c:pt>
                <c:pt idx="29">
                  <c:v>2.5438883345212309E-2</c:v>
                </c:pt>
                <c:pt idx="30">
                  <c:v>2.6743705583490086E-2</c:v>
                </c:pt>
                <c:pt idx="31">
                  <c:v>2.8052294629615084E-2</c:v>
                </c:pt>
                <c:pt idx="32">
                  <c:v>2.9366157206726196E-2</c:v>
                </c:pt>
                <c:pt idx="33">
                  <c:v>3.050486217505953E-2</c:v>
                </c:pt>
                <c:pt idx="34">
                  <c:v>3.166606199630953E-2</c:v>
                </c:pt>
                <c:pt idx="35">
                  <c:v>3.2819122750337305E-2</c:v>
                </c:pt>
                <c:pt idx="36">
                  <c:v>3.3997118632073414E-2</c:v>
                </c:pt>
                <c:pt idx="37">
                  <c:v>3.5175114513809523E-2</c:v>
                </c:pt>
                <c:pt idx="38">
                  <c:v>3.6378045523253966E-2</c:v>
                </c:pt>
                <c:pt idx="39">
                  <c:v>3.7580976532698408E-2</c:v>
                </c:pt>
                <c:pt idx="40">
                  <c:v>3.8808842669851185E-2</c:v>
                </c:pt>
                <c:pt idx="41">
                  <c:v>4.0036708807003961E-2</c:v>
                </c:pt>
                <c:pt idx="42">
                  <c:v>4.1289510071865071E-2</c:v>
                </c:pt>
                <c:pt idx="43">
                  <c:v>4.2542311336726181E-2</c:v>
                </c:pt>
                <c:pt idx="44">
                  <c:v>4.3749676756670623E-2</c:v>
                </c:pt>
                <c:pt idx="45">
                  <c:v>4.4957042176615065E-2</c:v>
                </c:pt>
                <c:pt idx="46">
                  <c:v>4.6172247631753954E-2</c:v>
                </c:pt>
                <c:pt idx="47">
                  <c:v>4.7391729469726175E-2</c:v>
                </c:pt>
                <c:pt idx="48">
                  <c:v>4.8611211307698396E-2</c:v>
                </c:pt>
                <c:pt idx="49">
                  <c:v>4.9835682258976173E-2</c:v>
                </c:pt>
                <c:pt idx="50">
                  <c:v>5.106015321025395E-2</c:v>
                </c:pt>
                <c:pt idx="51">
                  <c:v>5.2380821255253951E-2</c:v>
                </c:pt>
                <c:pt idx="52">
                  <c:v>5.3701489300253952E-2</c:v>
                </c:pt>
                <c:pt idx="53">
                  <c:v>5.5006311538531728E-2</c:v>
                </c:pt>
                <c:pt idx="54">
                  <c:v>5.6311133776809505E-2</c:v>
                </c:pt>
                <c:pt idx="55">
                  <c:v>5.7619722822934503E-2</c:v>
                </c:pt>
                <c:pt idx="56">
                  <c:v>5.8933585400045618E-2</c:v>
                </c:pt>
                <c:pt idx="57">
                  <c:v>6.0247447977156726E-2</c:v>
                </c:pt>
                <c:pt idx="58">
                  <c:v>6.1565830723684503E-2</c:v>
                </c:pt>
                <c:pt idx="59">
                  <c:v>6.288421347021228E-2</c:v>
                </c:pt>
                <c:pt idx="60">
                  <c:v>6.4225197063823389E-2</c:v>
                </c:pt>
                <c:pt idx="61">
                  <c:v>6.5581247888823385E-2</c:v>
                </c:pt>
                <c:pt idx="62">
                  <c:v>6.7039342188823389E-2</c:v>
                </c:pt>
                <c:pt idx="63">
                  <c:v>6.8400230202156728E-2</c:v>
                </c:pt>
                <c:pt idx="64">
                  <c:v>6.9761118215490067E-2</c:v>
                </c:pt>
                <c:pt idx="65">
                  <c:v>7.1030542898823407E-2</c:v>
                </c:pt>
                <c:pt idx="66">
                  <c:v>7.2299967582156746E-2</c:v>
                </c:pt>
                <c:pt idx="67">
                  <c:v>7.3569392265490086E-2</c:v>
                </c:pt>
                <c:pt idx="68">
                  <c:v>7.4838816948823425E-2</c:v>
                </c:pt>
                <c:pt idx="69">
                  <c:v>7.6108241632156765E-2</c:v>
                </c:pt>
                <c:pt idx="70">
                  <c:v>7.7377666315490104E-2</c:v>
                </c:pt>
                <c:pt idx="71">
                  <c:v>7.8647090998823443E-2</c:v>
                </c:pt>
                <c:pt idx="72">
                  <c:v>7.9916515682156783E-2</c:v>
                </c:pt>
                <c:pt idx="73">
                  <c:v>8.1185940365490122E-2</c:v>
                </c:pt>
                <c:pt idx="74">
                  <c:v>8.2383327558823452E-2</c:v>
                </c:pt>
                <c:pt idx="75">
                  <c:v>8.3580714752156782E-2</c:v>
                </c:pt>
                <c:pt idx="76">
                  <c:v>8.4778101945490111E-2</c:v>
                </c:pt>
                <c:pt idx="77">
                  <c:v>8.5975489138823441E-2</c:v>
                </c:pt>
                <c:pt idx="78">
                  <c:v>8.7172876332156771E-2</c:v>
                </c:pt>
                <c:pt idx="79">
                  <c:v>8.83702635254901E-2</c:v>
                </c:pt>
                <c:pt idx="80">
                  <c:v>8.956765071882343E-2</c:v>
                </c:pt>
                <c:pt idx="81">
                  <c:v>9.076503791215676E-2</c:v>
                </c:pt>
                <c:pt idx="82">
                  <c:v>9.1962425105490089E-2</c:v>
                </c:pt>
                <c:pt idx="83">
                  <c:v>9.3159812298823419E-2</c:v>
                </c:pt>
                <c:pt idx="84">
                  <c:v>9.404716173674009E-2</c:v>
                </c:pt>
                <c:pt idx="85">
                  <c:v>9.493451117465676E-2</c:v>
                </c:pt>
                <c:pt idx="86">
                  <c:v>9.5912870897809532E-2</c:v>
                </c:pt>
                <c:pt idx="87">
                  <c:v>9.6891230620962304E-2</c:v>
                </c:pt>
                <c:pt idx="88">
                  <c:v>9.7868340576531751E-2</c:v>
                </c:pt>
                <c:pt idx="89">
                  <c:v>9.8845450532101198E-2</c:v>
                </c:pt>
                <c:pt idx="90">
                  <c:v>9.9822560487670645E-2</c:v>
                </c:pt>
                <c:pt idx="91">
                  <c:v>0.10079967044324009</c:v>
                </c:pt>
                <c:pt idx="92">
                  <c:v>0.10177678039880954</c:v>
                </c:pt>
                <c:pt idx="93">
                  <c:v>0.10279231179442065</c:v>
                </c:pt>
                <c:pt idx="94">
                  <c:v>0.10380784319003176</c:v>
                </c:pt>
                <c:pt idx="95">
                  <c:v>0.10482337458564288</c:v>
                </c:pt>
                <c:pt idx="96">
                  <c:v>0.10583890598125399</c:v>
                </c:pt>
                <c:pt idx="97">
                  <c:v>0.10685443737686511</c:v>
                </c:pt>
                <c:pt idx="98">
                  <c:v>0.10786996877247622</c:v>
                </c:pt>
                <c:pt idx="99">
                  <c:v>0.10900426695303178</c:v>
                </c:pt>
                <c:pt idx="100">
                  <c:v>0.11013856513358734</c:v>
                </c:pt>
                <c:pt idx="101">
                  <c:v>0.11127286331414291</c:v>
                </c:pt>
                <c:pt idx="102">
                  <c:v>0.11240716149469847</c:v>
                </c:pt>
                <c:pt idx="103">
                  <c:v>0.11354145967525403</c:v>
                </c:pt>
                <c:pt idx="104">
                  <c:v>0.11467575785580959</c:v>
                </c:pt>
                <c:pt idx="105">
                  <c:v>0.11581005603636516</c:v>
                </c:pt>
                <c:pt idx="106">
                  <c:v>0.11694435421692072</c:v>
                </c:pt>
                <c:pt idx="107">
                  <c:v>0.11852459234025405</c:v>
                </c:pt>
                <c:pt idx="108">
                  <c:v>0.12010483046358737</c:v>
                </c:pt>
                <c:pt idx="109">
                  <c:v>0.1216850685869207</c:v>
                </c:pt>
                <c:pt idx="110">
                  <c:v>0.12326530671025403</c:v>
                </c:pt>
                <c:pt idx="111">
                  <c:v>0.12484554483358735</c:v>
                </c:pt>
                <c:pt idx="112">
                  <c:v>0.1264257829569207</c:v>
                </c:pt>
                <c:pt idx="113">
                  <c:v>0.12800602108025402</c:v>
                </c:pt>
                <c:pt idx="114">
                  <c:v>0.12958625920358735</c:v>
                </c:pt>
                <c:pt idx="115">
                  <c:v>0.13116649732692068</c:v>
                </c:pt>
                <c:pt idx="116">
                  <c:v>0.13285960960192067</c:v>
                </c:pt>
                <c:pt idx="117">
                  <c:v>0.13455272187692066</c:v>
                </c:pt>
                <c:pt idx="118">
                  <c:v>0.13624583415192065</c:v>
                </c:pt>
                <c:pt idx="119">
                  <c:v>0.13793894642692064</c:v>
                </c:pt>
                <c:pt idx="120">
                  <c:v>0.13961324634330954</c:v>
                </c:pt>
                <c:pt idx="121">
                  <c:v>0.14128754625969844</c:v>
                </c:pt>
                <c:pt idx="122">
                  <c:v>0.14296184617608734</c:v>
                </c:pt>
                <c:pt idx="123">
                  <c:v>0.14463614609247624</c:v>
                </c:pt>
                <c:pt idx="124">
                  <c:v>0.14631044600886514</c:v>
                </c:pt>
                <c:pt idx="125">
                  <c:v>0.14798474592525404</c:v>
                </c:pt>
                <c:pt idx="126">
                  <c:v>0.14965904584164294</c:v>
                </c:pt>
                <c:pt idx="127">
                  <c:v>0.15133334575803184</c:v>
                </c:pt>
                <c:pt idx="128">
                  <c:v>0.15283441266275405</c:v>
                </c:pt>
                <c:pt idx="129">
                  <c:v>0.15433547956747626</c:v>
                </c:pt>
                <c:pt idx="130">
                  <c:v>0.15562415022192069</c:v>
                </c:pt>
                <c:pt idx="131">
                  <c:v>0.15691282087636513</c:v>
                </c:pt>
                <c:pt idx="132">
                  <c:v>0.15820149153080956</c:v>
                </c:pt>
                <c:pt idx="133">
                  <c:v>0.159490162185254</c:v>
                </c:pt>
                <c:pt idx="134">
                  <c:v>0.16077883283969843</c:v>
                </c:pt>
                <c:pt idx="135">
                  <c:v>0.16206750349414287</c:v>
                </c:pt>
                <c:pt idx="136">
                  <c:v>0.1633561741485873</c:v>
                </c:pt>
                <c:pt idx="137">
                  <c:v>0.16457652353275398</c:v>
                </c:pt>
                <c:pt idx="138">
                  <c:v>0.16579687291692066</c:v>
                </c:pt>
                <c:pt idx="139">
                  <c:v>0.16701722230108734</c:v>
                </c:pt>
                <c:pt idx="140">
                  <c:v>0.16823757168525402</c:v>
                </c:pt>
                <c:pt idx="141">
                  <c:v>0.1694579210694207</c:v>
                </c:pt>
                <c:pt idx="142">
                  <c:v>0.17067827045358738</c:v>
                </c:pt>
                <c:pt idx="143">
                  <c:v>0.17189861983775406</c:v>
                </c:pt>
                <c:pt idx="144">
                  <c:v>0.17311896922192074</c:v>
                </c:pt>
                <c:pt idx="145">
                  <c:v>0.17433931860608742</c:v>
                </c:pt>
                <c:pt idx="146">
                  <c:v>0.1755596679902541</c:v>
                </c:pt>
                <c:pt idx="147">
                  <c:v>0.17678001737442078</c:v>
                </c:pt>
                <c:pt idx="148">
                  <c:v>0.17800036675858746</c:v>
                </c:pt>
                <c:pt idx="149">
                  <c:v>0.17922071614275414</c:v>
                </c:pt>
                <c:pt idx="150">
                  <c:v>0.18044106552692082</c:v>
                </c:pt>
                <c:pt idx="151">
                  <c:v>0.18184779762330971</c:v>
                </c:pt>
                <c:pt idx="152">
                  <c:v>0.18325452971969861</c:v>
                </c:pt>
                <c:pt idx="153">
                  <c:v>0.1846612618160875</c:v>
                </c:pt>
                <c:pt idx="154">
                  <c:v>0.18606799391247639</c:v>
                </c:pt>
                <c:pt idx="155">
                  <c:v>0.18747472600886528</c:v>
                </c:pt>
                <c:pt idx="156">
                  <c:v>0.18888145810525417</c:v>
                </c:pt>
                <c:pt idx="157">
                  <c:v>0.19028819020164306</c:v>
                </c:pt>
                <c:pt idx="158">
                  <c:v>0.19169492229803195</c:v>
                </c:pt>
                <c:pt idx="159">
                  <c:v>0.19310165439442084</c:v>
                </c:pt>
                <c:pt idx="160">
                  <c:v>0.19454354764664306</c:v>
                </c:pt>
                <c:pt idx="161">
                  <c:v>0.19598544089886527</c:v>
                </c:pt>
                <c:pt idx="162">
                  <c:v>0.19742733415108749</c:v>
                </c:pt>
                <c:pt idx="163">
                  <c:v>0.1988692274033097</c:v>
                </c:pt>
                <c:pt idx="164">
                  <c:v>0.20028253434997637</c:v>
                </c:pt>
                <c:pt idx="165">
                  <c:v>0.20169584129664303</c:v>
                </c:pt>
                <c:pt idx="166">
                  <c:v>0.2031091482433097</c:v>
                </c:pt>
                <c:pt idx="167">
                  <c:v>0.20452245518997636</c:v>
                </c:pt>
                <c:pt idx="168">
                  <c:v>0.20593576213664302</c:v>
                </c:pt>
                <c:pt idx="169">
                  <c:v>0.20734906908330969</c:v>
                </c:pt>
                <c:pt idx="170">
                  <c:v>0.20858690365064303</c:v>
                </c:pt>
                <c:pt idx="171">
                  <c:v>0.20982473821797637</c:v>
                </c:pt>
                <c:pt idx="172">
                  <c:v>0.21108877454330971</c:v>
                </c:pt>
                <c:pt idx="173">
                  <c:v>0.21235281086864305</c:v>
                </c:pt>
                <c:pt idx="174">
                  <c:v>0.21361684719397639</c:v>
                </c:pt>
                <c:pt idx="175">
                  <c:v>0.21490708527730973</c:v>
                </c:pt>
                <c:pt idx="176">
                  <c:v>0.21619732336064307</c:v>
                </c:pt>
                <c:pt idx="177">
                  <c:v>0.21751376320197641</c:v>
                </c:pt>
                <c:pt idx="178">
                  <c:v>0.21883020304330975</c:v>
                </c:pt>
                <c:pt idx="179">
                  <c:v>0.22017522662064307</c:v>
                </c:pt>
                <c:pt idx="180">
                  <c:v>0.22152025019797639</c:v>
                </c:pt>
                <c:pt idx="181">
                  <c:v>0.22287400769464305</c:v>
                </c:pt>
                <c:pt idx="182">
                  <c:v>0.22422776519130971</c:v>
                </c:pt>
                <c:pt idx="183">
                  <c:v>0.22558152268797638</c:v>
                </c:pt>
                <c:pt idx="184">
                  <c:v>0.22693528018464304</c:v>
                </c:pt>
                <c:pt idx="185">
                  <c:v>0.2282938016373097</c:v>
                </c:pt>
                <c:pt idx="186">
                  <c:v>0.22965232308997635</c:v>
                </c:pt>
                <c:pt idx="187">
                  <c:v>0.23101084454264301</c:v>
                </c:pt>
                <c:pt idx="188">
                  <c:v>0.23236936599530966</c:v>
                </c:pt>
                <c:pt idx="189">
                  <c:v>0.23373344539664301</c:v>
                </c:pt>
                <c:pt idx="190">
                  <c:v>0.23509752479797635</c:v>
                </c:pt>
                <c:pt idx="191">
                  <c:v>0.2364616041993097</c:v>
                </c:pt>
                <c:pt idx="192">
                  <c:v>0.23783044755664304</c:v>
                </c:pt>
                <c:pt idx="193">
                  <c:v>0.23919929091397638</c:v>
                </c:pt>
                <c:pt idx="194">
                  <c:v>0.24056813427130971</c:v>
                </c:pt>
                <c:pt idx="195">
                  <c:v>0.24194332956997638</c:v>
                </c:pt>
                <c:pt idx="196">
                  <c:v>0.24331852486864305</c:v>
                </c:pt>
                <c:pt idx="197">
                  <c:v>0.24469372016730973</c:v>
                </c:pt>
                <c:pt idx="198">
                  <c:v>0.2460689154659764</c:v>
                </c:pt>
                <c:pt idx="199">
                  <c:v>0.24744808072797639</c:v>
                </c:pt>
                <c:pt idx="200">
                  <c:v>0.24882724598997638</c:v>
                </c:pt>
                <c:pt idx="201">
                  <c:v>0.2502064112519764</c:v>
                </c:pt>
                <c:pt idx="202">
                  <c:v>0.25158557651397639</c:v>
                </c:pt>
                <c:pt idx="203">
                  <c:v>0.25297029972464308</c:v>
                </c:pt>
                <c:pt idx="204">
                  <c:v>0.25435502293530976</c:v>
                </c:pt>
                <c:pt idx="205">
                  <c:v>0.25573974614597644</c:v>
                </c:pt>
                <c:pt idx="206">
                  <c:v>0.25712446935664313</c:v>
                </c:pt>
                <c:pt idx="207">
                  <c:v>0.25851395652330977</c:v>
                </c:pt>
                <c:pt idx="208">
                  <c:v>0.25990344368997642</c:v>
                </c:pt>
                <c:pt idx="209">
                  <c:v>0.26129293085664307</c:v>
                </c:pt>
                <c:pt idx="210">
                  <c:v>0.26268241802330972</c:v>
                </c:pt>
                <c:pt idx="211">
                  <c:v>0.2641245113796708</c:v>
                </c:pt>
                <c:pt idx="212">
                  <c:v>0.26556660473603189</c:v>
                </c:pt>
                <c:pt idx="213">
                  <c:v>0.26700869809239297</c:v>
                </c:pt>
                <c:pt idx="214">
                  <c:v>0.26835368376878188</c:v>
                </c:pt>
                <c:pt idx="215">
                  <c:v>0.26969866944517079</c:v>
                </c:pt>
                <c:pt idx="216">
                  <c:v>0.2710436551215597</c:v>
                </c:pt>
                <c:pt idx="217">
                  <c:v>0.27238864079794861</c:v>
                </c:pt>
                <c:pt idx="218">
                  <c:v>0.27373362647433752</c:v>
                </c:pt>
                <c:pt idx="219">
                  <c:v>0.27507861215072643</c:v>
                </c:pt>
                <c:pt idx="220">
                  <c:v>0.27642359782711534</c:v>
                </c:pt>
                <c:pt idx="221">
                  <c:v>0.27776858350350425</c:v>
                </c:pt>
                <c:pt idx="222">
                  <c:v>0.27911356917989316</c:v>
                </c:pt>
                <c:pt idx="223">
                  <c:v>0.28045855485628207</c:v>
                </c:pt>
                <c:pt idx="224">
                  <c:v>0.28172721509683762</c:v>
                </c:pt>
                <c:pt idx="225">
                  <c:v>0.28299587533739318</c:v>
                </c:pt>
                <c:pt idx="226">
                  <c:v>0.28426453557794873</c:v>
                </c:pt>
                <c:pt idx="227">
                  <c:v>0.28515188501586541</c:v>
                </c:pt>
                <c:pt idx="228">
                  <c:v>0.2860392344537821</c:v>
                </c:pt>
                <c:pt idx="229">
                  <c:v>0.28692658389169878</c:v>
                </c:pt>
                <c:pt idx="230">
                  <c:v>0.28781393332961547</c:v>
                </c:pt>
                <c:pt idx="231">
                  <c:v>0.28870128276753215</c:v>
                </c:pt>
                <c:pt idx="232">
                  <c:v>0.28958863220544884</c:v>
                </c:pt>
                <c:pt idx="233">
                  <c:v>0.29051304362792107</c:v>
                </c:pt>
                <c:pt idx="234">
                  <c:v>0.29143745505039331</c:v>
                </c:pt>
                <c:pt idx="235">
                  <c:v>0.29236186647286555</c:v>
                </c:pt>
                <c:pt idx="236">
                  <c:v>0.29322441439996277</c:v>
                </c:pt>
                <c:pt idx="237">
                  <c:v>0.29408696232706</c:v>
                </c:pt>
                <c:pt idx="238">
                  <c:v>0.29494951025415722</c:v>
                </c:pt>
                <c:pt idx="239">
                  <c:v>0.29592662020972665</c:v>
                </c:pt>
                <c:pt idx="240">
                  <c:v>0.29694215160533777</c:v>
                </c:pt>
                <c:pt idx="241">
                  <c:v>0.29795768300094888</c:v>
                </c:pt>
                <c:pt idx="242">
                  <c:v>0.29897321439655999</c:v>
                </c:pt>
                <c:pt idx="243">
                  <c:v>0.29998874579217111</c:v>
                </c:pt>
                <c:pt idx="244">
                  <c:v>0.30100427718778222</c:v>
                </c:pt>
                <c:pt idx="245">
                  <c:v>0.30201980858339333</c:v>
                </c:pt>
                <c:pt idx="246">
                  <c:v>0.30307451478061553</c:v>
                </c:pt>
                <c:pt idx="247">
                  <c:v>0.30412922097783773</c:v>
                </c:pt>
                <c:pt idx="248">
                  <c:v>0.30518392717505993</c:v>
                </c:pt>
                <c:pt idx="249">
                  <c:v>0.30623863337228213</c:v>
                </c:pt>
                <c:pt idx="250">
                  <c:v>0.30729333956950433</c:v>
                </c:pt>
                <c:pt idx="251">
                  <c:v>0.30832120033505989</c:v>
                </c:pt>
                <c:pt idx="252">
                  <c:v>0.30955463325372656</c:v>
                </c:pt>
                <c:pt idx="253">
                  <c:v>0.31078806617239324</c:v>
                </c:pt>
                <c:pt idx="254">
                  <c:v>0.31202149909105992</c:v>
                </c:pt>
                <c:pt idx="255">
                  <c:v>0.31325493200972659</c:v>
                </c:pt>
                <c:pt idx="256">
                  <c:v>0.31448836492839327</c:v>
                </c:pt>
                <c:pt idx="257">
                  <c:v>0.31580990019839328</c:v>
                </c:pt>
                <c:pt idx="258">
                  <c:v>0.31726828357339326</c:v>
                </c:pt>
                <c:pt idx="259">
                  <c:v>0.31872666694839324</c:v>
                </c:pt>
                <c:pt idx="260">
                  <c:v>0.32018505032339323</c:v>
                </c:pt>
                <c:pt idx="261">
                  <c:v>0.321627229438671</c:v>
                </c:pt>
                <c:pt idx="262">
                  <c:v>0.32306940855394878</c:v>
                </c:pt>
                <c:pt idx="263">
                  <c:v>0.32451158766922655</c:v>
                </c:pt>
                <c:pt idx="264">
                  <c:v>0.32595376678450433</c:v>
                </c:pt>
                <c:pt idx="265">
                  <c:v>0.32737163951019876</c:v>
                </c:pt>
                <c:pt idx="266">
                  <c:v>0.32878465095797654</c:v>
                </c:pt>
                <c:pt idx="267">
                  <c:v>0.33019766240575432</c:v>
                </c:pt>
                <c:pt idx="268">
                  <c:v>0.3316050023626293</c:v>
                </c:pt>
                <c:pt idx="269">
                  <c:v>0.33301234231950427</c:v>
                </c:pt>
                <c:pt idx="270">
                  <c:v>0.33441563121144874</c:v>
                </c:pt>
                <c:pt idx="271">
                  <c:v>0.33589716050050428</c:v>
                </c:pt>
                <c:pt idx="272">
                  <c:v>0.33737353365514317</c:v>
                </c:pt>
                <c:pt idx="273">
                  <c:v>0.33884990680978205</c:v>
                </c:pt>
                <c:pt idx="274">
                  <c:v>0.34032627996442094</c:v>
                </c:pt>
                <c:pt idx="275">
                  <c:v>0.3417914814944904</c:v>
                </c:pt>
                <c:pt idx="276">
                  <c:v>0.34325668302455986</c:v>
                </c:pt>
                <c:pt idx="277">
                  <c:v>0.34449537211365294</c:v>
                </c:pt>
                <c:pt idx="278">
                  <c:v>0.34573406120274602</c:v>
                </c:pt>
                <c:pt idx="279">
                  <c:v>0.34697781798536548</c:v>
                </c:pt>
                <c:pt idx="280">
                  <c:v>0.34822591850529327</c:v>
                </c:pt>
                <c:pt idx="281">
                  <c:v>0.34947401902522107</c:v>
                </c:pt>
                <c:pt idx="282">
                  <c:v>0.35072791119489327</c:v>
                </c:pt>
                <c:pt idx="283">
                  <c:v>0.35198180336456547</c:v>
                </c:pt>
                <c:pt idx="284">
                  <c:v>0.35316924445073211</c:v>
                </c:pt>
                <c:pt idx="285">
                  <c:v>0.35436011348460711</c:v>
                </c:pt>
                <c:pt idx="286">
                  <c:v>0.35555098251848211</c:v>
                </c:pt>
                <c:pt idx="287">
                  <c:v>0.35674665067914879</c:v>
                </c:pt>
                <c:pt idx="288">
                  <c:v>0.35794231883981548</c:v>
                </c:pt>
                <c:pt idx="289">
                  <c:v>0.35914210053773216</c:v>
                </c:pt>
                <c:pt idx="290">
                  <c:v>0.36036244992189881</c:v>
                </c:pt>
                <c:pt idx="291">
                  <c:v>0.36158279930606546</c:v>
                </c:pt>
                <c:pt idx="292">
                  <c:v>0.36281686048106548</c:v>
                </c:pt>
                <c:pt idx="293">
                  <c:v>0.36405092165606551</c:v>
                </c:pt>
                <c:pt idx="294">
                  <c:v>0.36520271208606553</c:v>
                </c:pt>
                <c:pt idx="295">
                  <c:v>0.36629417063639885</c:v>
                </c:pt>
                <c:pt idx="296">
                  <c:v>0.36738562918673218</c:v>
                </c:pt>
                <c:pt idx="297">
                  <c:v>0.3684997121919405</c:v>
                </c:pt>
                <c:pt idx="298">
                  <c:v>0.36961379519714882</c:v>
                </c:pt>
                <c:pt idx="299">
                  <c:v>0.37072787820235714</c:v>
                </c:pt>
                <c:pt idx="300">
                  <c:v>0.37186458566244046</c:v>
                </c:pt>
                <c:pt idx="301">
                  <c:v>0.37320783891235437</c:v>
                </c:pt>
                <c:pt idx="302">
                  <c:v>0.37455109216226828</c:v>
                </c:pt>
                <c:pt idx="303">
                  <c:v>0.37592351134523216</c:v>
                </c:pt>
                <c:pt idx="304">
                  <c:v>0.37729593052819604</c:v>
                </c:pt>
                <c:pt idx="305">
                  <c:v>0.37853947882350159</c:v>
                </c:pt>
                <c:pt idx="306">
                  <c:v>0.3797911021077377</c:v>
                </c:pt>
                <c:pt idx="307">
                  <c:v>0.38104272539197381</c:v>
                </c:pt>
                <c:pt idx="308">
                  <c:v>0.38229875321562656</c:v>
                </c:pt>
                <c:pt idx="309">
                  <c:v>0.38355478103927931</c:v>
                </c:pt>
                <c:pt idx="310">
                  <c:v>0.38481080886293206</c:v>
                </c:pt>
                <c:pt idx="311">
                  <c:v>0.38606683668658481</c:v>
                </c:pt>
                <c:pt idx="312">
                  <c:v>0.38732800313955701</c:v>
                </c:pt>
                <c:pt idx="313">
                  <c:v>0.3885891695925292</c:v>
                </c:pt>
                <c:pt idx="314">
                  <c:v>0.3898503360455014</c:v>
                </c:pt>
              </c:numCache>
            </c:numRef>
          </c:val>
          <c:smooth val="1"/>
        </c:ser>
        <c:marker val="1"/>
        <c:axId val="109368448"/>
        <c:axId val="109370368"/>
      </c:lineChart>
      <c:catAx>
        <c:axId val="1093684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Time(s)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 sz="8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9370368"/>
        <c:crosses val="autoZero"/>
        <c:auto val="1"/>
        <c:lblAlgn val="ctr"/>
        <c:lblOffset val="100"/>
      </c:catAx>
      <c:valAx>
        <c:axId val="10937036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Fuel Consumption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9368448"/>
        <c:crosses val="autoZero"/>
        <c:crossBetween val="between"/>
      </c:valAx>
    </c:plotArea>
    <c:legend>
      <c:legendPos val="r"/>
      <c:overlay val="1"/>
      <c:txPr>
        <a:bodyPr/>
        <a:lstStyle/>
        <a:p>
          <a:pPr>
            <a:defRPr>
              <a:latin typeface="Times New Roman" pitchFamily="18" charset="0"/>
              <a:cs typeface="Times New Roman" pitchFamily="18" charset="0"/>
            </a:defRPr>
          </a:pPr>
          <a:endParaRPr lang="en-US"/>
        </a:p>
      </c:txPr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b="0">
                <a:latin typeface="Times New Roman" pitchFamily="18" charset="0"/>
                <a:cs typeface="Times New Roman" pitchFamily="18" charset="0"/>
              </a:defRPr>
            </a:pPr>
            <a:r>
              <a:rPr lang="en-US" b="0">
                <a:latin typeface="Times New Roman" pitchFamily="18" charset="0"/>
                <a:cs typeface="Times New Roman" pitchFamily="18" charset="0"/>
              </a:rPr>
              <a:t>Traction Limited Acceleration in Terrain AB &amp; BC vs RPM</a:t>
            </a:r>
          </a:p>
        </c:rich>
      </c:tx>
      <c:overlay val="1"/>
    </c:title>
    <c:plotArea>
      <c:layout/>
      <c:lineChart>
        <c:grouping val="standard"/>
        <c:ser>
          <c:idx val="3"/>
          <c:order val="3"/>
          <c:tx>
            <c:v>Gear 1 AB</c:v>
          </c:tx>
          <c:marker>
            <c:symbol val="none"/>
          </c:marker>
          <c:cat>
            <c:numRef>
              <c:f>'Acceleration &amp; Deceleration'!$B$19:$B$30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Deceleration'!$F$19:$F$30</c:f>
              <c:numCache>
                <c:formatCode>General</c:formatCode>
                <c:ptCount val="12"/>
                <c:pt idx="0">
                  <c:v>0.75824072289015865</c:v>
                </c:pt>
                <c:pt idx="1">
                  <c:v>0.75978174972498924</c:v>
                </c:pt>
                <c:pt idx="2">
                  <c:v>0.76193918729375243</c:v>
                </c:pt>
                <c:pt idx="3">
                  <c:v>0.76471303559644754</c:v>
                </c:pt>
                <c:pt idx="4">
                  <c:v>0.76810329463307481</c:v>
                </c:pt>
                <c:pt idx="5">
                  <c:v>0.77210996440363466</c:v>
                </c:pt>
                <c:pt idx="6">
                  <c:v>0.77673304490812667</c:v>
                </c:pt>
                <c:pt idx="7">
                  <c:v>0.78197253614655082</c:v>
                </c:pt>
                <c:pt idx="8">
                  <c:v>0.78782843811890757</c:v>
                </c:pt>
                <c:pt idx="9">
                  <c:v>0.79430075082519624</c:v>
                </c:pt>
                <c:pt idx="10">
                  <c:v>0.80138947426541729</c:v>
                </c:pt>
                <c:pt idx="11">
                  <c:v>0.80909460843957048</c:v>
                </c:pt>
              </c:numCache>
            </c:numRef>
          </c:val>
        </c:ser>
        <c:ser>
          <c:idx val="4"/>
          <c:order val="4"/>
          <c:tx>
            <c:v>Gear 2 AB</c:v>
          </c:tx>
          <c:marker>
            <c:symbol val="none"/>
          </c:marker>
          <c:cat>
            <c:numRef>
              <c:f>'Acceleration &amp; Deceleration'!$B$19:$B$30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Deceleration'!$G$19:$G$30</c:f>
              <c:numCache>
                <c:formatCode>General</c:formatCode>
                <c:ptCount val="12"/>
                <c:pt idx="0">
                  <c:v>0.75930033803609187</c:v>
                </c:pt>
                <c:pt idx="1">
                  <c:v>0.76216588380333894</c:v>
                </c:pt>
                <c:pt idx="2">
                  <c:v>0.76617764787748488</c:v>
                </c:pt>
                <c:pt idx="3">
                  <c:v>0.77133563025852969</c:v>
                </c:pt>
                <c:pt idx="4">
                  <c:v>0.77763983094647315</c:v>
                </c:pt>
                <c:pt idx="5">
                  <c:v>0.78509024994131571</c:v>
                </c:pt>
                <c:pt idx="6">
                  <c:v>0.79368688724305714</c:v>
                </c:pt>
                <c:pt idx="7">
                  <c:v>0.80342974285169722</c:v>
                </c:pt>
                <c:pt idx="8">
                  <c:v>0.81431881676723616</c:v>
                </c:pt>
                <c:pt idx="9">
                  <c:v>0.82635410898967399</c:v>
                </c:pt>
                <c:pt idx="10">
                  <c:v>0.83953561951901068</c:v>
                </c:pt>
                <c:pt idx="11">
                  <c:v>0.85386334835524624</c:v>
                </c:pt>
              </c:numCache>
            </c:numRef>
          </c:val>
        </c:ser>
        <c:ser>
          <c:idx val="5"/>
          <c:order val="5"/>
          <c:tx>
            <c:v>Gear 3 AB</c:v>
          </c:tx>
          <c:marker>
            <c:symbol val="none"/>
          </c:marker>
          <c:cat>
            <c:numRef>
              <c:f>'Acceleration &amp; Deceleration'!$B$19:$B$30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Deceleration'!$H$19:$H$30</c:f>
              <c:numCache>
                <c:formatCode>General</c:formatCode>
                <c:ptCount val="12"/>
                <c:pt idx="0">
                  <c:v>0.76094001465509287</c:v>
                </c:pt>
                <c:pt idx="1">
                  <c:v>0.76585515619609135</c:v>
                </c:pt>
                <c:pt idx="2">
                  <c:v>0.77273635435348909</c:v>
                </c:pt>
                <c:pt idx="3">
                  <c:v>0.78158360912728586</c:v>
                </c:pt>
                <c:pt idx="4">
                  <c:v>0.79239692051748234</c:v>
                </c:pt>
                <c:pt idx="5">
                  <c:v>0.80517628852407808</c:v>
                </c:pt>
                <c:pt idx="6">
                  <c:v>0.81992171314707329</c:v>
                </c:pt>
                <c:pt idx="7">
                  <c:v>0.83663319438646777</c:v>
                </c:pt>
                <c:pt idx="8">
                  <c:v>0.85531073224226151</c:v>
                </c:pt>
                <c:pt idx="9">
                  <c:v>0.87595432671445472</c:v>
                </c:pt>
                <c:pt idx="10">
                  <c:v>0.89856397780304698</c:v>
                </c:pt>
                <c:pt idx="11">
                  <c:v>0.92313968550803893</c:v>
                </c:pt>
              </c:numCache>
            </c:numRef>
          </c:val>
        </c:ser>
        <c:ser>
          <c:idx val="0"/>
          <c:order val="0"/>
          <c:tx>
            <c:v>Gear 1 BC</c:v>
          </c:tx>
          <c:marker>
            <c:symbol val="none"/>
          </c:marker>
          <c:cat>
            <c:numRef>
              <c:f>'Acceleration &amp; Deceleration'!$B$19:$B$30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Deceleration'!$I$19:$I$30</c:f>
              <c:numCache>
                <c:formatCode>General</c:formatCode>
                <c:ptCount val="12"/>
                <c:pt idx="0">
                  <c:v>0.17272827710984143</c:v>
                </c:pt>
                <c:pt idx="1">
                  <c:v>0.17118725027501078</c:v>
                </c:pt>
                <c:pt idx="2">
                  <c:v>0.16902981270624784</c:v>
                </c:pt>
                <c:pt idx="3">
                  <c:v>0.16625596440355264</c:v>
                </c:pt>
                <c:pt idx="4">
                  <c:v>0.16286570536692518</c:v>
                </c:pt>
                <c:pt idx="5">
                  <c:v>0.15885903559636547</c:v>
                </c:pt>
                <c:pt idx="6">
                  <c:v>0.15423595509187346</c:v>
                </c:pt>
                <c:pt idx="7">
                  <c:v>0.1489964638534492</c:v>
                </c:pt>
                <c:pt idx="8">
                  <c:v>0.1431405618810927</c:v>
                </c:pt>
                <c:pt idx="9">
                  <c:v>0.13666824917480389</c:v>
                </c:pt>
                <c:pt idx="10">
                  <c:v>0.12957952573458287</c:v>
                </c:pt>
                <c:pt idx="11">
                  <c:v>0.12187439156042951</c:v>
                </c:pt>
              </c:numCache>
            </c:numRef>
          </c:val>
        </c:ser>
        <c:ser>
          <c:idx val="1"/>
          <c:order val="1"/>
          <c:tx>
            <c:v>Gear 2 BC</c:v>
          </c:tx>
          <c:marker>
            <c:symbol val="none"/>
          </c:marker>
          <c:cat>
            <c:numRef>
              <c:f>'Acceleration &amp; Deceleration'!$B$19:$B$30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Deceleration'!$J$19:$J$30</c:f>
              <c:numCache>
                <c:formatCode>General</c:formatCode>
                <c:ptCount val="12"/>
                <c:pt idx="0">
                  <c:v>0.17166866196390829</c:v>
                </c:pt>
                <c:pt idx="1">
                  <c:v>0.16880311619666119</c:v>
                </c:pt>
                <c:pt idx="2">
                  <c:v>0.16479135212251522</c:v>
                </c:pt>
                <c:pt idx="3">
                  <c:v>0.15963336974147047</c:v>
                </c:pt>
                <c:pt idx="4">
                  <c:v>0.15332916905352684</c:v>
                </c:pt>
                <c:pt idx="5">
                  <c:v>0.14587875005868436</c:v>
                </c:pt>
                <c:pt idx="6">
                  <c:v>0.13728211275694308</c:v>
                </c:pt>
                <c:pt idx="7">
                  <c:v>0.12753925714830294</c:v>
                </c:pt>
                <c:pt idx="8">
                  <c:v>0.11665018323276394</c:v>
                </c:pt>
                <c:pt idx="9">
                  <c:v>0.10461489101032612</c:v>
                </c:pt>
                <c:pt idx="10">
                  <c:v>9.1433380480989479E-2</c:v>
                </c:pt>
                <c:pt idx="11">
                  <c:v>7.710565164475397E-2</c:v>
                </c:pt>
              </c:numCache>
            </c:numRef>
          </c:val>
        </c:ser>
        <c:ser>
          <c:idx val="2"/>
          <c:order val="2"/>
          <c:tx>
            <c:v>Gear 3 BC</c:v>
          </c:tx>
          <c:marker>
            <c:symbol val="none"/>
          </c:marker>
          <c:cat>
            <c:numRef>
              <c:f>'Acceleration &amp; Deceleration'!$B$19:$B$30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Deceleration'!$K$19:$K$30</c:f>
              <c:numCache>
                <c:formatCode>General</c:formatCode>
                <c:ptCount val="12"/>
                <c:pt idx="0">
                  <c:v>0.17002898534490726</c:v>
                </c:pt>
                <c:pt idx="1">
                  <c:v>0.16511384380390889</c:v>
                </c:pt>
                <c:pt idx="2">
                  <c:v>0.15823264564651118</c:v>
                </c:pt>
                <c:pt idx="3">
                  <c:v>0.14938539087271413</c:v>
                </c:pt>
                <c:pt idx="4">
                  <c:v>0.13857207948251771</c:v>
                </c:pt>
                <c:pt idx="5">
                  <c:v>0.12579271147592194</c:v>
                </c:pt>
                <c:pt idx="6">
                  <c:v>0.11104728685292686</c:v>
                </c:pt>
                <c:pt idx="7">
                  <c:v>9.4335805613532442E-2</c:v>
                </c:pt>
                <c:pt idx="8">
                  <c:v>7.5658267757738651E-2</c:v>
                </c:pt>
                <c:pt idx="9">
                  <c:v>5.501467328554549E-2</c:v>
                </c:pt>
                <c:pt idx="10">
                  <c:v>3.2405022196952959E-2</c:v>
                </c:pt>
                <c:pt idx="11">
                  <c:v>7.8293144919612256E-3</c:v>
                </c:pt>
              </c:numCache>
            </c:numRef>
          </c:val>
        </c:ser>
        <c:marker val="1"/>
        <c:axId val="109419520"/>
        <c:axId val="109425792"/>
      </c:lineChart>
      <c:catAx>
        <c:axId val="1094195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RPM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9425792"/>
        <c:crosses val="autoZero"/>
        <c:auto val="1"/>
        <c:lblAlgn val="ctr"/>
        <c:lblOffset val="100"/>
      </c:catAx>
      <c:valAx>
        <c:axId val="10942579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Acceleration (m/s^2)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9419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8441893771509328"/>
          <c:y val="0.24933420049466182"/>
          <c:w val="0.11047739453608831"/>
          <c:h val="0.32509931760343586"/>
        </c:manualLayout>
      </c:layout>
      <c:overlay val="1"/>
      <c:txPr>
        <a:bodyPr/>
        <a:lstStyle/>
        <a:p>
          <a:pPr>
            <a:defRPr sz="1400" b="0">
              <a:latin typeface="Times New Roman" pitchFamily="18" charset="0"/>
              <a:cs typeface="Times New Roman" pitchFamily="18" charset="0"/>
            </a:defRPr>
          </a:pPr>
          <a:endParaRPr lang="en-US"/>
        </a:p>
      </c:txPr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b="0">
                <a:latin typeface="Times New Roman" pitchFamily="18" charset="0"/>
                <a:cs typeface="Times New Roman" pitchFamily="18" charset="0"/>
              </a:defRPr>
            </a:pPr>
            <a:r>
              <a:rPr lang="en-US" sz="1800" b="0" i="0" baseline="0">
                <a:latin typeface="Times New Roman" pitchFamily="18" charset="0"/>
                <a:cs typeface="Times New Roman" pitchFamily="18" charset="0"/>
              </a:rPr>
              <a:t>Traction Limited Acceleration in Terrain CD vs RPM</a:t>
            </a:r>
            <a:endParaRPr lang="en-US" b="0"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60292739278418295"/>
          <c:y val="6.0704617408978118E-2"/>
        </c:manualLayout>
      </c:layout>
      <c:overlay val="1"/>
    </c:title>
    <c:plotArea>
      <c:layout>
        <c:manualLayout>
          <c:layoutTarget val="inner"/>
          <c:xMode val="edge"/>
          <c:yMode val="edge"/>
          <c:x val="3.4963227947845545E-2"/>
          <c:y val="3.2939227741956477E-2"/>
          <c:w val="0.89981091301817906"/>
          <c:h val="0.87967580046959171"/>
        </c:manualLayout>
      </c:layout>
      <c:lineChart>
        <c:grouping val="standard"/>
        <c:ser>
          <c:idx val="0"/>
          <c:order val="0"/>
          <c:tx>
            <c:strRef>
              <c:f>'Acceleration &amp; Deceleration'!$L$18</c:f>
              <c:strCache>
                <c:ptCount val="1"/>
                <c:pt idx="0">
                  <c:v>Gear 1</c:v>
                </c:pt>
              </c:strCache>
            </c:strRef>
          </c:tx>
          <c:marker>
            <c:symbol val="none"/>
          </c:marker>
          <c:cat>
            <c:numRef>
              <c:f>'Acceleration &amp; Deceleration'!$B$19:$B$30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Deceleration'!$L$19:$L$30</c:f>
              <c:numCache>
                <c:formatCode>General</c:formatCode>
                <c:ptCount val="12"/>
                <c:pt idx="0">
                  <c:v>0.16354621053960022</c:v>
                </c:pt>
                <c:pt idx="1">
                  <c:v>0.15965475280100544</c:v>
                </c:pt>
                <c:pt idx="2">
                  <c:v>0.1551468843284784</c:v>
                </c:pt>
                <c:pt idx="3">
                  <c:v>0.15002260512201909</c:v>
                </c:pt>
                <c:pt idx="4">
                  <c:v>0.14428191518162753</c:v>
                </c:pt>
                <c:pt idx="5">
                  <c:v>0.13792481450730371</c:v>
                </c:pt>
                <c:pt idx="6">
                  <c:v>0.13095130309904759</c:v>
                </c:pt>
                <c:pt idx="7">
                  <c:v>0.12336138095685925</c:v>
                </c:pt>
                <c:pt idx="8">
                  <c:v>0.11515504808073856</c:v>
                </c:pt>
                <c:pt idx="9">
                  <c:v>0.1063323044706857</c:v>
                </c:pt>
                <c:pt idx="10">
                  <c:v>9.6893150126700578E-2</c:v>
                </c:pt>
                <c:pt idx="11">
                  <c:v>8.6837585048783084E-2</c:v>
                </c:pt>
              </c:numCache>
            </c:numRef>
          </c:val>
        </c:ser>
        <c:ser>
          <c:idx val="1"/>
          <c:order val="1"/>
          <c:tx>
            <c:strRef>
              <c:f>'Acceleration &amp; Deceleration'!$M$18</c:f>
              <c:strCache>
                <c:ptCount val="1"/>
                <c:pt idx="0">
                  <c:v>Gear 2</c:v>
                </c:pt>
              </c:strCache>
            </c:strRef>
          </c:tx>
          <c:marker>
            <c:symbol val="none"/>
          </c:marker>
          <c:cat>
            <c:numRef>
              <c:f>'Acceleration &amp; Deceleration'!$B$19:$B$30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Deceleration'!$M$19:$M$30</c:f>
              <c:numCache>
                <c:formatCode>General</c:formatCode>
                <c:ptCount val="12"/>
                <c:pt idx="0">
                  <c:v>0.16077719110002045</c:v>
                </c:pt>
                <c:pt idx="1">
                  <c:v>0.15470651228218593</c:v>
                </c:pt>
                <c:pt idx="2">
                  <c:v>0.14748961515745257</c:v>
                </c:pt>
                <c:pt idx="3">
                  <c:v>0.13912649972582034</c:v>
                </c:pt>
                <c:pt idx="4">
                  <c:v>0.12961716598728934</c:v>
                </c:pt>
                <c:pt idx="5">
                  <c:v>0.11896161394185939</c:v>
                </c:pt>
                <c:pt idx="6">
                  <c:v>0.10715984358953068</c:v>
                </c:pt>
                <c:pt idx="7">
                  <c:v>9.4211854930303152E-2</c:v>
                </c:pt>
                <c:pt idx="8">
                  <c:v>8.0117647964176752E-2</c:v>
                </c:pt>
                <c:pt idx="9">
                  <c:v>6.4877222691151482E-2</c:v>
                </c:pt>
                <c:pt idx="10">
                  <c:v>4.8490579111227394E-2</c:v>
                </c:pt>
                <c:pt idx="11">
                  <c:v>3.0957717224404546E-2</c:v>
                </c:pt>
              </c:numCache>
            </c:numRef>
          </c:val>
        </c:ser>
        <c:ser>
          <c:idx val="2"/>
          <c:order val="2"/>
          <c:tx>
            <c:strRef>
              <c:f>'Acceleration &amp; Deceleration'!$N$18</c:f>
              <c:strCache>
                <c:ptCount val="1"/>
                <c:pt idx="0">
                  <c:v>Gear 3</c:v>
                </c:pt>
              </c:strCache>
            </c:strRef>
          </c:tx>
          <c:marker>
            <c:symbol val="none"/>
          </c:marker>
          <c:cat>
            <c:numRef>
              <c:f>'Acceleration &amp; Deceleration'!$B$19:$B$30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Deceleration'!$N$19:$N$30</c:f>
              <c:numCache>
                <c:formatCode>General</c:formatCode>
                <c:ptCount val="12"/>
                <c:pt idx="0">
                  <c:v>0.15715239981742979</c:v>
                </c:pt>
                <c:pt idx="1">
                  <c:v>0.14803956789404921</c:v>
                </c:pt>
                <c:pt idx="2">
                  <c:v>0.13696067935426925</c:v>
                </c:pt>
                <c:pt idx="3">
                  <c:v>0.12391573419808991</c:v>
                </c:pt>
                <c:pt idx="4">
                  <c:v>0.1089047324255113</c:v>
                </c:pt>
                <c:pt idx="5">
                  <c:v>9.1927674036533291E-2</c:v>
                </c:pt>
                <c:pt idx="6">
                  <c:v>7.2984559031155971E-2</c:v>
                </c:pt>
                <c:pt idx="7">
                  <c:v>5.2075387409379337E-2</c:v>
                </c:pt>
                <c:pt idx="8">
                  <c:v>2.9200159171203277E-2</c:v>
                </c:pt>
                <c:pt idx="9">
                  <c:v>4.3588743166278476E-3</c:v>
                </c:pt>
                <c:pt idx="10">
                  <c:v>-2.2448467154346841E-2</c:v>
                </c:pt>
                <c:pt idx="11">
                  <c:v>-5.1221865241720899E-2</c:v>
                </c:pt>
              </c:numCache>
            </c:numRef>
          </c:val>
        </c:ser>
        <c:marker val="1"/>
        <c:axId val="109468288"/>
        <c:axId val="109478656"/>
      </c:lineChart>
      <c:catAx>
        <c:axId val="1094682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RPM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9478656"/>
        <c:crosses val="autoZero"/>
        <c:auto val="1"/>
        <c:lblAlgn val="ctr"/>
        <c:lblOffset val="100"/>
      </c:catAx>
      <c:valAx>
        <c:axId val="10947865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Acceleration</a:t>
                </a:r>
                <a:r>
                  <a:rPr lang="en-US" b="0" baseline="0">
                    <a:latin typeface="Times New Roman" pitchFamily="18" charset="0"/>
                    <a:cs typeface="Times New Roman" pitchFamily="18" charset="0"/>
                  </a:rPr>
                  <a:t> (m/s^2)</a:t>
                </a:r>
                <a:endParaRPr lang="en-US" b="0">
                  <a:latin typeface="Times New Roman" pitchFamily="18" charset="0"/>
                  <a:cs typeface="Times New Roman" pitchFamily="18" charset="0"/>
                </a:endParaRP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9468288"/>
        <c:crosses val="autoZero"/>
        <c:crossBetween val="between"/>
      </c:valAx>
    </c:plotArea>
    <c:legend>
      <c:legendPos val="r"/>
      <c:overlay val="1"/>
      <c:txPr>
        <a:bodyPr/>
        <a:lstStyle/>
        <a:p>
          <a:pPr>
            <a:defRPr sz="1100">
              <a:latin typeface="Times New Roman" pitchFamily="18" charset="0"/>
              <a:cs typeface="Times New Roman" pitchFamily="18" charset="0"/>
            </a:defRPr>
          </a:pPr>
          <a:endParaRPr lang="en-US"/>
        </a:p>
      </c:txPr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b="0">
                <a:latin typeface="Times New Roman" pitchFamily="18" charset="0"/>
                <a:cs typeface="Times New Roman" pitchFamily="18" charset="0"/>
              </a:defRPr>
            </a:pPr>
            <a:r>
              <a:rPr lang="en-US" sz="1800" b="0" i="0" baseline="0">
                <a:latin typeface="Times New Roman" pitchFamily="18" charset="0"/>
                <a:cs typeface="Times New Roman" pitchFamily="18" charset="0"/>
              </a:rPr>
              <a:t>Traction Limited Acceleration in Terrain DE &amp; EF vs RPM</a:t>
            </a:r>
            <a:endParaRPr lang="en-US" b="0">
              <a:latin typeface="Times New Roman" pitchFamily="18" charset="0"/>
              <a:cs typeface="Times New Roman" pitchFamily="18" charset="0"/>
            </a:endParaRPr>
          </a:p>
        </c:rich>
      </c:tx>
      <c:overlay val="1"/>
    </c:title>
    <c:plotArea>
      <c:layout/>
      <c:lineChart>
        <c:grouping val="standard"/>
        <c:ser>
          <c:idx val="3"/>
          <c:order val="3"/>
          <c:tx>
            <c:v>Gear 1 DE</c:v>
          </c:tx>
          <c:marker>
            <c:symbol val="none"/>
          </c:marker>
          <c:cat>
            <c:numRef>
              <c:f>'Acceleration &amp; Deceleration'!$B$19:$B$30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Deceleration'!$O$19:$O$30</c:f>
              <c:numCache>
                <c:formatCode>General</c:formatCode>
                <c:ptCount val="12"/>
                <c:pt idx="0">
                  <c:v>0.17272827710984143</c:v>
                </c:pt>
                <c:pt idx="1">
                  <c:v>0.17118725027501078</c:v>
                </c:pt>
                <c:pt idx="2">
                  <c:v>0.16902981270624784</c:v>
                </c:pt>
                <c:pt idx="3">
                  <c:v>0.16625596440355264</c:v>
                </c:pt>
                <c:pt idx="4">
                  <c:v>0.16286570536692518</c:v>
                </c:pt>
                <c:pt idx="5">
                  <c:v>0.15885903559636547</c:v>
                </c:pt>
                <c:pt idx="6">
                  <c:v>0.15423595509187346</c:v>
                </c:pt>
                <c:pt idx="7">
                  <c:v>0.1489964638534492</c:v>
                </c:pt>
                <c:pt idx="8">
                  <c:v>0.1431405618810927</c:v>
                </c:pt>
                <c:pt idx="9">
                  <c:v>0.13666824917480389</c:v>
                </c:pt>
                <c:pt idx="10">
                  <c:v>0.12957952573458287</c:v>
                </c:pt>
                <c:pt idx="11">
                  <c:v>0.12187439156042951</c:v>
                </c:pt>
              </c:numCache>
            </c:numRef>
          </c:val>
        </c:ser>
        <c:ser>
          <c:idx val="4"/>
          <c:order val="4"/>
          <c:tx>
            <c:v>Gear 2 DE</c:v>
          </c:tx>
          <c:marker>
            <c:symbol val="none"/>
          </c:marker>
          <c:cat>
            <c:numRef>
              <c:f>'Acceleration &amp; Deceleration'!$B$19:$B$30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Deceleration'!$P$19:$P$30</c:f>
              <c:numCache>
                <c:formatCode>General</c:formatCode>
                <c:ptCount val="12"/>
                <c:pt idx="0">
                  <c:v>0.17166866196390829</c:v>
                </c:pt>
                <c:pt idx="1">
                  <c:v>0.16880311619666119</c:v>
                </c:pt>
                <c:pt idx="2">
                  <c:v>0.16479135212251522</c:v>
                </c:pt>
                <c:pt idx="3">
                  <c:v>0.15963336974147047</c:v>
                </c:pt>
                <c:pt idx="4">
                  <c:v>0.15332916905352684</c:v>
                </c:pt>
                <c:pt idx="5">
                  <c:v>0.14587875005868436</c:v>
                </c:pt>
                <c:pt idx="6">
                  <c:v>0.13728211275694308</c:v>
                </c:pt>
                <c:pt idx="7">
                  <c:v>0.12753925714830294</c:v>
                </c:pt>
                <c:pt idx="8">
                  <c:v>0.11665018323276394</c:v>
                </c:pt>
                <c:pt idx="9">
                  <c:v>0.10461489101032612</c:v>
                </c:pt>
                <c:pt idx="10">
                  <c:v>9.1433380480989479E-2</c:v>
                </c:pt>
                <c:pt idx="11">
                  <c:v>7.710565164475397E-2</c:v>
                </c:pt>
              </c:numCache>
            </c:numRef>
          </c:val>
        </c:ser>
        <c:ser>
          <c:idx val="5"/>
          <c:order val="5"/>
          <c:tx>
            <c:v>Gear 3 DE</c:v>
          </c:tx>
          <c:marker>
            <c:symbol val="none"/>
          </c:marker>
          <c:cat>
            <c:numRef>
              <c:f>'Acceleration &amp; Deceleration'!$B$19:$B$30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Deceleration'!$Q$19:$Q$30</c:f>
              <c:numCache>
                <c:formatCode>General</c:formatCode>
                <c:ptCount val="12"/>
                <c:pt idx="0">
                  <c:v>0.17002898534490726</c:v>
                </c:pt>
                <c:pt idx="1">
                  <c:v>0.16511384380390889</c:v>
                </c:pt>
                <c:pt idx="2">
                  <c:v>0.15823264564651118</c:v>
                </c:pt>
                <c:pt idx="3">
                  <c:v>0.14938539087271413</c:v>
                </c:pt>
                <c:pt idx="4">
                  <c:v>0.13857207948251771</c:v>
                </c:pt>
                <c:pt idx="5">
                  <c:v>0.12579271147592194</c:v>
                </c:pt>
                <c:pt idx="6">
                  <c:v>0.11104728685292686</c:v>
                </c:pt>
                <c:pt idx="7">
                  <c:v>9.4335805613532442E-2</c:v>
                </c:pt>
                <c:pt idx="8">
                  <c:v>7.5658267757738651E-2</c:v>
                </c:pt>
                <c:pt idx="9">
                  <c:v>5.501467328554549E-2</c:v>
                </c:pt>
                <c:pt idx="10">
                  <c:v>3.2405022196952959E-2</c:v>
                </c:pt>
                <c:pt idx="11">
                  <c:v>7.8293144919612256E-3</c:v>
                </c:pt>
              </c:numCache>
            </c:numRef>
          </c:val>
        </c:ser>
        <c:ser>
          <c:idx val="0"/>
          <c:order val="0"/>
          <c:tx>
            <c:v>Gear 1 EF</c:v>
          </c:tx>
          <c:marker>
            <c:symbol val="none"/>
          </c:marker>
          <c:cat>
            <c:numRef>
              <c:f>'Acceleration &amp; Deceleration'!$B$19:$B$30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Deceleration'!$R$19:$R$30</c:f>
              <c:numCache>
                <c:formatCode>General</c:formatCode>
                <c:ptCount val="12"/>
                <c:pt idx="0">
                  <c:v>0.51531693415465663</c:v>
                </c:pt>
                <c:pt idx="1">
                  <c:v>0.51612633822359011</c:v>
                </c:pt>
                <c:pt idx="2">
                  <c:v>0.51631933155859133</c:v>
                </c:pt>
                <c:pt idx="3">
                  <c:v>0.51589591415966018</c:v>
                </c:pt>
                <c:pt idx="4">
                  <c:v>0.51485608602679689</c:v>
                </c:pt>
                <c:pt idx="5">
                  <c:v>0.51319984716000122</c:v>
                </c:pt>
                <c:pt idx="6">
                  <c:v>0.51092719755927329</c:v>
                </c:pt>
                <c:pt idx="7">
                  <c:v>0.50803813722461322</c:v>
                </c:pt>
                <c:pt idx="8">
                  <c:v>0.50453266615602077</c:v>
                </c:pt>
                <c:pt idx="9">
                  <c:v>0.50041078435349617</c:v>
                </c:pt>
                <c:pt idx="10">
                  <c:v>0.49567249181703921</c:v>
                </c:pt>
                <c:pt idx="11">
                  <c:v>0.49031778854664998</c:v>
                </c:pt>
              </c:numCache>
            </c:numRef>
          </c:val>
        </c:ser>
        <c:ser>
          <c:idx val="1"/>
          <c:order val="1"/>
          <c:tx>
            <c:v>Gear 2 EF</c:v>
          </c:tx>
          <c:marker>
            <c:symbol val="none"/>
          </c:marker>
          <c:cat>
            <c:numRef>
              <c:f>'Acceleration &amp; Deceleration'!$B$19:$B$30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Deceleration'!$S$19:$S$30</c:f>
              <c:numCache>
                <c:formatCode>General</c:formatCode>
                <c:ptCount val="12"/>
                <c:pt idx="0">
                  <c:v>0.51596672330237014</c:v>
                </c:pt>
                <c:pt idx="1">
                  <c:v>0.51630631058571042</c:v>
                </c:pt>
                <c:pt idx="2">
                  <c:v>0.51549967956215192</c:v>
                </c:pt>
                <c:pt idx="3">
                  <c:v>0.51354683023169456</c:v>
                </c:pt>
                <c:pt idx="4">
                  <c:v>0.51044776259433844</c:v>
                </c:pt>
                <c:pt idx="5">
                  <c:v>0.50620247665008333</c:v>
                </c:pt>
                <c:pt idx="6">
                  <c:v>0.50081097239892947</c:v>
                </c:pt>
                <c:pt idx="7">
                  <c:v>0.49427324984087673</c:v>
                </c:pt>
                <c:pt idx="8">
                  <c:v>0.48658930897592523</c:v>
                </c:pt>
                <c:pt idx="9">
                  <c:v>0.4777591498040748</c:v>
                </c:pt>
                <c:pt idx="10">
                  <c:v>0.46778277232532556</c:v>
                </c:pt>
                <c:pt idx="11">
                  <c:v>0.4566601765396775</c:v>
                </c:pt>
              </c:numCache>
            </c:numRef>
          </c:val>
        </c:ser>
        <c:ser>
          <c:idx val="2"/>
          <c:order val="2"/>
          <c:tx>
            <c:v>Gear 3 EF</c:v>
          </c:tx>
          <c:marker>
            <c:symbol val="none"/>
          </c:marker>
          <c:cat>
            <c:numRef>
              <c:f>'Acceleration &amp; Deceleration'!$B$19:$B$30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Deceleration'!$T$19:$T$30</c:f>
              <c:numCache>
                <c:formatCode>General</c:formatCode>
                <c:ptCount val="12"/>
                <c:pt idx="0">
                  <c:v>0.51631216134695879</c:v>
                </c:pt>
                <c:pt idx="1">
                  <c:v>0.51559471018834269</c:v>
                </c:pt>
                <c:pt idx="2">
                  <c:v>0.51291120241332711</c:v>
                </c:pt>
                <c:pt idx="3">
                  <c:v>0.50826163802191238</c:v>
                </c:pt>
                <c:pt idx="4">
                  <c:v>0.50164601701409817</c:v>
                </c:pt>
                <c:pt idx="5">
                  <c:v>0.49306433938988464</c:v>
                </c:pt>
                <c:pt idx="6">
                  <c:v>0.48251660514927175</c:v>
                </c:pt>
                <c:pt idx="7">
                  <c:v>0.4700028142922596</c:v>
                </c:pt>
                <c:pt idx="8">
                  <c:v>0.45552296681884802</c:v>
                </c:pt>
                <c:pt idx="9">
                  <c:v>0.43907706272903713</c:v>
                </c:pt>
                <c:pt idx="10">
                  <c:v>0.42066510202282686</c:v>
                </c:pt>
                <c:pt idx="11">
                  <c:v>0.40028708470021729</c:v>
                </c:pt>
              </c:numCache>
            </c:numRef>
          </c:val>
        </c:ser>
        <c:marker val="1"/>
        <c:axId val="109671168"/>
        <c:axId val="109673088"/>
      </c:lineChart>
      <c:catAx>
        <c:axId val="1096711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RPM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9673088"/>
        <c:crosses val="autoZero"/>
        <c:auto val="1"/>
        <c:lblAlgn val="ctr"/>
        <c:lblOffset val="100"/>
      </c:catAx>
      <c:valAx>
        <c:axId val="10967308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b="0">
                    <a:latin typeface="Times New Roman" pitchFamily="18" charset="0"/>
                    <a:cs typeface="Times New Roman" pitchFamily="18" charset="0"/>
                  </a:rPr>
                  <a:t>Acceleration (m/s^2)</a:t>
                </a:r>
              </a:p>
            </c:rich>
          </c:tx>
        </c:title>
        <c:numFmt formatCode="General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09671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49469214437365"/>
          <c:y val="0.1983196984265112"/>
          <c:w val="0.1603906581740977"/>
          <c:h val="0.29727322556626284"/>
        </c:manualLayout>
      </c:layout>
      <c:overlay val="1"/>
      <c:txPr>
        <a:bodyPr/>
        <a:lstStyle/>
        <a:p>
          <a:pPr>
            <a:defRPr sz="1400">
              <a:latin typeface="Times New Roman" pitchFamily="18" charset="0"/>
              <a:cs typeface="Times New Roman" pitchFamily="18" charset="0"/>
            </a:defRPr>
          </a:pPr>
          <a:endParaRPr lang="en-US"/>
        </a:p>
      </c:txPr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image" Target="../media/image4.jpeg"/><Relationship Id="rId3" Type="http://schemas.openxmlformats.org/officeDocument/2006/relationships/chart" Target="../charts/chart3.xml"/><Relationship Id="rId21" Type="http://schemas.openxmlformats.org/officeDocument/2006/relationships/image" Target="../media/image7.jpeg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image" Target="../media/image3.jpeg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image" Target="../media/image6.jpeg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image" Target="../media/image5.jpeg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83343</xdr:colOff>
      <xdr:row>8</xdr:row>
      <xdr:rowOff>166687</xdr:rowOff>
    </xdr:from>
    <xdr:to>
      <xdr:col>5</xdr:col>
      <xdr:colOff>0</xdr:colOff>
      <xdr:row>25</xdr:row>
      <xdr:rowOff>69233</xdr:rowOff>
    </xdr:to>
    <xdr:pic>
      <xdr:nvPicPr>
        <xdr:cNvPr id="2" name="Picture 1" descr="track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43" y="1738312"/>
          <a:ext cx="5250657" cy="31410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40</xdr:row>
      <xdr:rowOff>0</xdr:rowOff>
    </xdr:from>
    <xdr:to>
      <xdr:col>5</xdr:col>
      <xdr:colOff>12422</xdr:colOff>
      <xdr:row>57</xdr:row>
      <xdr:rowOff>47625</xdr:rowOff>
    </xdr:to>
    <xdr:pic>
      <xdr:nvPicPr>
        <xdr:cNvPr id="3" name="Picture 2" descr="Screenshot (161)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524625"/>
          <a:ext cx="5346422" cy="3286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607218</xdr:colOff>
      <xdr:row>0</xdr:row>
      <xdr:rowOff>190499</xdr:rowOff>
    </xdr:from>
    <xdr:to>
      <xdr:col>25</xdr:col>
      <xdr:colOff>238126</xdr:colOff>
      <xdr:row>16</xdr:row>
      <xdr:rowOff>47624</xdr:rowOff>
    </xdr:to>
    <xdr:graphicFrame macro="">
      <xdr:nvGraphicFramePr>
        <xdr:cNvPr id="2" name="Velocity(m/s) vs Distance(m)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607218</xdr:colOff>
      <xdr:row>17</xdr:row>
      <xdr:rowOff>47626</xdr:rowOff>
    </xdr:from>
    <xdr:to>
      <xdr:col>25</xdr:col>
      <xdr:colOff>250032</xdr:colOff>
      <xdr:row>31</xdr:row>
      <xdr:rowOff>119063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11907</xdr:colOff>
      <xdr:row>33</xdr:row>
      <xdr:rowOff>0</xdr:rowOff>
    </xdr:from>
    <xdr:to>
      <xdr:col>25</xdr:col>
      <xdr:colOff>238125</xdr:colOff>
      <xdr:row>57</xdr:row>
      <xdr:rowOff>71438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11905</xdr:colOff>
      <xdr:row>58</xdr:row>
      <xdr:rowOff>178594</xdr:rowOff>
    </xdr:from>
    <xdr:to>
      <xdr:col>25</xdr:col>
      <xdr:colOff>250030</xdr:colOff>
      <xdr:row>78</xdr:row>
      <xdr:rowOff>59531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11906</xdr:colOff>
      <xdr:row>79</xdr:row>
      <xdr:rowOff>142876</xdr:rowOff>
    </xdr:from>
    <xdr:to>
      <xdr:col>25</xdr:col>
      <xdr:colOff>285750</xdr:colOff>
      <xdr:row>94</xdr:row>
      <xdr:rowOff>23813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11906</xdr:colOff>
      <xdr:row>95</xdr:row>
      <xdr:rowOff>35720</xdr:rowOff>
    </xdr:from>
    <xdr:to>
      <xdr:col>25</xdr:col>
      <xdr:colOff>285750</xdr:colOff>
      <xdr:row>109</xdr:row>
      <xdr:rowOff>107157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110</xdr:row>
      <xdr:rowOff>154782</xdr:rowOff>
    </xdr:from>
    <xdr:to>
      <xdr:col>25</xdr:col>
      <xdr:colOff>273844</xdr:colOff>
      <xdr:row>125</xdr:row>
      <xdr:rowOff>35719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595312</xdr:colOff>
      <xdr:row>126</xdr:row>
      <xdr:rowOff>130969</xdr:rowOff>
    </xdr:from>
    <xdr:to>
      <xdr:col>25</xdr:col>
      <xdr:colOff>321468</xdr:colOff>
      <xdr:row>141</xdr:row>
      <xdr:rowOff>11906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607218</xdr:colOff>
      <xdr:row>142</xdr:row>
      <xdr:rowOff>71438</xdr:rowOff>
    </xdr:from>
    <xdr:to>
      <xdr:col>25</xdr:col>
      <xdr:colOff>333374</xdr:colOff>
      <xdr:row>158</xdr:row>
      <xdr:rowOff>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159</xdr:row>
      <xdr:rowOff>71438</xdr:rowOff>
    </xdr:from>
    <xdr:to>
      <xdr:col>25</xdr:col>
      <xdr:colOff>309562</xdr:colOff>
      <xdr:row>175</xdr:row>
      <xdr:rowOff>178594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595312</xdr:colOff>
      <xdr:row>177</xdr:row>
      <xdr:rowOff>83344</xdr:rowOff>
    </xdr:from>
    <xdr:to>
      <xdr:col>25</xdr:col>
      <xdr:colOff>321468</xdr:colOff>
      <xdr:row>191</xdr:row>
      <xdr:rowOff>154781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0</xdr:colOff>
      <xdr:row>193</xdr:row>
      <xdr:rowOff>95250</xdr:rowOff>
    </xdr:from>
    <xdr:to>
      <xdr:col>25</xdr:col>
      <xdr:colOff>309562</xdr:colOff>
      <xdr:row>207</xdr:row>
      <xdr:rowOff>166687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607218</xdr:colOff>
      <xdr:row>209</xdr:row>
      <xdr:rowOff>119063</xdr:rowOff>
    </xdr:from>
    <xdr:to>
      <xdr:col>25</xdr:col>
      <xdr:colOff>321468</xdr:colOff>
      <xdr:row>227</xdr:row>
      <xdr:rowOff>0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11905</xdr:colOff>
      <xdr:row>228</xdr:row>
      <xdr:rowOff>83344</xdr:rowOff>
    </xdr:from>
    <xdr:to>
      <xdr:col>25</xdr:col>
      <xdr:colOff>369094</xdr:colOff>
      <xdr:row>242</xdr:row>
      <xdr:rowOff>154781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11906</xdr:colOff>
      <xdr:row>244</xdr:row>
      <xdr:rowOff>83344</xdr:rowOff>
    </xdr:from>
    <xdr:to>
      <xdr:col>25</xdr:col>
      <xdr:colOff>357187</xdr:colOff>
      <xdr:row>259</xdr:row>
      <xdr:rowOff>154781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261</xdr:row>
      <xdr:rowOff>71438</xdr:rowOff>
    </xdr:from>
    <xdr:to>
      <xdr:col>25</xdr:col>
      <xdr:colOff>381000</xdr:colOff>
      <xdr:row>275</xdr:row>
      <xdr:rowOff>142875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1</xdr:col>
      <xdr:colOff>0</xdr:colOff>
      <xdr:row>277</xdr:row>
      <xdr:rowOff>0</xdr:rowOff>
    </xdr:from>
    <xdr:to>
      <xdr:col>14</xdr:col>
      <xdr:colOff>107156</xdr:colOff>
      <xdr:row>306</xdr:row>
      <xdr:rowOff>180975</xdr:rowOff>
    </xdr:to>
    <xdr:pic>
      <xdr:nvPicPr>
        <xdr:cNvPr id="20" name="Picture 19" descr="1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07219" y="52768500"/>
          <a:ext cx="8001000" cy="5705475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277</xdr:row>
      <xdr:rowOff>1</xdr:rowOff>
    </xdr:from>
    <xdr:to>
      <xdr:col>26</xdr:col>
      <xdr:colOff>524452</xdr:colOff>
      <xdr:row>307</xdr:row>
      <xdr:rowOff>1</xdr:rowOff>
    </xdr:to>
    <xdr:pic>
      <xdr:nvPicPr>
        <xdr:cNvPr id="21" name="Picture 20" descr="2.jp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9108281" y="52768501"/>
          <a:ext cx="7203859" cy="571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308</xdr:row>
      <xdr:rowOff>176585</xdr:rowOff>
    </xdr:from>
    <xdr:to>
      <xdr:col>14</xdr:col>
      <xdr:colOff>142875</xdr:colOff>
      <xdr:row>339</xdr:row>
      <xdr:rowOff>140494</xdr:rowOff>
    </xdr:to>
    <xdr:pic>
      <xdr:nvPicPr>
        <xdr:cNvPr id="22" name="Picture 21" descr="3.jp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07219" y="58850585"/>
          <a:ext cx="8036719" cy="5869409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308</xdr:row>
      <xdr:rowOff>0</xdr:rowOff>
    </xdr:from>
    <xdr:to>
      <xdr:col>27</xdr:col>
      <xdr:colOff>228600</xdr:colOff>
      <xdr:row>339</xdr:row>
      <xdr:rowOff>152400</xdr:rowOff>
    </xdr:to>
    <xdr:pic>
      <xdr:nvPicPr>
        <xdr:cNvPr id="23" name="Picture 22" descr="4.jp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9108281" y="58674000"/>
          <a:ext cx="7515225" cy="6057900"/>
        </a:xfrm>
        <a:prstGeom prst="rect">
          <a:avLst/>
        </a:prstGeom>
      </xdr:spPr>
    </xdr:pic>
    <xdr:clientData/>
  </xdr:twoCellAnchor>
  <xdr:twoCellAnchor editAs="oneCell">
    <xdr:from>
      <xdr:col>1</xdr:col>
      <xdr:colOff>11906</xdr:colOff>
      <xdr:row>342</xdr:row>
      <xdr:rowOff>0</xdr:rowOff>
    </xdr:from>
    <xdr:to>
      <xdr:col>13</xdr:col>
      <xdr:colOff>59964</xdr:colOff>
      <xdr:row>371</xdr:row>
      <xdr:rowOff>166688</xdr:rowOff>
    </xdr:to>
    <xdr:pic>
      <xdr:nvPicPr>
        <xdr:cNvPr id="24" name="Picture 23" descr="5.jp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19125" y="65151000"/>
          <a:ext cx="7334683" cy="56911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2" displayName="Table2" ref="A6:B10" headerRowCount="0" totalsRowShown="0" headerRowDxfId="427" dataDxfId="426">
  <tableColumns count="2">
    <tableColumn id="1" name="Column1" headerRowDxfId="425" dataDxfId="424"/>
    <tableColumn id="2" name="Column2" dataDxfId="423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id="3" name="Table3" displayName="Table3" ref="A11:B19" headerRowCount="0" totalsRowShown="0" headerRowDxfId="422" dataDxfId="421">
  <tableColumns count="2">
    <tableColumn id="1" name="Column1" headerRowDxfId="420" dataDxfId="419"/>
    <tableColumn id="2" name="Column2" headerRowDxfId="418" dataDxfId="417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id="4" name="Table4" displayName="Table4" ref="A21:B28" headerRowCount="0" totalsRowShown="0" headerRowDxfId="416" dataDxfId="415">
  <tableColumns count="2">
    <tableColumn id="1" name="Column1" headerRowDxfId="414" dataDxfId="413"/>
    <tableColumn id="2" name="Column2" headerRowDxfId="412" dataDxfId="411"/>
  </tableColumns>
  <tableStyleInfo name="TableStyleLight15" showFirstColumn="0" showLastColumn="0" showRowStripes="0" showColumnStripes="0"/>
</table>
</file>

<file path=xl/tables/table4.xml><?xml version="1.0" encoding="utf-8"?>
<table xmlns="http://schemas.openxmlformats.org/spreadsheetml/2006/main" id="5" name="Table5" displayName="Table5" ref="A30:B40" headerRowCount="0" totalsRowShown="0" headerRowDxfId="410" dataDxfId="409">
  <tableColumns count="2">
    <tableColumn id="1" name="Column1" headerRowDxfId="408" dataDxfId="407"/>
    <tableColumn id="2" name="Column2" headerRowDxfId="406" dataDxfId="405"/>
  </tableColumns>
  <tableStyleInfo name="TableStyleLight15" showFirstColumn="0" showLastColumn="0" showRowStripes="0" showColumnStripes="0"/>
</table>
</file>

<file path=xl/tables/table5.xml><?xml version="1.0" encoding="utf-8"?>
<table xmlns="http://schemas.openxmlformats.org/spreadsheetml/2006/main" id="6" name="Table6" displayName="Table6" ref="A42:B58" headerRowCount="0" totalsRowShown="0" headerRowDxfId="404" dataDxfId="403">
  <tableColumns count="2">
    <tableColumn id="1" name="Column1" headerRowDxfId="402" dataDxfId="401"/>
    <tableColumn id="2" name="Column2" dataDxfId="400"/>
  </tableColumns>
  <tableStyleInfo name="TableStyleLight15" showFirstColumn="0" showLastColumn="0" showRowStripes="0" showColumnStripes="0"/>
</table>
</file>

<file path=xl/tables/table6.xml><?xml version="1.0" encoding="utf-8"?>
<table xmlns="http://schemas.openxmlformats.org/spreadsheetml/2006/main" id="7" name="Table7" displayName="Table7" ref="D6:J11" headerRowCount="0" totalsRowShown="0" headerRowDxfId="399" dataDxfId="398">
  <tableColumns count="7">
    <tableColumn id="1" name="Column1" headerRowDxfId="397" dataDxfId="396"/>
    <tableColumn id="2" name="Column2" headerRowDxfId="395" dataDxfId="394"/>
    <tableColumn id="3" name="Column3" headerRowDxfId="393" dataDxfId="392"/>
    <tableColumn id="4" name="Column4" headerRowDxfId="391" dataDxfId="390">
      <calculatedColumnFormula>F7/E7</calculatedColumnFormula>
    </tableColumn>
    <tableColumn id="5" name="Column5" headerRowDxfId="389" dataDxfId="388"/>
    <tableColumn id="6" name="Column6" headerRowDxfId="387" dataDxfId="386"/>
    <tableColumn id="7" name="Column7" headerRowDxfId="385" dataDxfId="384"/>
  </tableColumns>
  <tableStyleInfo name="TableStyleLight15" showFirstColumn="0" showLastColumn="0" showRowStripes="0" showColumnStripes="0"/>
</table>
</file>

<file path=xl/tables/table7.xml><?xml version="1.0" encoding="utf-8"?>
<table xmlns="http://schemas.openxmlformats.org/spreadsheetml/2006/main" id="8" name="Table8" displayName="Table8" ref="D13:I16" headerRowCount="0" totalsRowShown="0" headerRowDxfId="383" dataDxfId="382">
  <tableColumns count="6">
    <tableColumn id="1" name="Column1" headerRowDxfId="381" dataDxfId="380"/>
    <tableColumn id="2" name="Column2" headerRowDxfId="379" dataDxfId="378"/>
    <tableColumn id="3" name="Column3" headerRowDxfId="377" dataDxfId="376"/>
    <tableColumn id="4" name="Column4" headerRowDxfId="375" dataDxfId="374"/>
    <tableColumn id="9" name="Column5" headerRowDxfId="373" dataDxfId="372"/>
    <tableColumn id="10" name="Column6" headerRowDxfId="371" dataDxfId="370"/>
  </tableColumns>
  <tableStyleInfo name="TableStyleLight15" showFirstColumn="0" showLastColumn="0" showRowStripes="0" showColumnStripes="0"/>
</table>
</file>

<file path=xl/tables/table8.xml><?xml version="1.0" encoding="utf-8"?>
<table xmlns="http://schemas.openxmlformats.org/spreadsheetml/2006/main" id="9" name="Table9" displayName="Table9" ref="D28:I31" headerRowCount="0" totalsRowShown="0" headerRowDxfId="369" dataDxfId="368">
  <tableColumns count="6">
    <tableColumn id="1" name="Column1" dataDxfId="367"/>
    <tableColumn id="2" name="Column2" dataDxfId="366"/>
    <tableColumn id="3" name="Column3" dataDxfId="365"/>
    <tableColumn id="4" name="Column4" dataDxfId="364"/>
    <tableColumn id="5" name="Column5" dataDxfId="363"/>
    <tableColumn id="6" name="Column6" dataDxfId="362"/>
  </tableColumns>
  <tableStyleInfo name="TableStyleLight15" showFirstColumn="0" showLastColumn="0" showRowStripes="0" showColumnStripes="0"/>
</table>
</file>

<file path=xl/tables/table9.xml><?xml version="1.0" encoding="utf-8"?>
<table xmlns="http://schemas.openxmlformats.org/spreadsheetml/2006/main" id="10" name="Table10" displayName="Table10" ref="D18:I21" headerRowCount="0" totalsRowShown="0" headerRowDxfId="361">
  <tableColumns count="6">
    <tableColumn id="1" name="Column1" headerRowDxfId="360" dataDxfId="359"/>
    <tableColumn id="6" name="Column5" headerRowDxfId="358" dataDxfId="357"/>
    <tableColumn id="5" name="Column4" headerRowDxfId="356" dataDxfId="355"/>
    <tableColumn id="2" name="Column2" headerRowDxfId="354" dataDxfId="353">
      <calculatedColumnFormula>(B$21*B$23*B$11*(I6-B$22)^2)/2</calculatedColumnFormula>
    </tableColumn>
    <tableColumn id="7" name="Column6" headerRowDxfId="352" dataDxfId="351"/>
    <tableColumn id="3" name="Column3" headerRowDxfId="350" dataDxfId="349">
      <calculatedColumnFormula>(B$23*B$21*B$11*(I6+B$22)^2)/2</calculatedColumnFormula>
    </tableColumn>
  </tableColumns>
  <tableStyleInfo name="TableStyleLight15" showFirstColumn="0" showLastColumn="0" showRowStripes="0" showColumnStripes="0"/>
</table>
</file>

<file path=xl/tables/table10.xml><?xml version="1.0" encoding="utf-8"?>
<table xmlns="http://schemas.openxmlformats.org/spreadsheetml/2006/main" id="12" name="Table12" displayName="Table12" ref="D23:I26" headerRowCount="0" totalsRowShown="0" headerRowDxfId="348">
  <tableColumns count="6">
    <tableColumn id="1" name="Column1" headerRowDxfId="347" dataDxfId="346"/>
    <tableColumn id="2" name="Column2" headerRowDxfId="345" dataDxfId="344">
      <calculatedColumnFormula>-B55*9.81*0.0087</calculatedColumnFormula>
    </tableColumn>
    <tableColumn id="6" name="Column6" headerRowDxfId="343" dataDxfId="342"/>
    <tableColumn id="5" name="Column5" headerRowDxfId="341" dataDxfId="340"/>
    <tableColumn id="4" name="Column4" headerRowDxfId="339" dataDxfId="338"/>
    <tableColumn id="3" name="Column3" headerRowDxfId="337" dataDxfId="336">
      <calculatedColumnFormula>B55*9.81*0.0087</calculatedColumnFormula>
    </tableColumn>
  </tableColumns>
  <tableStyleInfo name="TableStyleLight15" showFirstColumn="0" showLastColumn="0" showRowStripes="0" showColumnStripes="0"/>
</table>
</file>

<file path=xl/tables/table11.xml><?xml version="1.0" encoding="utf-8"?>
<table xmlns="http://schemas.openxmlformats.org/spreadsheetml/2006/main" id="14" name="Table14" displayName="Table14" ref="D33:I40" headerRowCount="0" totalsRowShown="0" headerRowDxfId="335" dataDxfId="334">
  <tableColumns count="6">
    <tableColumn id="1" name="Column1" headerRowDxfId="333" dataDxfId="332"/>
    <tableColumn id="2" name="Column2" headerRowDxfId="331" dataDxfId="330"/>
    <tableColumn id="3" name="Column3" headerRowDxfId="329" dataDxfId="328"/>
    <tableColumn id="4" name="Column4" headerRowDxfId="327" dataDxfId="326"/>
    <tableColumn id="5" name="Column5" headerRowDxfId="325" dataDxfId="324"/>
    <tableColumn id="6" name="Column6" headerRowDxfId="323" dataDxfId="322"/>
  </tableColumns>
  <tableStyleInfo name="TableStyleLight15" showFirstColumn="0" showLastColumn="0" showRowStripes="0" showColumnStripes="0"/>
</table>
</file>

<file path=xl/tables/table12.xml><?xml version="1.0" encoding="utf-8"?>
<table xmlns="http://schemas.openxmlformats.org/spreadsheetml/2006/main" id="15" name="Table15" displayName="Table15" ref="B3:Q15" headerRowCount="0" totalsRowShown="0" headerRowDxfId="321" dataDxfId="320">
  <tableColumns count="16">
    <tableColumn id="1" name="Column1" dataDxfId="319"/>
    <tableColumn id="2" name="Column2" dataDxfId="318"/>
    <tableColumn id="3" name="Column3" dataDxfId="317"/>
    <tableColumn id="4" name="Column4" dataDxfId="316"/>
    <tableColumn id="5" name="Column5" dataDxfId="315"/>
    <tableColumn id="6" name="Column6" dataDxfId="314"/>
    <tableColumn id="7" name="Column7" dataDxfId="313"/>
    <tableColumn id="8" name="Column8" dataDxfId="312"/>
    <tableColumn id="9" name="Column9" dataDxfId="311"/>
    <tableColumn id="10" name="Column10" dataDxfId="310"/>
    <tableColumn id="11" name="Column11" dataDxfId="309"/>
    <tableColumn id="12" name="Column12" dataDxfId="308"/>
    <tableColumn id="13" name="Column13" dataDxfId="307"/>
    <tableColumn id="14" name="Column14" dataDxfId="306"/>
    <tableColumn id="15" name="Column15" dataDxfId="305"/>
    <tableColumn id="16" name="Column16" dataDxfId="304"/>
  </tableColumns>
  <tableStyleInfo name="TableStyleLight15" showFirstColumn="0" showLastColumn="0" showRowStripes="0" showColumnStripes="0"/>
</table>
</file>

<file path=xl/tables/table13.xml><?xml version="1.0" encoding="utf-8"?>
<table xmlns="http://schemas.openxmlformats.org/spreadsheetml/2006/main" id="16" name="Table16" displayName="Table16" ref="B18:B30" headerRowCount="0" totalsRowShown="0" headerRowDxfId="303" dataDxfId="302">
  <tableColumns count="1">
    <tableColumn id="1" name="Column1" headerRowDxfId="301" dataDxfId="300"/>
  </tableColumns>
  <tableStyleInfo name="TableStyleLight15" showFirstColumn="0" showLastColumn="0" showRowStripes="0" showColumnStripes="0"/>
</table>
</file>

<file path=xl/tables/table14.xml><?xml version="1.0" encoding="utf-8"?>
<table xmlns="http://schemas.openxmlformats.org/spreadsheetml/2006/main" id="17" name="Table17" displayName="Table17" ref="C17:E30" headerRowCount="0" totalsRowShown="0" headerRowDxfId="299" dataDxfId="298">
  <tableColumns count="3">
    <tableColumn id="1" name="Column1" headerRowDxfId="297" dataDxfId="296"/>
    <tableColumn id="2" name="Column2" headerRowDxfId="295" dataDxfId="294"/>
    <tableColumn id="3" name="Column3" headerRowDxfId="293" dataDxfId="292"/>
  </tableColumns>
  <tableStyleInfo name="TableStyleMedium8" showFirstColumn="0" showLastColumn="0" showRowStripes="0" showColumnStripes="0"/>
</table>
</file>

<file path=xl/tables/table15.xml><?xml version="1.0" encoding="utf-8"?>
<table xmlns="http://schemas.openxmlformats.org/spreadsheetml/2006/main" id="19" name="Table19" displayName="Table19" ref="F17:H30" headerRowCount="0" totalsRowShown="0" headerRowDxfId="291" dataDxfId="290">
  <tableColumns count="3">
    <tableColumn id="1" name="Column1" headerRowDxfId="289" dataDxfId="288"/>
    <tableColumn id="2" name="Column2" headerRowDxfId="287" dataDxfId="286"/>
    <tableColumn id="3" name="Column3" headerRowDxfId="285" dataDxfId="284"/>
  </tableColumns>
  <tableStyleInfo name="TableStyleMedium9" showFirstColumn="0" showLastColumn="0" showRowStripes="0" showColumnStripes="0"/>
</table>
</file>

<file path=xl/tables/table16.xml><?xml version="1.0" encoding="utf-8"?>
<table xmlns="http://schemas.openxmlformats.org/spreadsheetml/2006/main" id="20" name="Table20" displayName="Table20" ref="I17:K30" headerRowCount="0" totalsRowShown="0" headerRowDxfId="283" dataDxfId="282">
  <tableColumns count="3">
    <tableColumn id="1" name="Column1" headerRowDxfId="281" dataDxfId="280"/>
    <tableColumn id="2" name="Column2" headerRowDxfId="279" dataDxfId="278"/>
    <tableColumn id="3" name="Column3" headerRowDxfId="277" dataDxfId="276"/>
  </tableColumns>
  <tableStyleInfo name="TableStyleMedium10" showFirstColumn="0" showLastColumn="0" showRowStripes="0" showColumnStripes="0"/>
</table>
</file>

<file path=xl/tables/table17.xml><?xml version="1.0" encoding="utf-8"?>
<table xmlns="http://schemas.openxmlformats.org/spreadsheetml/2006/main" id="21" name="Table21" displayName="Table21" ref="L17:N30" headerRowCount="0" totalsRowShown="0" headerRowDxfId="275" dataDxfId="274">
  <tableColumns count="3">
    <tableColumn id="1" name="Column1" headerRowDxfId="273" dataDxfId="272"/>
    <tableColumn id="2" name="Column2" headerRowDxfId="271" dataDxfId="270"/>
    <tableColumn id="3" name="Column3" headerRowDxfId="269" dataDxfId="268"/>
  </tableColumns>
  <tableStyleInfo name="TableStyleMedium11" showFirstColumn="0" showLastColumn="0" showRowStripes="0" showColumnStripes="0"/>
</table>
</file>

<file path=xl/tables/table18.xml><?xml version="1.0" encoding="utf-8"?>
<table xmlns="http://schemas.openxmlformats.org/spreadsheetml/2006/main" id="22" name="Table22" displayName="Table22" ref="O17:Q30" headerRowCount="0" totalsRowShown="0" headerRowDxfId="267" dataDxfId="266">
  <tableColumns count="3">
    <tableColumn id="1" name="Column1" headerRowDxfId="265" dataDxfId="264"/>
    <tableColumn id="2" name="Column2" headerRowDxfId="263" dataDxfId="262"/>
    <tableColumn id="3" name="Column3" headerRowDxfId="261" dataDxfId="260"/>
  </tableColumns>
  <tableStyleInfo name="TableStyleMedium12" showFirstColumn="0" showLastColumn="0" showRowStripes="0" showColumnStripes="0"/>
</table>
</file>

<file path=xl/tables/table19.xml><?xml version="1.0" encoding="utf-8"?>
<table xmlns="http://schemas.openxmlformats.org/spreadsheetml/2006/main" id="23" name="Table23" displayName="Table23" ref="R17:T30" headerRowCount="0" totalsRowShown="0" headerRowDxfId="259" dataDxfId="258">
  <tableColumns count="3">
    <tableColumn id="1" name="Column1" headerRowDxfId="257" dataDxfId="256"/>
    <tableColumn id="2" name="Column2" headerRowDxfId="255" dataDxfId="254"/>
    <tableColumn id="3" name="Column3" headerRowDxfId="253" dataDxfId="252"/>
  </tableColumns>
  <tableStyleInfo name="TableStyleMedium13" showFirstColumn="0" showLastColumn="0" showRowStripes="0" showColumnStripes="0"/>
</table>
</file>

<file path=xl/tables/table20.xml><?xml version="1.0" encoding="utf-8"?>
<table xmlns="http://schemas.openxmlformats.org/spreadsheetml/2006/main" id="25" name="Table25" displayName="Table25" ref="B4:B17" headerRowCount="0" totalsRowShown="0" headerRowDxfId="251" dataDxfId="250">
  <tableColumns count="1">
    <tableColumn id="1" name="Column1" headerRowDxfId="249" dataDxfId="248">
      <calculatedColumnFormula>#REF!+500</calculatedColumnFormula>
    </tableColumn>
  </tableColumns>
  <tableStyleInfo name="TableStyleLight15" showFirstColumn="0" showLastColumn="0" showRowStripes="0" showColumnStripes="0"/>
</table>
</file>

<file path=xl/tables/table21.xml><?xml version="1.0" encoding="utf-8"?>
<table xmlns="http://schemas.openxmlformats.org/spreadsheetml/2006/main" id="26" name="Table26" displayName="Table26" ref="C4:E17" headerRowCount="0" totalsRowShown="0" headerRowDxfId="247" dataDxfId="246">
  <tableColumns count="3">
    <tableColumn id="1" name="Column1" headerRowDxfId="245" dataDxfId="244"/>
    <tableColumn id="2" name="Column2" headerRowDxfId="243" dataDxfId="242"/>
    <tableColumn id="3" name="Column3" headerRowDxfId="241" dataDxfId="240"/>
  </tableColumns>
  <tableStyleInfo name="TableStyleLight16" showFirstColumn="0" showLastColumn="0" showRowStripes="0" showColumnStripes="0"/>
</table>
</file>

<file path=xl/tables/table22.xml><?xml version="1.0" encoding="utf-8"?>
<table xmlns="http://schemas.openxmlformats.org/spreadsheetml/2006/main" id="27" name="Table27" displayName="Table27" ref="F4:H17" headerRowCount="0" totalsRowShown="0" headerRowDxfId="239" dataDxfId="238">
  <tableColumns count="3">
    <tableColumn id="1" name="Column1" headerRowDxfId="237" dataDxfId="236"/>
    <tableColumn id="2" name="Column2" headerRowDxfId="235" dataDxfId="234"/>
    <tableColumn id="3" name="Column3" headerRowDxfId="233" dataDxfId="232"/>
  </tableColumns>
  <tableStyleInfo name="TableStyleLight17" showFirstColumn="0" showLastColumn="0" showRowStripes="0" showColumnStripes="0"/>
</table>
</file>

<file path=xl/tables/table23.xml><?xml version="1.0" encoding="utf-8"?>
<table xmlns="http://schemas.openxmlformats.org/spreadsheetml/2006/main" id="28" name="Table28" displayName="Table28" ref="I4:K17" headerRowCount="0" totalsRowShown="0" headerRowDxfId="231" dataDxfId="230">
  <tableColumns count="3">
    <tableColumn id="1" name="Column1" headerRowDxfId="229" dataDxfId="228"/>
    <tableColumn id="2" name="Column2" headerRowDxfId="227" dataDxfId="226"/>
    <tableColumn id="3" name="Column3" headerRowDxfId="225" dataDxfId="224"/>
  </tableColumns>
  <tableStyleInfo name="TableStyleLight20" showFirstColumn="0" showLastColumn="0" showRowStripes="0" showColumnStripes="0"/>
</table>
</file>

<file path=xl/tables/table24.xml><?xml version="1.0" encoding="utf-8"?>
<table xmlns="http://schemas.openxmlformats.org/spreadsheetml/2006/main" id="29" name="Table29" displayName="Table29" ref="L4:N17" headerRowCount="0" totalsRowShown="0" dataDxfId="223">
  <tableColumns count="3">
    <tableColumn id="1" name="Column1" dataDxfId="222"/>
    <tableColumn id="2" name="Column2" headerRowDxfId="221" dataDxfId="220"/>
    <tableColumn id="3" name="Column3" headerRowDxfId="219" dataDxfId="218"/>
  </tableColumns>
  <tableStyleInfo name="TableStyleLight17" showFirstColumn="0" showLastColumn="0" showRowStripes="0" showColumnStripes="0"/>
</table>
</file>

<file path=xl/tables/table25.xml><?xml version="1.0" encoding="utf-8"?>
<table xmlns="http://schemas.openxmlformats.org/spreadsheetml/2006/main" id="30" name="Table30" displayName="Table30" ref="O4:Q17" headerRowCount="0" totalsRowShown="0" headerRowDxfId="217" dataDxfId="216">
  <tableColumns count="3">
    <tableColumn id="1" name="Column1" headerRowDxfId="215" dataDxfId="214"/>
    <tableColumn id="2" name="Column2" headerRowDxfId="213" dataDxfId="212"/>
    <tableColumn id="3" name="Column3" headerRowDxfId="211" dataDxfId="210"/>
  </tableColumns>
  <tableStyleInfo name="TableStyleLight20" showFirstColumn="0" showLastColumn="0" showRowStripes="0" showColumnStripes="0"/>
</table>
</file>

<file path=xl/tables/table26.xml><?xml version="1.0" encoding="utf-8"?>
<table xmlns="http://schemas.openxmlformats.org/spreadsheetml/2006/main" id="33" name="Table33" displayName="Table33" ref="B4:Q17" headerRowCount="0" totalsRowShown="0" headerRowDxfId="209" dataDxfId="208">
  <tableColumns count="16">
    <tableColumn id="1" name="Column1" headerRowDxfId="207" dataDxfId="206">
      <calculatedColumnFormula>B4+500</calculatedColumnFormula>
    </tableColumn>
    <tableColumn id="2" name="Column2" headerRowDxfId="205" dataDxfId="204"/>
    <tableColumn id="3" name="Column3" headerRowDxfId="203" dataDxfId="202"/>
    <tableColumn id="4" name="Column4" headerRowDxfId="201" dataDxfId="200"/>
    <tableColumn id="5" name="Column5" headerRowDxfId="199" dataDxfId="198"/>
    <tableColumn id="6" name="Column6" headerRowDxfId="197" dataDxfId="196"/>
    <tableColumn id="7" name="Column7" headerRowDxfId="195" dataDxfId="194"/>
    <tableColumn id="8" name="Column8" headerRowDxfId="193" dataDxfId="192"/>
    <tableColumn id="9" name="Column9" headerRowDxfId="191" dataDxfId="190"/>
    <tableColumn id="10" name="Column10" headerRowDxfId="189" dataDxfId="188"/>
    <tableColumn id="11" name="Column11" headerRowDxfId="187" dataDxfId="186"/>
    <tableColumn id="12" name="Column12" headerRowDxfId="185" dataDxfId="184"/>
    <tableColumn id="13" name="Column13" headerRowDxfId="183" dataDxfId="182"/>
    <tableColumn id="14" name="Column14" headerRowDxfId="181" dataDxfId="180"/>
    <tableColumn id="15" name="Column15" headerRowDxfId="179" dataDxfId="178"/>
    <tableColumn id="16" name="Column16" headerRowDxfId="177" dataDxfId="176"/>
  </tableColumns>
  <tableStyleInfo name="TableStyleLight15" showFirstColumn="0" showLastColumn="0" showRowStripes="0" showColumnStripes="0"/>
</table>
</file>

<file path=xl/tables/table27.xml><?xml version="1.0" encoding="utf-8"?>
<table xmlns="http://schemas.openxmlformats.org/spreadsheetml/2006/main" id="34" name="Table34" displayName="Table34" ref="B22:Q35" headerRowCount="0" totalsRowShown="0" headerRowDxfId="175" dataDxfId="174">
  <tableColumns count="16">
    <tableColumn id="1" name="Column1" headerRowDxfId="173" dataDxfId="172"/>
    <tableColumn id="2" name="Column2" headerRowDxfId="171" dataDxfId="170"/>
    <tableColumn id="3" name="Column3" headerRowDxfId="169" dataDxfId="168"/>
    <tableColumn id="4" name="Column4" headerRowDxfId="167" dataDxfId="166"/>
    <tableColumn id="5" name="Column5" headerRowDxfId="165" dataDxfId="164"/>
    <tableColumn id="6" name="Column6" headerRowDxfId="163" dataDxfId="162"/>
    <tableColumn id="7" name="Column7" headerRowDxfId="161" dataDxfId="160"/>
    <tableColumn id="8" name="Column8" headerRowDxfId="159" dataDxfId="158"/>
    <tableColumn id="9" name="Column9" headerRowDxfId="157" dataDxfId="156"/>
    <tableColumn id="10" name="Column10" headerRowDxfId="155" dataDxfId="154"/>
    <tableColumn id="11" name="Column11" headerRowDxfId="153" dataDxfId="152"/>
    <tableColumn id="12" name="Column12" headerRowDxfId="151" dataDxfId="150"/>
    <tableColumn id="13" name="Column13" headerRowDxfId="149" dataDxfId="148"/>
    <tableColumn id="14" name="Column14" headerRowDxfId="147" dataDxfId="146"/>
    <tableColumn id="15" name="Column15" headerRowDxfId="145" dataDxfId="144"/>
    <tableColumn id="16" name="Column16" headerRowDxfId="143" dataDxfId="142"/>
  </tableColumns>
  <tableStyleInfo name="TableStyleLight16" showFirstColumn="0" showLastColumn="0" showRowStripes="0" showColumnStripes="0"/>
</table>
</file>

<file path=xl/tables/table28.xml><?xml version="1.0" encoding="utf-8"?>
<table xmlns="http://schemas.openxmlformats.org/spreadsheetml/2006/main" id="35" name="Table35" displayName="Table35" ref="A4:E8" headerRowCount="0" totalsRowShown="0" headerRowDxfId="141" dataDxfId="140">
  <tableColumns count="5">
    <tableColumn id="1" name="Column1" headerRowDxfId="139" dataDxfId="138"/>
    <tableColumn id="2" name="Column2" headerRowDxfId="137" dataDxfId="136"/>
    <tableColumn id="3" name="Column3" headerRowDxfId="135" dataDxfId="134"/>
    <tableColumn id="4" name="Column4" headerRowDxfId="133" dataDxfId="132"/>
    <tableColumn id="5" name="Column5" headerRowDxfId="131" dataDxfId="130"/>
  </tableColumns>
  <tableStyleInfo name="TableStyleLight15" showFirstColumn="0" showLastColumn="0" showRowStripes="0" showColumnStripes="0"/>
</table>
</file>

<file path=xl/tables/table29.xml><?xml version="1.0" encoding="utf-8"?>
<table xmlns="http://schemas.openxmlformats.org/spreadsheetml/2006/main" id="36" name="Table36" displayName="Table36" ref="A34:D39" headerRowCount="0" totalsRowShown="0" headerRowDxfId="129">
  <tableColumns count="4">
    <tableColumn id="1" name="Column1" headerRowDxfId="128" dataDxfId="127"/>
    <tableColumn id="2" name="Column2" headerRowDxfId="126" dataDxfId="125"/>
    <tableColumn id="3" name="Column3" headerRowDxfId="124"/>
    <tableColumn id="4" name="Column4" headerRowDxfId="123"/>
  </tableColumns>
  <tableStyleInfo name="TableStyleLight15" showFirstColumn="0" showLastColumn="0" showRowStripes="0" showColumnStripes="0"/>
</table>
</file>

<file path=xl/tables/table30.xml><?xml version="1.0" encoding="utf-8"?>
<table xmlns="http://schemas.openxmlformats.org/spreadsheetml/2006/main" id="37" name="Table37" displayName="Table37" ref="G4:Z319" headerRowCount="0" totalsRowShown="0" headerRowDxfId="122" dataDxfId="121">
  <tableColumns count="20">
    <tableColumn id="1" name="Column1" headerRowDxfId="120" dataDxfId="119"/>
    <tableColumn id="2" name="Column2" headerRowDxfId="118" dataDxfId="117"/>
    <tableColumn id="3" name="Column3" headerRowDxfId="116" dataDxfId="115"/>
    <tableColumn id="4" name="Column4" headerRowDxfId="114" dataDxfId="113"/>
    <tableColumn id="5" name="Column5" headerRowDxfId="112" dataDxfId="111"/>
    <tableColumn id="6" name="Column6" headerRowDxfId="110" dataDxfId="109"/>
    <tableColumn id="7" name="Column7" headerRowDxfId="108" dataDxfId="107"/>
    <tableColumn id="8" name="Column8" headerRowDxfId="106" dataDxfId="105">
      <calculatedColumnFormula>N3+1</calculatedColumnFormula>
    </tableColumn>
    <tableColumn id="9" name="Column9" headerRowDxfId="104" dataDxfId="103"/>
    <tableColumn id="10" name="Column10" headerRowDxfId="102" dataDxfId="101"/>
    <tableColumn id="11" name="Column11" headerRowDxfId="100" dataDxfId="99"/>
    <tableColumn id="12" name="Column12" headerRowDxfId="98" dataDxfId="97"/>
    <tableColumn id="13" name="Column13" headerRowDxfId="96" dataDxfId="95"/>
    <tableColumn id="14" name="Column14" headerRowDxfId="94" dataDxfId="93"/>
    <tableColumn id="26" name="Column19" headerRowDxfId="92" dataDxfId="91"/>
    <tableColumn id="15" name="Column15" headerRowDxfId="90" dataDxfId="89"/>
    <tableColumn id="16" name="Column16" headerRowDxfId="88" dataDxfId="87"/>
    <tableColumn id="18" name="Column18" headerRowDxfId="86" dataDxfId="85"/>
    <tableColumn id="20" name="Column20" headerRowDxfId="84" dataDxfId="83"/>
    <tableColumn id="21" name="Column21" headerRowDxfId="82" dataDxfId="81"/>
  </tableColumns>
  <tableStyleInfo name="TableStyleLight15" showFirstColumn="0" showLastColumn="0" showRowStripes="0" showColumnStripes="0"/>
</table>
</file>

<file path=xl/tables/table31.xml><?xml version="1.0" encoding="utf-8"?>
<table xmlns="http://schemas.openxmlformats.org/spreadsheetml/2006/main" id="38" name="Table38" displayName="Table38" ref="B3:H64" headerRowCount="0" totalsRowShown="0" headerRowDxfId="80" dataDxfId="79">
  <tableColumns count="7">
    <tableColumn id="1" name="Column1" headerRowDxfId="78" dataDxfId="77">
      <calculatedColumnFormula>B2+100</calculatedColumnFormula>
    </tableColumn>
    <tableColumn id="2" name="Column2" headerRowDxfId="76" dataDxfId="75"/>
    <tableColumn id="3" name="Column3" headerRowDxfId="74" dataDxfId="73"/>
    <tableColumn id="7" name="Column7" headerRowDxfId="72" dataDxfId="71"/>
    <tableColumn id="4" name="Column4" headerRowDxfId="70" dataDxfId="69"/>
    <tableColumn id="5" name="Column5" headerRowDxfId="68" dataDxfId="67"/>
    <tableColumn id="6" name="Column6" headerRowDxfId="66" dataDxfId="65"/>
  </tableColumns>
  <tableStyleInfo name="TableStyleLight15" showFirstColumn="0" showLastColumn="0" showRowStripes="0" showColumnStripes="0"/>
</table>
</file>

<file path=xl/tables/table32.xml><?xml version="1.0" encoding="utf-8"?>
<table xmlns="http://schemas.openxmlformats.org/spreadsheetml/2006/main" id="39" name="Table39" displayName="Table39" ref="K3:Y28" headerRowCount="0" totalsRowShown="0" headerRowDxfId="64" dataDxfId="63" tableBorderDxfId="62">
  <tableColumns count="15">
    <tableColumn id="1" name="Column1" headerRowDxfId="61" dataDxfId="60"/>
    <tableColumn id="2" name="Column2" headerRowDxfId="59" dataDxfId="58"/>
    <tableColumn id="3" name="Column3" headerRowDxfId="57" dataDxfId="56"/>
    <tableColumn id="4" name="Column4" headerRowDxfId="55" dataDxfId="54"/>
    <tableColumn id="5" name="Column5" headerRowDxfId="53" dataDxfId="52"/>
    <tableColumn id="6" name="Column6" headerRowDxfId="51" dataDxfId="50"/>
    <tableColumn id="7" name="Column7" headerRowDxfId="49" dataDxfId="48"/>
    <tableColumn id="8" name="Column8" headerRowDxfId="47" dataDxfId="46"/>
    <tableColumn id="9" name="Column9" headerRowDxfId="45" dataDxfId="44"/>
    <tableColumn id="10" name="Column10" headerRowDxfId="43" dataDxfId="42"/>
    <tableColumn id="11" name="Column11" headerRowDxfId="41" dataDxfId="40"/>
    <tableColumn id="12" name="Column12" headerRowDxfId="39" dataDxfId="38"/>
    <tableColumn id="13" name="Column13" headerRowDxfId="37" dataDxfId="36"/>
    <tableColumn id="14" name="Column14" headerRowDxfId="35" dataDxfId="34"/>
    <tableColumn id="15" name="Column15" headerRowDxfId="33" dataDxfId="32"/>
  </tableColumns>
  <tableStyleInfo name="TableStyleLight15" showFirstColumn="0" showLastColumn="0" showRowStripes="0" showColumnStripes="0"/>
</table>
</file>

<file path=xl/tables/table33.xml><?xml version="1.0" encoding="utf-8"?>
<table xmlns="http://schemas.openxmlformats.org/spreadsheetml/2006/main" id="40" name="Table40" displayName="Table40" ref="O3:P7" headerRowCount="0" totalsRowShown="0" headerRowDxfId="17" tableBorderDxfId="16">
  <tableColumns count="2">
    <tableColumn id="1" name="Column1" headerRowDxfId="31" dataDxfId="15"/>
    <tableColumn id="2" name="Column2" headerRowDxfId="30" dataDxfId="14"/>
  </tableColumns>
  <tableStyleInfo name="TableStyleLight15" showFirstColumn="0" showLastColumn="0" showRowStripes="0" showColumnStripes="0"/>
</table>
</file>

<file path=xl/tables/table34.xml><?xml version="1.0" encoding="utf-8"?>
<table xmlns="http://schemas.openxmlformats.org/spreadsheetml/2006/main" id="41" name="Table41" displayName="Table41" ref="B3:M318" headerRowCount="0" totalsRowShown="0" headerRowDxfId="13" dataDxfId="12">
  <tableColumns count="12">
    <tableColumn id="1" name="Column1" headerRowDxfId="29" dataDxfId="11">
      <calculatedColumnFormula>B2+1</calculatedColumnFormula>
    </tableColumn>
    <tableColumn id="2" name="Column2" headerRowDxfId="28" dataDxfId="10"/>
    <tableColumn id="3" name="Column3" headerRowDxfId="27" dataDxfId="9"/>
    <tableColumn id="4" name="Column4" headerRowDxfId="26" dataDxfId="8">
      <calculatedColumnFormula>D3*746/1000</calculatedColumnFormula>
    </tableColumn>
    <tableColumn id="5" name="Column5" headerRowDxfId="25" dataDxfId="7">
      <calculatedColumnFormula>E3*60*1000/(2*PI()*C3)</calculatedColumnFormula>
    </tableColumn>
    <tableColumn id="6" name="Column6" headerRowDxfId="24" dataDxfId="6"/>
    <tableColumn id="7" name="Column7" headerRowDxfId="23" dataDxfId="5">
      <calculatedColumnFormula>((B3-B2)/3600)*E3</calculatedColumnFormula>
    </tableColumn>
    <tableColumn id="8" name="Column8" headerRowDxfId="22" dataDxfId="4">
      <calculatedColumnFormula>E3*G3/3600</calculatedColumnFormula>
    </tableColumn>
    <tableColumn id="9" name="Column9" headerRowDxfId="21" dataDxfId="3">
      <calculatedColumnFormula>H3*G3</calculatedColumnFormula>
    </tableColumn>
    <tableColumn id="10" name="Column10" headerRowDxfId="20" dataDxfId="2">
      <calculatedColumnFormula>K2+J3</calculatedColumnFormula>
    </tableColumn>
    <tableColumn id="11" name="Column11" headerRowDxfId="19" dataDxfId="1">
      <calculatedColumnFormula>J3/1000*0.775</calculatedColumnFormula>
    </tableColumn>
    <tableColumn id="12" name="Column12" headerRowDxfId="18" dataDxfId="0">
      <calculatedColumnFormula>M2+L3</calculatedColumnFormula>
    </tableColumn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9.xml"/><Relationship Id="rId3" Type="http://schemas.openxmlformats.org/officeDocument/2006/relationships/table" Target="../tables/table14.xml"/><Relationship Id="rId7" Type="http://schemas.openxmlformats.org/officeDocument/2006/relationships/table" Target="../tables/table18.xml"/><Relationship Id="rId2" Type="http://schemas.openxmlformats.org/officeDocument/2006/relationships/table" Target="../tables/table13.xml"/><Relationship Id="rId1" Type="http://schemas.openxmlformats.org/officeDocument/2006/relationships/table" Target="../tables/table12.xml"/><Relationship Id="rId6" Type="http://schemas.openxmlformats.org/officeDocument/2006/relationships/table" Target="../tables/table17.xml"/><Relationship Id="rId5" Type="http://schemas.openxmlformats.org/officeDocument/2006/relationships/table" Target="../tables/table16.xml"/><Relationship Id="rId4" Type="http://schemas.openxmlformats.org/officeDocument/2006/relationships/table" Target="../tables/table1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2.xml"/><Relationship Id="rId2" Type="http://schemas.openxmlformats.org/officeDocument/2006/relationships/table" Target="../tables/table21.xml"/><Relationship Id="rId1" Type="http://schemas.openxmlformats.org/officeDocument/2006/relationships/table" Target="../tables/table20.xml"/><Relationship Id="rId6" Type="http://schemas.openxmlformats.org/officeDocument/2006/relationships/table" Target="../tables/table25.xml"/><Relationship Id="rId5" Type="http://schemas.openxmlformats.org/officeDocument/2006/relationships/table" Target="../tables/table24.xml"/><Relationship Id="rId4" Type="http://schemas.openxmlformats.org/officeDocument/2006/relationships/table" Target="../tables/table2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7.xml"/><Relationship Id="rId1" Type="http://schemas.openxmlformats.org/officeDocument/2006/relationships/table" Target="../tables/table2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9.xml"/><Relationship Id="rId2" Type="http://schemas.openxmlformats.org/officeDocument/2006/relationships/table" Target="../tables/table28.xml"/><Relationship Id="rId1" Type="http://schemas.openxmlformats.org/officeDocument/2006/relationships/drawing" Target="../drawings/drawing1.xml"/><Relationship Id="rId4" Type="http://schemas.openxmlformats.org/officeDocument/2006/relationships/table" Target="../tables/table30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2.xml"/><Relationship Id="rId1" Type="http://schemas.openxmlformats.org/officeDocument/2006/relationships/table" Target="../tables/table3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4.xml"/><Relationship Id="rId1" Type="http://schemas.openxmlformats.org/officeDocument/2006/relationships/table" Target="../tables/table3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8"/>
  <sheetViews>
    <sheetView zoomScale="80" zoomScaleNormal="80" workbookViewId="0">
      <selection activeCell="G7" sqref="G7"/>
    </sheetView>
  </sheetViews>
  <sheetFormatPr defaultRowHeight="15"/>
  <cols>
    <col min="1" max="1" width="45.5703125" style="1" customWidth="1"/>
    <col min="2" max="2" width="12" style="1" bestFit="1" customWidth="1"/>
    <col min="3" max="3" width="9.140625" style="1"/>
    <col min="4" max="4" width="25.85546875" style="1" bestFit="1" customWidth="1"/>
    <col min="5" max="5" width="42.140625" style="1" bestFit="1" customWidth="1"/>
    <col min="6" max="6" width="32.28515625" style="1" bestFit="1" customWidth="1"/>
    <col min="7" max="7" width="42.140625" style="1" bestFit="1" customWidth="1"/>
    <col min="8" max="9" width="32.28515625" style="1" bestFit="1" customWidth="1"/>
    <col min="10" max="10" width="17.140625" style="1" bestFit="1" customWidth="1"/>
    <col min="11" max="11" width="26.42578125" style="1" bestFit="1" customWidth="1"/>
    <col min="12" max="16384" width="9.140625" style="1"/>
  </cols>
  <sheetData>
    <row r="1" spans="1:10" ht="18.75">
      <c r="A1" s="83" t="s">
        <v>0</v>
      </c>
    </row>
    <row r="2" spans="1:10">
      <c r="A2" s="84" t="s">
        <v>1</v>
      </c>
    </row>
    <row r="4" spans="1:10">
      <c r="A4" s="2" t="s">
        <v>2</v>
      </c>
    </row>
    <row r="6" spans="1:10">
      <c r="A6" s="1" t="s">
        <v>3</v>
      </c>
      <c r="D6" s="18" t="s">
        <v>122</v>
      </c>
      <c r="E6" s="2" t="s">
        <v>5</v>
      </c>
      <c r="F6" s="2" t="s">
        <v>6</v>
      </c>
      <c r="G6" s="18" t="s">
        <v>4</v>
      </c>
      <c r="H6" s="2" t="s">
        <v>7</v>
      </c>
      <c r="I6" s="2" t="s">
        <v>8</v>
      </c>
      <c r="J6" s="2" t="s">
        <v>9</v>
      </c>
    </row>
    <row r="7" spans="1:10" ht="18">
      <c r="A7" s="1" t="s">
        <v>10</v>
      </c>
      <c r="B7" s="1">
        <v>6500</v>
      </c>
      <c r="D7" s="1" t="s">
        <v>11</v>
      </c>
      <c r="E7" s="1">
        <v>11</v>
      </c>
      <c r="F7" s="1">
        <v>29</v>
      </c>
      <c r="G7" s="1">
        <f>F7/E7</f>
        <v>2.6363636363636362</v>
      </c>
      <c r="H7" s="1">
        <f>G11*G10*G7</f>
        <v>22.729220779220775</v>
      </c>
      <c r="I7" s="1">
        <f>2*3.14*B$13*B$7/(H7*60*1000)</f>
        <v>7.6027536687331576</v>
      </c>
      <c r="J7" s="1">
        <f>3.6*I7</f>
        <v>27.369913207439367</v>
      </c>
    </row>
    <row r="8" spans="1:10" ht="18">
      <c r="A8" s="1" t="s">
        <v>12</v>
      </c>
      <c r="B8" s="1">
        <v>22</v>
      </c>
      <c r="D8" s="1" t="s">
        <v>13</v>
      </c>
      <c r="E8" s="1">
        <v>15</v>
      </c>
      <c r="F8" s="1">
        <v>29</v>
      </c>
      <c r="G8" s="1">
        <f>F8/E8</f>
        <v>1.9333333333333333</v>
      </c>
      <c r="H8" s="1">
        <f>G11*G10*G8</f>
        <v>16.668095238095237</v>
      </c>
      <c r="I8" s="1">
        <f>2*3.14*B$13*B$7/(H8*60*1000)</f>
        <v>10.367391366454305</v>
      </c>
      <c r="J8" s="1">
        <f t="shared" ref="J8:J9" si="0">3.6*I8</f>
        <v>37.322608919235499</v>
      </c>
    </row>
    <row r="9" spans="1:10" ht="18">
      <c r="A9" s="1" t="s">
        <v>100</v>
      </c>
      <c r="B9" s="1">
        <f>B8*2*3.14*B7/60</f>
        <v>14967.333333333334</v>
      </c>
      <c r="D9" s="1" t="s">
        <v>14</v>
      </c>
      <c r="E9" s="1">
        <v>21</v>
      </c>
      <c r="F9" s="1">
        <v>31</v>
      </c>
      <c r="G9" s="1">
        <f>F9/E9</f>
        <v>1.4761904761904763</v>
      </c>
      <c r="H9" s="1">
        <f>G11*G10*G9</f>
        <v>12.726870748299319</v>
      </c>
      <c r="I9" s="1">
        <f>2*3.14*B$13*B$7/(H9*60*1000)</f>
        <v>13.577938370259508</v>
      </c>
      <c r="J9" s="1">
        <f t="shared" si="0"/>
        <v>48.880578132934232</v>
      </c>
    </row>
    <row r="10" spans="1:10">
      <c r="A10" s="1" t="s">
        <v>101</v>
      </c>
      <c r="B10" s="1">
        <f>B9/746</f>
        <v>20.063449508489725</v>
      </c>
      <c r="D10" s="1" t="s">
        <v>15</v>
      </c>
      <c r="E10" s="1">
        <v>15</v>
      </c>
      <c r="F10" s="1">
        <v>51</v>
      </c>
      <c r="G10" s="1">
        <f>F10/E10</f>
        <v>3.4</v>
      </c>
    </row>
    <row r="11" spans="1:10" ht="18">
      <c r="A11" s="1" t="s">
        <v>16</v>
      </c>
      <c r="B11" s="1">
        <v>1.151</v>
      </c>
      <c r="D11" s="1" t="s">
        <v>17</v>
      </c>
      <c r="E11" s="1">
        <v>28</v>
      </c>
      <c r="F11" s="1">
        <v>71</v>
      </c>
      <c r="G11" s="1">
        <f>F11/E11</f>
        <v>2.5357142857142856</v>
      </c>
    </row>
    <row r="12" spans="1:10">
      <c r="A12" s="1" t="s">
        <v>20</v>
      </c>
      <c r="B12" s="1">
        <v>304.8</v>
      </c>
    </row>
    <row r="13" spans="1:10">
      <c r="A13" s="1" t="s">
        <v>21</v>
      </c>
      <c r="B13" s="1">
        <v>254</v>
      </c>
      <c r="D13" s="2" t="s">
        <v>70</v>
      </c>
      <c r="E13" s="2" t="s">
        <v>71</v>
      </c>
      <c r="F13" s="2" t="s">
        <v>72</v>
      </c>
      <c r="G13" s="2" t="s">
        <v>73</v>
      </c>
      <c r="H13" s="2" t="s">
        <v>74</v>
      </c>
      <c r="I13" s="2" t="s">
        <v>75</v>
      </c>
    </row>
    <row r="14" spans="1:10">
      <c r="A14" s="1" t="s">
        <v>58</v>
      </c>
      <c r="B14" s="1">
        <f>B12/1000</f>
        <v>0.30480000000000002</v>
      </c>
      <c r="D14" s="1" t="s">
        <v>22</v>
      </c>
      <c r="E14" s="1">
        <f>B$26*B$19*9.81</f>
        <v>409.43800800000002</v>
      </c>
      <c r="F14" s="1">
        <f>B$24*B$19*9.81</f>
        <v>102.35950200000001</v>
      </c>
      <c r="G14" s="1">
        <f>B$24*B$19*9.81</f>
        <v>102.35950200000001</v>
      </c>
      <c r="H14" s="1">
        <f>B$24*B$19*9.81</f>
        <v>102.35950200000001</v>
      </c>
      <c r="I14" s="1">
        <f>B$25*B$19*9.81</f>
        <v>102.35950200000001</v>
      </c>
    </row>
    <row r="15" spans="1:10">
      <c r="A15" s="1" t="s">
        <v>59</v>
      </c>
      <c r="B15" s="1">
        <f>B13/1000</f>
        <v>0.254</v>
      </c>
      <c r="D15" s="1" t="s">
        <v>24</v>
      </c>
      <c r="E15" s="27">
        <f t="shared" ref="E15:E16" si="1">B$26*B$19*9.81</f>
        <v>409.43800800000002</v>
      </c>
      <c r="F15" s="27">
        <f t="shared" ref="F15:F16" si="2">B$24*B$19*9.81</f>
        <v>102.35950200000001</v>
      </c>
      <c r="G15" s="27">
        <f t="shared" ref="G15:G16" si="3">B$24*B$19*9.81</f>
        <v>102.35950200000001</v>
      </c>
      <c r="H15" s="27">
        <f t="shared" ref="H15:H16" si="4">B$24*B$19*9.81</f>
        <v>102.35950200000001</v>
      </c>
      <c r="I15" s="27">
        <f t="shared" ref="I15:I16" si="5">B$25*B$19*9.81</f>
        <v>102.35950200000001</v>
      </c>
    </row>
    <row r="16" spans="1:10">
      <c r="A16" s="1" t="s">
        <v>23</v>
      </c>
      <c r="B16" s="1">
        <v>144</v>
      </c>
      <c r="D16" s="1" t="s">
        <v>26</v>
      </c>
      <c r="E16" s="27">
        <f t="shared" si="1"/>
        <v>409.43800800000002</v>
      </c>
      <c r="F16" s="27">
        <f t="shared" si="2"/>
        <v>102.35950200000001</v>
      </c>
      <c r="G16" s="27">
        <f t="shared" si="3"/>
        <v>102.35950200000001</v>
      </c>
      <c r="H16" s="27">
        <f t="shared" si="4"/>
        <v>102.35950200000001</v>
      </c>
      <c r="I16" s="27">
        <f t="shared" si="5"/>
        <v>102.35950200000001</v>
      </c>
    </row>
    <row r="17" spans="1:10">
      <c r="A17" s="1" t="s">
        <v>25</v>
      </c>
      <c r="B17" s="1">
        <v>16.11</v>
      </c>
      <c r="D17"/>
      <c r="E17"/>
      <c r="F17"/>
    </row>
    <row r="18" spans="1:10">
      <c r="A18" s="1" t="s">
        <v>27</v>
      </c>
      <c r="B18" s="1">
        <v>345</v>
      </c>
      <c r="D18" s="2" t="s">
        <v>76</v>
      </c>
      <c r="E18" s="18" t="s">
        <v>79</v>
      </c>
      <c r="F18" s="18" t="s">
        <v>125</v>
      </c>
      <c r="G18" s="7" t="s">
        <v>81</v>
      </c>
      <c r="H18" s="7" t="s">
        <v>126</v>
      </c>
      <c r="I18" s="7" t="s">
        <v>80</v>
      </c>
    </row>
    <row r="19" spans="1:10">
      <c r="A19" s="1" t="s">
        <v>28</v>
      </c>
      <c r="B19" s="1">
        <f>B18+B17+B16+B50</f>
        <v>521.71</v>
      </c>
      <c r="D19" s="1" t="s">
        <v>22</v>
      </c>
      <c r="E19" s="15">
        <f>(B$21*B$23*B$11*(I7)^2)/2</f>
        <v>27.174155917983285</v>
      </c>
      <c r="F19" s="15">
        <f>(B$21*B$23*B$11*(I7)^2)/2</f>
        <v>27.174155917983285</v>
      </c>
      <c r="G19" s="5">
        <f>(B$21*B$23*B$11*(I7+B$22)^2)/2</f>
        <v>45.453208243174345</v>
      </c>
      <c r="H19" s="6">
        <f>(B$21*B$23*B$11*(I7)^2)/2</f>
        <v>27.174155917983285</v>
      </c>
      <c r="I19" s="6">
        <f>(B$23*B$21*B$11*(I7-B$22)^2)/2</f>
        <v>13.570882266302227</v>
      </c>
    </row>
    <row r="20" spans="1:10">
      <c r="D20" s="1" t="s">
        <v>24</v>
      </c>
      <c r="E20" s="15">
        <f t="shared" ref="E20:E21" si="6">(B$21*B$23*B$11*(I8)^2)/2</f>
        <v>50.530455219390397</v>
      </c>
      <c r="F20" s="15">
        <f t="shared" ref="F20:F21" si="7">(B$21*B$23*B$11*(I8)^2)/2</f>
        <v>50.530455219390397</v>
      </c>
      <c r="G20" s="5">
        <f>(B$21*B$23*B$11*(I8+B$22)^2)/2</f>
        <v>74.606294085830925</v>
      </c>
      <c r="H20" s="6">
        <f t="shared" ref="H20:H21" si="8">(B$21*B$23*B$11*(I8)^2)/2</f>
        <v>50.530455219390397</v>
      </c>
      <c r="I20" s="6">
        <f>(B$23*B$21*B$11*(I8-B$22)^2)/2</f>
        <v>31.130395026459865</v>
      </c>
    </row>
    <row r="21" spans="1:10">
      <c r="A21" s="1" t="s">
        <v>18</v>
      </c>
      <c r="B21" s="1">
        <v>0.7</v>
      </c>
      <c r="D21" s="1" t="s">
        <v>26</v>
      </c>
      <c r="E21" s="15">
        <f t="shared" si="6"/>
        <v>86.672613075373931</v>
      </c>
      <c r="F21" s="15">
        <f t="shared" si="7"/>
        <v>86.672613075373931</v>
      </c>
      <c r="G21" s="5">
        <f>(B$21*B$23*B$11*(I9+B$22)^2)/2</f>
        <v>117.48020405423321</v>
      </c>
      <c r="H21" s="6">
        <f t="shared" si="8"/>
        <v>86.672613075373931</v>
      </c>
      <c r="I21" s="6">
        <f>(B$23*B$21*B$11*(I9-B$22)^2)/2</f>
        <v>60.540800770024653</v>
      </c>
    </row>
    <row r="22" spans="1:10">
      <c r="A22" s="1" t="s">
        <v>61</v>
      </c>
      <c r="B22" s="1">
        <v>2.23</v>
      </c>
      <c r="D22"/>
      <c r="E22"/>
      <c r="F22"/>
    </row>
    <row r="23" spans="1:10" ht="18">
      <c r="A23" s="1" t="s">
        <v>19</v>
      </c>
      <c r="B23" s="1">
        <v>1.167</v>
      </c>
      <c r="D23" s="2" t="s">
        <v>77</v>
      </c>
      <c r="E23" s="7" t="s">
        <v>82</v>
      </c>
      <c r="F23" s="7" t="s">
        <v>125</v>
      </c>
      <c r="G23" s="7" t="s">
        <v>78</v>
      </c>
      <c r="H23" s="7" t="s">
        <v>126</v>
      </c>
      <c r="I23" s="7" t="s">
        <v>83</v>
      </c>
    </row>
    <row r="24" spans="1:10" ht="16.5">
      <c r="A24" s="1" t="s">
        <v>63</v>
      </c>
      <c r="B24" s="1">
        <v>0.02</v>
      </c>
      <c r="D24" s="1" t="s">
        <v>22</v>
      </c>
      <c r="E24" s="5">
        <f>B$19*9.81*B$28</f>
        <v>178.61733099000003</v>
      </c>
      <c r="F24" s="6">
        <v>0</v>
      </c>
      <c r="G24" s="6">
        <v>0</v>
      </c>
      <c r="H24" s="6">
        <v>0</v>
      </c>
      <c r="I24" s="6">
        <f>-B$19*9.81*B$28</f>
        <v>-178.61733099000003</v>
      </c>
    </row>
    <row r="25" spans="1:10" ht="16.5">
      <c r="A25" s="1" t="s">
        <v>64</v>
      </c>
      <c r="B25" s="1">
        <v>0.02</v>
      </c>
      <c r="D25" s="1" t="s">
        <v>24</v>
      </c>
      <c r="E25" s="5">
        <f t="shared" ref="E25:E26" si="9">B$19*9.81*B$28</f>
        <v>178.61733099000003</v>
      </c>
      <c r="F25" s="6">
        <v>0</v>
      </c>
      <c r="G25" s="6">
        <v>0</v>
      </c>
      <c r="H25" s="6">
        <v>0</v>
      </c>
      <c r="I25" s="6">
        <f t="shared" ref="I25:I26" si="10">-B$19*9.81*B$28</f>
        <v>-178.61733099000003</v>
      </c>
    </row>
    <row r="26" spans="1:10" ht="16.5">
      <c r="A26" s="1" t="s">
        <v>60</v>
      </c>
      <c r="B26" s="1">
        <v>0.08</v>
      </c>
      <c r="D26" s="1" t="s">
        <v>26</v>
      </c>
      <c r="E26" s="5">
        <f t="shared" si="9"/>
        <v>178.61733099000003</v>
      </c>
      <c r="F26" s="6">
        <v>0</v>
      </c>
      <c r="G26" s="6">
        <v>0</v>
      </c>
      <c r="H26" s="6">
        <v>0</v>
      </c>
      <c r="I26" s="6">
        <f t="shared" si="10"/>
        <v>-178.61733099000003</v>
      </c>
    </row>
    <row r="27" spans="1:10">
      <c r="A27" s="1" t="s">
        <v>29</v>
      </c>
      <c r="B27" s="20" t="s">
        <v>124</v>
      </c>
    </row>
    <row r="28" spans="1:10" ht="15.75">
      <c r="A28" s="15" t="s">
        <v>123</v>
      </c>
      <c r="B28" s="19">
        <v>3.49E-2</v>
      </c>
      <c r="D28" s="2" t="s">
        <v>62</v>
      </c>
      <c r="E28" s="2" t="s">
        <v>65</v>
      </c>
      <c r="F28" s="2" t="s">
        <v>66</v>
      </c>
      <c r="G28" s="2" t="s">
        <v>67</v>
      </c>
      <c r="H28" s="2" t="s">
        <v>68</v>
      </c>
      <c r="I28" s="2" t="s">
        <v>69</v>
      </c>
    </row>
    <row r="29" spans="1:10">
      <c r="D29" s="1" t="s">
        <v>22</v>
      </c>
      <c r="E29" s="1">
        <f>E14+E24</f>
        <v>588.05533899000011</v>
      </c>
      <c r="F29" s="1">
        <f>F14</f>
        <v>102.35950200000001</v>
      </c>
      <c r="G29" s="1">
        <f>F14+G19</f>
        <v>147.81271024317437</v>
      </c>
      <c r="H29" s="1">
        <f>F14</f>
        <v>102.35950200000001</v>
      </c>
      <c r="I29" s="1">
        <f>I14+I19+I24</f>
        <v>-62.686946723697787</v>
      </c>
    </row>
    <row r="30" spans="1:10">
      <c r="A30" s="1" t="s">
        <v>30</v>
      </c>
      <c r="B30" s="1">
        <v>1940</v>
      </c>
      <c r="D30" s="1" t="s">
        <v>24</v>
      </c>
      <c r="E30" s="1">
        <f>E15+E25</f>
        <v>588.05533899000011</v>
      </c>
      <c r="F30" s="1">
        <f t="shared" ref="F30:F31" si="11">F15</f>
        <v>102.35950200000001</v>
      </c>
      <c r="G30" s="1">
        <f>F15+G20</f>
        <v>176.96579608583093</v>
      </c>
      <c r="H30" s="1">
        <f t="shared" ref="H30:H31" si="12">F15</f>
        <v>102.35950200000001</v>
      </c>
      <c r="I30" s="1">
        <f>I15+I20+I25</f>
        <v>-45.12743396354017</v>
      </c>
    </row>
    <row r="31" spans="1:10">
      <c r="A31" s="1" t="s">
        <v>31</v>
      </c>
      <c r="B31" s="1">
        <v>488</v>
      </c>
      <c r="D31" s="1" t="s">
        <v>26</v>
      </c>
      <c r="E31" s="1">
        <f>E16+E26</f>
        <v>588.05533899000011</v>
      </c>
      <c r="F31" s="1">
        <f t="shared" si="11"/>
        <v>102.35950200000001</v>
      </c>
      <c r="G31" s="1">
        <f>F16+G21</f>
        <v>219.8397060542332</v>
      </c>
      <c r="H31" s="1">
        <f t="shared" si="12"/>
        <v>102.35950200000001</v>
      </c>
      <c r="I31" s="1">
        <f>I16+I21+I26</f>
        <v>-15.717028219975361</v>
      </c>
    </row>
    <row r="32" spans="1:10">
      <c r="A32" s="1" t="s">
        <v>32</v>
      </c>
      <c r="B32" s="1">
        <v>1070</v>
      </c>
      <c r="D32"/>
      <c r="E32"/>
      <c r="F32"/>
      <c r="G32"/>
      <c r="H32"/>
      <c r="I32"/>
      <c r="J32"/>
    </row>
    <row r="33" spans="1:9" ht="17.25">
      <c r="A33" s="1" t="s">
        <v>33</v>
      </c>
      <c r="B33" s="1">
        <v>870</v>
      </c>
      <c r="D33" s="2"/>
      <c r="E33" s="2" t="s">
        <v>88</v>
      </c>
      <c r="F33" s="2" t="s">
        <v>84</v>
      </c>
      <c r="G33" s="2" t="s">
        <v>85</v>
      </c>
      <c r="H33" s="2" t="s">
        <v>86</v>
      </c>
      <c r="I33" s="2" t="s">
        <v>87</v>
      </c>
    </row>
    <row r="34" spans="1:9">
      <c r="A34" s="1" t="s">
        <v>34</v>
      </c>
      <c r="B34" s="1">
        <v>18</v>
      </c>
      <c r="D34" s="1" t="s">
        <v>89</v>
      </c>
      <c r="E34" s="1">
        <f>B53</f>
        <v>1.2491742758400002</v>
      </c>
      <c r="G34" s="1">
        <f>1/B14</f>
        <v>3.280839895013123</v>
      </c>
    </row>
    <row r="35" spans="1:9">
      <c r="A35" s="1" t="s">
        <v>35</v>
      </c>
      <c r="B35" s="1">
        <v>0.31415900000000002</v>
      </c>
      <c r="D35" s="1" t="s">
        <v>90</v>
      </c>
      <c r="E35" s="1">
        <f>B54</f>
        <v>0.86748213600000001</v>
      </c>
      <c r="G35" s="1">
        <f>1/B15</f>
        <v>3.9370078740157481</v>
      </c>
    </row>
    <row r="36" spans="1:9">
      <c r="A36" s="1" t="s">
        <v>36</v>
      </c>
      <c r="B36" s="1">
        <v>0.32490999999999998</v>
      </c>
      <c r="D36" s="1" t="s">
        <v>91</v>
      </c>
      <c r="E36" s="1">
        <v>0.06</v>
      </c>
      <c r="F36" s="9">
        <v>2.536</v>
      </c>
    </row>
    <row r="37" spans="1:9">
      <c r="A37" s="1" t="s">
        <v>37</v>
      </c>
      <c r="B37" s="1">
        <v>207</v>
      </c>
      <c r="D37" s="1" t="s">
        <v>95</v>
      </c>
      <c r="E37" s="1">
        <v>0.02</v>
      </c>
      <c r="F37" s="9">
        <v>3.4</v>
      </c>
      <c r="G37" s="1">
        <f>G35*Table14[[#This Row],[Column3]]</f>
        <v>13.385826771653543</v>
      </c>
    </row>
    <row r="38" spans="1:9">
      <c r="A38" s="1" t="s">
        <v>38</v>
      </c>
      <c r="B38" s="1">
        <v>193</v>
      </c>
      <c r="D38" s="1" t="s">
        <v>92</v>
      </c>
      <c r="E38" s="1">
        <v>0.05</v>
      </c>
      <c r="F38" s="9">
        <v>2.6360000000000001</v>
      </c>
      <c r="G38" s="1">
        <f>G35*F37*Table14[[#This Row],[Column3]]</f>
        <v>35.285039370078742</v>
      </c>
      <c r="H38" s="1">
        <f>Table14[[#This Row],[Column3]]*F37*F36*G35</f>
        <v>89.482859842519701</v>
      </c>
      <c r="I38" s="1">
        <f>F37*G7*G35</f>
        <v>35.289906943450248</v>
      </c>
    </row>
    <row r="39" spans="1:9">
      <c r="A39" s="1" t="s">
        <v>39</v>
      </c>
      <c r="B39" s="1">
        <f>B37*B30/B19</f>
        <v>769.73797703705122</v>
      </c>
      <c r="D39" s="1" t="s">
        <v>93</v>
      </c>
      <c r="E39" s="1">
        <v>0.05</v>
      </c>
      <c r="F39" s="9">
        <v>1.9330000000000001</v>
      </c>
      <c r="G39" s="1">
        <f>G35*Table14[[#This Row],[Column3]]*F37</f>
        <v>25.874803149606301</v>
      </c>
      <c r="H39" s="1">
        <f>Table14[[#This Row],[Column3]]*F37*F36*G35</f>
        <v>65.618500787401572</v>
      </c>
      <c r="I39" s="1">
        <f>G8*F37*G35</f>
        <v>25.879265091863516</v>
      </c>
    </row>
    <row r="40" spans="1:9">
      <c r="A40" s="1" t="s">
        <v>40</v>
      </c>
      <c r="B40" s="1">
        <f>((B37-B38)*B30)/(B18*B36)+279.4</f>
        <v>521.69675196565026</v>
      </c>
      <c r="D40" s="1" t="s">
        <v>94</v>
      </c>
      <c r="E40" s="1">
        <v>0.05</v>
      </c>
      <c r="F40" s="9">
        <v>1.476</v>
      </c>
      <c r="G40" s="1">
        <f>Table14[[#This Row],[Column3]]*F37*G35</f>
        <v>19.757480314960631</v>
      </c>
      <c r="H40" s="1">
        <f>Table14[[#This Row],[Column3]]*F37*F36*G35</f>
        <v>50.104970078740159</v>
      </c>
      <c r="I40" s="1">
        <f>G9*F37*G35</f>
        <v>19.76002999625047</v>
      </c>
    </row>
    <row r="42" spans="1:9">
      <c r="A42" s="1" t="s">
        <v>41</v>
      </c>
    </row>
    <row r="43" spans="1:9">
      <c r="A43" s="1" t="s">
        <v>42</v>
      </c>
      <c r="B43" s="1">
        <v>7.6027536687331576</v>
      </c>
    </row>
    <row r="44" spans="1:9">
      <c r="A44" s="1" t="s">
        <v>43</v>
      </c>
      <c r="B44" s="1">
        <f>B8*G7*0.97</f>
        <v>56.26</v>
      </c>
    </row>
    <row r="45" spans="1:9">
      <c r="A45" s="1" t="s">
        <v>44</v>
      </c>
      <c r="B45" s="1">
        <f>B44*G10*0.94</f>
        <v>179.80695999999998</v>
      </c>
    </row>
    <row r="46" spans="1:9">
      <c r="A46" s="1" t="s">
        <v>45</v>
      </c>
      <c r="B46" s="1">
        <f>(B45/B13)*1000</f>
        <v>707.9014173228345</v>
      </c>
    </row>
    <row r="47" spans="1:9" ht="18">
      <c r="A47" s="1" t="s">
        <v>46</v>
      </c>
      <c r="B47" s="1">
        <f>B46/(B17+B18)</f>
        <v>1.9603484182737516</v>
      </c>
    </row>
    <row r="48" spans="1:9">
      <c r="A48" s="1" t="s">
        <v>47</v>
      </c>
      <c r="B48" s="1">
        <v>10.199999999999999</v>
      </c>
    </row>
    <row r="49" spans="1:2">
      <c r="A49" s="1" t="s">
        <v>48</v>
      </c>
      <c r="B49" s="1">
        <v>6.4</v>
      </c>
    </row>
    <row r="50" spans="1:2">
      <c r="A50" s="1" t="s">
        <v>49</v>
      </c>
      <c r="B50" s="1">
        <f>B48+B49</f>
        <v>16.600000000000001</v>
      </c>
    </row>
    <row r="51" spans="1:2" ht="16.5">
      <c r="A51" s="1" t="s">
        <v>50</v>
      </c>
      <c r="B51" s="1">
        <f>B12*0.9/1000</f>
        <v>0.27432000000000001</v>
      </c>
    </row>
    <row r="52" spans="1:2" ht="18">
      <c r="A52" s="1" t="s">
        <v>51</v>
      </c>
      <c r="B52" s="1">
        <f>B13*0.9/1000</f>
        <v>0.2286</v>
      </c>
    </row>
    <row r="53" spans="1:2">
      <c r="A53" s="1" t="s">
        <v>52</v>
      </c>
      <c r="B53" s="1">
        <f>B50*B51^2</f>
        <v>1.2491742758400002</v>
      </c>
    </row>
    <row r="54" spans="1:2">
      <c r="A54" s="1" t="s">
        <v>53</v>
      </c>
      <c r="B54" s="1">
        <f>B50*B52^2</f>
        <v>0.86748213600000001</v>
      </c>
    </row>
    <row r="55" spans="1:2">
      <c r="A55" s="1" t="s">
        <v>54</v>
      </c>
      <c r="B55" s="1">
        <v>0.17</v>
      </c>
    </row>
    <row r="56" spans="1:2">
      <c r="A56" s="1" t="s">
        <v>55</v>
      </c>
      <c r="B56" s="1">
        <f>B$19+(4*(B$54/B$15^2))+(B$55*(G7^2/B$15^2))</f>
        <v>593.80837547172621</v>
      </c>
    </row>
    <row r="57" spans="1:2">
      <c r="A57" s="1" t="s">
        <v>56</v>
      </c>
      <c r="B57" s="1">
        <f>B$19+(4*(B$54/B$15^2))+(B$55*(G8^2/B$15^2))</f>
        <v>585.34306414257276</v>
      </c>
    </row>
    <row r="58" spans="1:2">
      <c r="A58" s="1" t="s">
        <v>57</v>
      </c>
      <c r="B58" s="1">
        <f>B$19+(4*(B$54/B$15^2))+(B$55*(G9^2/B$15^2))</f>
        <v>581.23604096253996</v>
      </c>
    </row>
  </sheetData>
  <pageMargins left="0.7" right="0.7" top="0.75" bottom="0.75" header="0.3" footer="0.3"/>
  <tableParts count="11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1:T45"/>
  <sheetViews>
    <sheetView zoomScale="80" zoomScaleNormal="80" workbookViewId="0">
      <selection activeCell="G23" sqref="G23"/>
    </sheetView>
  </sheetViews>
  <sheetFormatPr defaultRowHeight="15"/>
  <cols>
    <col min="1" max="1" width="9.140625" style="8"/>
    <col min="2" max="2" width="12" style="8" customWidth="1"/>
    <col min="3" max="4" width="12" style="8" bestFit="1" customWidth="1"/>
    <col min="5" max="5" width="12.140625" style="8" bestFit="1" customWidth="1"/>
    <col min="6" max="6" width="21.28515625" style="8" customWidth="1"/>
    <col min="7" max="8" width="21.28515625" style="8" bestFit="1" customWidth="1"/>
    <col min="9" max="9" width="22.28515625" style="8" customWidth="1"/>
    <col min="10" max="11" width="22.28515625" style="8" bestFit="1" customWidth="1"/>
    <col min="12" max="12" width="22.28515625" style="8" customWidth="1"/>
    <col min="13" max="14" width="22.7109375" style="8" bestFit="1" customWidth="1"/>
    <col min="15" max="15" width="26.42578125" style="8" customWidth="1"/>
    <col min="16" max="17" width="26.7109375" style="8" bestFit="1" customWidth="1"/>
    <col min="18" max="18" width="16.28515625" style="8" customWidth="1"/>
    <col min="19" max="19" width="17.85546875" style="8" customWidth="1"/>
    <col min="20" max="20" width="15.42578125" style="8" customWidth="1"/>
    <col min="21" max="37" width="12" style="8" customWidth="1"/>
    <col min="38" max="16384" width="9.140625" style="8"/>
  </cols>
  <sheetData>
    <row r="1" spans="2:20" ht="20.25">
      <c r="B1" s="82" t="s">
        <v>190</v>
      </c>
    </row>
    <row r="3" spans="2:20" ht="18">
      <c r="B3" s="1" t="s">
        <v>96</v>
      </c>
      <c r="C3" s="1" t="s">
        <v>97</v>
      </c>
      <c r="D3" s="1" t="s">
        <v>98</v>
      </c>
      <c r="E3" s="1" t="s">
        <v>99</v>
      </c>
      <c r="F3" s="13" t="s">
        <v>103</v>
      </c>
      <c r="G3" s="13" t="s">
        <v>104</v>
      </c>
      <c r="H3" s="13" t="s">
        <v>105</v>
      </c>
      <c r="I3" s="12" t="s">
        <v>106</v>
      </c>
      <c r="J3" s="12" t="s">
        <v>107</v>
      </c>
      <c r="K3" s="12" t="s">
        <v>108</v>
      </c>
      <c r="L3" s="12" t="s">
        <v>109</v>
      </c>
      <c r="M3" s="12" t="s">
        <v>110</v>
      </c>
      <c r="N3" s="12" t="s">
        <v>111</v>
      </c>
      <c r="O3" s="12" t="s">
        <v>112</v>
      </c>
      <c r="P3" s="12" t="s">
        <v>113</v>
      </c>
      <c r="Q3" s="12" t="s">
        <v>114</v>
      </c>
    </row>
    <row r="4" spans="2:20">
      <c r="B4" s="8">
        <v>1000</v>
      </c>
      <c r="C4" s="11">
        <v>507</v>
      </c>
      <c r="D4" s="8">
        <f>Table15[[#This Row],[Column2]]/746</f>
        <v>0.67962466487935658</v>
      </c>
      <c r="E4" s="8">
        <f>60*C4/(2*3.14*B4)</f>
        <v>4.8439490445859876</v>
      </c>
      <c r="F4" s="8">
        <f>3.6*2*3.14*'Specification &amp; Data'!B$15*B4/('Specification &amp; Data'!H$7*60)</f>
        <v>4.2107558780675953</v>
      </c>
      <c r="G4" s="8">
        <f>3.6*2*3.14*'Specification &amp; Data'!B$15*B4/('Specification &amp; Data'!H$8*60)</f>
        <v>5.7419398337285381</v>
      </c>
      <c r="H4" s="8">
        <f>3.6*2*3.14*'Specification &amp; Data'!B$15*B4/('Specification &amp; Data'!H$9*60)</f>
        <v>7.5200889435283429</v>
      </c>
      <c r="I4" s="8">
        <f>3.6*C4/F4</f>
        <v>433.46136723500172</v>
      </c>
      <c r="J4" s="8">
        <f>3.6*C4/G4</f>
        <v>317.87166930566798</v>
      </c>
      <c r="K4" s="8">
        <f>3.6*C4/H4</f>
        <v>242.70989528265289</v>
      </c>
      <c r="L4" s="8">
        <f>I4/'Specification &amp; Data'!B$56</f>
        <v>0.72996842944604223</v>
      </c>
      <c r="M4" s="8">
        <f>J4/'Specification &amp; Data'!B$57</f>
        <v>0.54305191054291468</v>
      </c>
      <c r="N4" s="8">
        <f>K4/'Specification &amp; Data'!B$58</f>
        <v>0.41757543954211762</v>
      </c>
      <c r="O4" s="8">
        <f>'Specification &amp; Data'!B$19*L4</f>
        <v>380.83182932629472</v>
      </c>
      <c r="P4" s="8">
        <f>'Specification &amp; Data'!B$19*M4</f>
        <v>283.31561224934404</v>
      </c>
      <c r="Q4" s="8">
        <f>'Specification &amp; Data'!B$19*N4</f>
        <v>217.85328256351821</v>
      </c>
    </row>
    <row r="5" spans="2:20">
      <c r="B5" s="8">
        <f>B4+500</f>
        <v>1500</v>
      </c>
      <c r="C5" s="11">
        <v>1163</v>
      </c>
      <c r="D5" s="8">
        <f>Table15[[#This Row],[Column2]]/746</f>
        <v>1.5589812332439679</v>
      </c>
      <c r="E5" s="10">
        <f t="shared" ref="E5:E15" si="0">60*C5/(2*3.14*B5)</f>
        <v>7.4076433121019107</v>
      </c>
      <c r="F5" s="12">
        <f>3.6*2*3.14*'Specification &amp; Data'!B$15*B5/('Specification &amp; Data'!H$7*60)</f>
        <v>6.3161338171013925</v>
      </c>
      <c r="G5" s="12">
        <f>3.6*2*3.14*'Specification &amp; Data'!B$15*B5/('Specification &amp; Data'!H$8*60)</f>
        <v>8.6129097505928058</v>
      </c>
      <c r="H5" s="12">
        <f>3.6*2*3.14*'Specification &amp; Data'!B$15*B5/('Specification &amp; Data'!H$9*60)</f>
        <v>11.280133415292514</v>
      </c>
      <c r="I5" s="12">
        <f t="shared" ref="I5:I15" si="1">3.6*C5/F5</f>
        <v>662.8738594270967</v>
      </c>
      <c r="J5" s="12">
        <f t="shared" ref="J5:J15" si="2">3.6*C5/G5</f>
        <v>486.10749691320439</v>
      </c>
      <c r="K5" s="12">
        <f t="shared" ref="K5:K15" si="3">3.6*C5/H5</f>
        <v>371.16582276623978</v>
      </c>
      <c r="L5" s="12">
        <f>I5/'Specification &amp; Data'!B$56</f>
        <v>1.1163093799418109</v>
      </c>
      <c r="M5" s="12">
        <f>J5/'Specification &amp; Data'!B$57</f>
        <v>0.83046597233584463</v>
      </c>
      <c r="N5" s="12">
        <f>K5/'Specification &amp; Data'!B$58</f>
        <v>0.63858019222548701</v>
      </c>
      <c r="O5" s="12">
        <f>'Specification &amp; Data'!B$19*L5</f>
        <v>582.38976660944218</v>
      </c>
      <c r="P5" s="12">
        <f>'Specification &amp; Data'!B$19*M5</f>
        <v>433.26240242733354</v>
      </c>
      <c r="Q5" s="12">
        <f>'Specification &amp; Data'!B$19*N5</f>
        <v>333.15367208595887</v>
      </c>
    </row>
    <row r="6" spans="2:20">
      <c r="B6" s="8">
        <f t="shared" ref="B6:B15" si="4">B5+500</f>
        <v>2000</v>
      </c>
      <c r="C6" s="11">
        <v>2431</v>
      </c>
      <c r="D6" s="8">
        <f>Table15[[#This Row],[Column2]]/746</f>
        <v>3.2587131367292224</v>
      </c>
      <c r="E6" s="10">
        <f t="shared" si="0"/>
        <v>11.613057324840764</v>
      </c>
      <c r="F6" s="12">
        <f>3.6*2*3.14*'Specification &amp; Data'!B$15*B6/('Specification &amp; Data'!H$7*60)</f>
        <v>8.4215117561351907</v>
      </c>
      <c r="G6" s="12">
        <f>3.6*2*3.14*'Specification &amp; Data'!B$15*B6/('Specification &amp; Data'!H$8*60)</f>
        <v>11.483879667457076</v>
      </c>
      <c r="H6" s="12">
        <f>3.6*2*3.14*'Specification &amp; Data'!B$15*B6/('Specification &amp; Data'!H$9*60)</f>
        <v>15.040177887056686</v>
      </c>
      <c r="I6" s="12">
        <f t="shared" si="1"/>
        <v>1039.1958419608375</v>
      </c>
      <c r="J6" s="12">
        <f t="shared" si="2"/>
        <v>762.07695077128096</v>
      </c>
      <c r="K6" s="12">
        <f t="shared" si="3"/>
        <v>581.88141561353973</v>
      </c>
      <c r="L6" s="12">
        <f>I6/'Specification &amp; Data'!B$56</f>
        <v>1.7500525167488448</v>
      </c>
      <c r="M6" s="12">
        <f>J6/'Specification &amp; Data'!B$57</f>
        <v>1.3019321445067313</v>
      </c>
      <c r="N6" s="12">
        <f>K6/'Specification &amp; Data'!B$58</f>
        <v>1.0011103486458461</v>
      </c>
      <c r="O6" s="12">
        <f>'Specification &amp; Data'!B$19*L6</f>
        <v>913.01989851303983</v>
      </c>
      <c r="P6" s="12">
        <f>'Specification &amp; Data'!B$19*M6</f>
        <v>679.23101911060689</v>
      </c>
      <c r="Q6" s="12">
        <f>'Specification &amp; Data'!B$19*N6</f>
        <v>522.28927999202438</v>
      </c>
    </row>
    <row r="7" spans="2:20">
      <c r="B7" s="8">
        <f t="shared" si="4"/>
        <v>2500</v>
      </c>
      <c r="C7" s="11">
        <v>3909</v>
      </c>
      <c r="D7" s="8">
        <f>Table15[[#This Row],[Column2]]/746</f>
        <v>5.2399463806970505</v>
      </c>
      <c r="E7" s="10">
        <f t="shared" si="0"/>
        <v>14.938853503184713</v>
      </c>
      <c r="F7" s="12">
        <f>3.6*2*3.14*'Specification &amp; Data'!B$15*B7/('Specification &amp; Data'!H$7*60)</f>
        <v>10.526889695168988</v>
      </c>
      <c r="G7" s="12">
        <f>3.6*2*3.14*'Specification &amp; Data'!B$15*B7/('Specification &amp; Data'!H$8*60)</f>
        <v>14.354849584321345</v>
      </c>
      <c r="H7" s="12">
        <f>3.6*2*3.14*'Specification &amp; Data'!B$15*B7/('Specification &amp; Data'!H$9*60)</f>
        <v>18.800222358820857</v>
      </c>
      <c r="I7" s="12">
        <f t="shared" si="1"/>
        <v>1336.8051159933898</v>
      </c>
      <c r="J7" s="12">
        <f t="shared" si="2"/>
        <v>980.32375172848606</v>
      </c>
      <c r="K7" s="12">
        <f t="shared" si="3"/>
        <v>748.52306166460767</v>
      </c>
      <c r="L7" s="12">
        <f>I7/'Specification &amp; Data'!B$56</f>
        <v>2.251239913770871</v>
      </c>
      <c r="M7" s="12">
        <f>J7/'Specification &amp; Data'!B$57</f>
        <v>1.6747849454140065</v>
      </c>
      <c r="N7" s="12">
        <f>K7/'Specification &amp; Data'!B$58</f>
        <v>1.2878125389902468</v>
      </c>
      <c r="O7" s="12">
        <f>'Specification &amp; Data'!B$19*L7</f>
        <v>1174.4943754134013</v>
      </c>
      <c r="P7" s="12">
        <f>'Specification &amp; Data'!B$19*M7</f>
        <v>873.75205387194137</v>
      </c>
      <c r="Q7" s="12">
        <f>'Specification &amp; Data'!B$19*N7</f>
        <v>671.8646797166017</v>
      </c>
    </row>
    <row r="8" spans="2:20">
      <c r="B8" s="8">
        <f t="shared" si="4"/>
        <v>3000</v>
      </c>
      <c r="C8" s="11">
        <v>5348</v>
      </c>
      <c r="D8" s="8">
        <f>Table15[[#This Row],[Column2]]/746</f>
        <v>7.1689008042895441</v>
      </c>
      <c r="E8" s="10">
        <f t="shared" si="0"/>
        <v>17.03184713375796</v>
      </c>
      <c r="F8" s="12">
        <f>3.6*2*3.14*'Specification &amp; Data'!B$15*B8/('Specification &amp; Data'!H$7*60)</f>
        <v>12.632267634202785</v>
      </c>
      <c r="G8" s="12">
        <f>3.6*2*3.14*'Specification &amp; Data'!B$15*B8/('Specification &amp; Data'!H$8*60)</f>
        <v>17.225819501185612</v>
      </c>
      <c r="H8" s="12">
        <f>3.6*2*3.14*'Specification &amp; Data'!B$15*B8/('Specification &amp; Data'!H$9*60)</f>
        <v>22.560266830585029</v>
      </c>
      <c r="I8" s="12">
        <f t="shared" si="1"/>
        <v>1524.0969046500916</v>
      </c>
      <c r="J8" s="12">
        <f t="shared" si="2"/>
        <v>1117.6710634100673</v>
      </c>
      <c r="K8" s="12">
        <f t="shared" si="3"/>
        <v>853.39416171704647</v>
      </c>
      <c r="L8" s="12">
        <f>I8/'Specification &amp; Data'!B$56</f>
        <v>2.5666477059023234</v>
      </c>
      <c r="M8" s="12">
        <f>J8/'Specification &amp; Data'!B$57</f>
        <v>1.9094290713895514</v>
      </c>
      <c r="N8" s="12">
        <f>K8/'Specification &amp; Data'!B$58</f>
        <v>1.4682402700008186</v>
      </c>
      <c r="O8" s="12">
        <f>'Specification &amp; Data'!B$19*L8</f>
        <v>1339.0457746463012</v>
      </c>
      <c r="P8" s="12">
        <f>'Specification &amp; Data'!B$19*M8</f>
        <v>996.16824083464292</v>
      </c>
      <c r="Q8" s="12">
        <f>'Specification &amp; Data'!B$19*N8</f>
        <v>765.99563126212706</v>
      </c>
    </row>
    <row r="9" spans="2:20">
      <c r="B9" s="8">
        <f t="shared" si="4"/>
        <v>3500</v>
      </c>
      <c r="C9" s="11">
        <v>6878</v>
      </c>
      <c r="D9" s="8">
        <f>Table15[[#This Row],[Column2]]/746</f>
        <v>9.2198391420911534</v>
      </c>
      <c r="E9" s="10">
        <f t="shared" si="0"/>
        <v>18.775250227479528</v>
      </c>
      <c r="F9" s="12">
        <f>3.6*2*3.14*'Specification &amp; Data'!B$15*B9/('Specification &amp; Data'!H$7*60)</f>
        <v>14.737645573236582</v>
      </c>
      <c r="G9" s="12">
        <f>3.6*2*3.14*'Specification &amp; Data'!B$15*B9/('Specification &amp; Data'!H$8*60)</f>
        <v>20.096789418049884</v>
      </c>
      <c r="H9" s="12">
        <f>3.6*2*3.14*'Specification &amp; Data'!B$15*B9/('Specification &amp; Data'!H$9*60)</f>
        <v>26.3203113023492</v>
      </c>
      <c r="I9" s="12">
        <f t="shared" si="1"/>
        <v>1680.1055417539262</v>
      </c>
      <c r="J9" s="12">
        <f t="shared" si="2"/>
        <v>1232.0773972862125</v>
      </c>
      <c r="K9" s="12">
        <f t="shared" si="3"/>
        <v>940.7487516224777</v>
      </c>
      <c r="L9" s="12">
        <f>I9/'Specification &amp; Data'!B$56</f>
        <v>2.8293732644293486</v>
      </c>
      <c r="M9" s="12">
        <f>J9/'Specification &amp; Data'!B$57</f>
        <v>2.1048808344402179</v>
      </c>
      <c r="N9" s="12">
        <f>K9/'Specification &amp; Data'!B$58</f>
        <v>1.6185313458273796</v>
      </c>
      <c r="O9" s="12">
        <f>'Specification &amp; Data'!B$19*L9</f>
        <v>1476.1123257854356</v>
      </c>
      <c r="P9" s="12">
        <f>'Specification &amp; Data'!B$19*M9</f>
        <v>1098.1373801358061</v>
      </c>
      <c r="Q9" s="12">
        <f>'Specification &amp; Data'!B$19*N9</f>
        <v>844.40398843160222</v>
      </c>
    </row>
    <row r="10" spans="2:20">
      <c r="B10" s="8">
        <f t="shared" si="4"/>
        <v>4000</v>
      </c>
      <c r="C10" s="11">
        <v>8101</v>
      </c>
      <c r="D10" s="8">
        <f>Table15[[#This Row],[Column2]]/746</f>
        <v>10.859249329758713</v>
      </c>
      <c r="E10" s="10">
        <f t="shared" si="0"/>
        <v>19.34952229299363</v>
      </c>
      <c r="F10" s="12">
        <f>3.6*2*3.14*'Specification &amp; Data'!B$15*B10/('Specification &amp; Data'!H$7*60)</f>
        <v>16.843023512270381</v>
      </c>
      <c r="G10" s="12">
        <f>3.6*2*3.14*'Specification &amp; Data'!B$15*B10/('Specification &amp; Data'!H$8*60)</f>
        <v>22.967759334914152</v>
      </c>
      <c r="H10" s="12">
        <f>3.6*2*3.14*'Specification &amp; Data'!B$15*B10/('Specification &amp; Data'!H$9*60)</f>
        <v>30.080355774113372</v>
      </c>
      <c r="I10" s="12">
        <f t="shared" si="1"/>
        <v>1731.4943471256158</v>
      </c>
      <c r="J10" s="12">
        <f t="shared" si="2"/>
        <v>1269.7625212254518</v>
      </c>
      <c r="K10" s="12">
        <f t="shared" si="3"/>
        <v>969.52310733963077</v>
      </c>
      <c r="L10" s="12">
        <f>I10/'Specification &amp; Data'!B$56</f>
        <v>2.9159143229498956</v>
      </c>
      <c r="M10" s="12">
        <f>J10/'Specification &amp; Data'!B$57</f>
        <v>2.169262094333408</v>
      </c>
      <c r="N10" s="12">
        <f>K10/'Specification &amp; Data'!B$58</f>
        <v>1.6680368026285477</v>
      </c>
      <c r="O10" s="12">
        <f>'Specification &amp; Data'!B$19*L10</f>
        <v>1521.2616614261901</v>
      </c>
      <c r="P10" s="12">
        <f>'Specification &amp; Data'!B$19*M10</f>
        <v>1131.7257272346824</v>
      </c>
      <c r="Q10" s="12">
        <f>'Specification &amp; Data'!B$19*N10</f>
        <v>870.23148029933964</v>
      </c>
    </row>
    <row r="11" spans="2:20">
      <c r="B11" s="8">
        <f t="shared" si="4"/>
        <v>4500</v>
      </c>
      <c r="C11" s="11">
        <v>10302</v>
      </c>
      <c r="D11" s="8">
        <f>Table15[[#This Row],[Column2]]/746</f>
        <v>13.809651474530831</v>
      </c>
      <c r="E11" s="10">
        <f t="shared" si="0"/>
        <v>21.872611464968152</v>
      </c>
      <c r="F11" s="12">
        <f>3.6*2*3.14*'Specification &amp; Data'!B$15*B11/('Specification &amp; Data'!H$7*60)</f>
        <v>18.948401451304179</v>
      </c>
      <c r="G11" s="12">
        <f>3.6*2*3.14*'Specification &amp; Data'!B$15*B11/('Specification &amp; Data'!H$8*60)</f>
        <v>25.838729251778421</v>
      </c>
      <c r="H11" s="12">
        <f>3.6*2*3.14*'Specification &amp; Data'!B$15*B11/('Specification &amp; Data'!H$9*60)</f>
        <v>33.840400245877539</v>
      </c>
      <c r="I11" s="12">
        <f t="shared" si="1"/>
        <v>1957.2732874227431</v>
      </c>
      <c r="J11" s="12">
        <f t="shared" si="2"/>
        <v>1435.3337441100118</v>
      </c>
      <c r="K11" s="12">
        <f t="shared" si="3"/>
        <v>1095.9444844189748</v>
      </c>
      <c r="L11" s="12">
        <f>I11/'Specification &amp; Data'!B$56</f>
        <v>3.2961362087017876</v>
      </c>
      <c r="M11" s="12">
        <f>J11/'Specification &amp; Data'!B$57</f>
        <v>2.4521239458308601</v>
      </c>
      <c r="N11" s="12">
        <f>K11/'Specification &amp; Data'!B$58</f>
        <v>1.8855411694774915</v>
      </c>
      <c r="O11" s="12">
        <f>'Specification &amp; Data'!B$19*L11</f>
        <v>1719.6272214418098</v>
      </c>
      <c r="P11" s="12">
        <f>'Specification &amp; Data'!B$19*M11</f>
        <v>1279.2975837794181</v>
      </c>
      <c r="Q11" s="12">
        <f>'Specification &amp; Data'!B$19*N11</f>
        <v>983.70568352810221</v>
      </c>
    </row>
    <row r="12" spans="2:20">
      <c r="B12" s="8">
        <f t="shared" si="4"/>
        <v>5000</v>
      </c>
      <c r="C12" s="11">
        <v>11383</v>
      </c>
      <c r="D12" s="8">
        <f>Table15[[#This Row],[Column2]]/746</f>
        <v>15.258713136729222</v>
      </c>
      <c r="E12" s="10">
        <f t="shared" si="0"/>
        <v>21.75095541401274</v>
      </c>
      <c r="F12" s="12">
        <f>3.6*2*3.14*'Specification &amp; Data'!B$15*B12/('Specification &amp; Data'!H$7*60)</f>
        <v>21.053779390337976</v>
      </c>
      <c r="G12" s="12">
        <f>3.6*2*3.14*'Specification &amp; Data'!B$15*B12/('Specification &amp; Data'!H$8*60)</f>
        <v>28.70969916864269</v>
      </c>
      <c r="H12" s="12">
        <f>3.6*2*3.14*'Specification &amp; Data'!B$15*B12/('Specification &amp; Data'!H$9*60)</f>
        <v>37.600444717641714</v>
      </c>
      <c r="I12" s="12">
        <f t="shared" si="1"/>
        <v>1946.3868809609567</v>
      </c>
      <c r="J12" s="12">
        <f t="shared" si="2"/>
        <v>1427.3503793713685</v>
      </c>
      <c r="K12" s="12">
        <f t="shared" si="3"/>
        <v>1089.8488118352814</v>
      </c>
      <c r="L12" s="12">
        <f>I12/'Specification &amp; Data'!B$56</f>
        <v>3.2778030108024852</v>
      </c>
      <c r="M12" s="12">
        <f>J12/'Specification &amp; Data'!B$57</f>
        <v>2.4384851667495062</v>
      </c>
      <c r="N12" s="12">
        <f>K12/'Specification &amp; Data'!B$58</f>
        <v>1.8750537389774853</v>
      </c>
      <c r="O12" s="12">
        <f>'Specification &amp; Data'!B$19*L12</f>
        <v>1710.0626087657647</v>
      </c>
      <c r="P12" s="12">
        <f>'Specification &amp; Data'!B$19*M12</f>
        <v>1272.1820963448849</v>
      </c>
      <c r="Q12" s="12">
        <f>'Specification &amp; Data'!B$19*N12</f>
        <v>978.23428616194394</v>
      </c>
    </row>
    <row r="13" spans="2:20">
      <c r="B13" s="8">
        <f t="shared" si="4"/>
        <v>5500</v>
      </c>
      <c r="C13" s="11">
        <v>12637</v>
      </c>
      <c r="D13" s="8">
        <f>Table15[[#This Row],[Column2]]/746</f>
        <v>16.939678284182307</v>
      </c>
      <c r="E13" s="10">
        <f t="shared" si="0"/>
        <v>21.951939779965258</v>
      </c>
      <c r="F13" s="12">
        <f>3.6*2*3.14*'Specification &amp; Data'!B$15*B13/('Specification &amp; Data'!H$7*60)</f>
        <v>23.159157329371773</v>
      </c>
      <c r="G13" s="12">
        <f>3.6*2*3.14*'Specification &amp; Data'!B$15*B13/('Specification &amp; Data'!H$8*60)</f>
        <v>31.580669085506962</v>
      </c>
      <c r="H13" s="12">
        <f>3.6*2*3.14*'Specification &amp; Data'!B$15*B13/('Specification &amp; Data'!H$9*60)</f>
        <v>41.360489189405889</v>
      </c>
      <c r="I13" s="12">
        <f t="shared" si="1"/>
        <v>1964.3719913031082</v>
      </c>
      <c r="J13" s="12">
        <f t="shared" si="2"/>
        <v>1440.5394602889462</v>
      </c>
      <c r="K13" s="12">
        <f t="shared" si="3"/>
        <v>1099.9192923388505</v>
      </c>
      <c r="L13" s="12">
        <f>I13/'Specification &amp; Data'!B$56</f>
        <v>3.3080907451711088</v>
      </c>
      <c r="M13" s="12">
        <f>J13/'Specification &amp; Data'!B$57</f>
        <v>2.4610173905435944</v>
      </c>
      <c r="N13" s="12">
        <f>K13/'Specification &amp; Data'!B$58</f>
        <v>1.8923797129258526</v>
      </c>
      <c r="O13" s="12">
        <f>'Specification &amp; Data'!B$19*L13</f>
        <v>1725.8640226632192</v>
      </c>
      <c r="P13" s="12">
        <f>'Specification &amp; Data'!B$19*M13</f>
        <v>1283.9373828204987</v>
      </c>
      <c r="Q13" s="12">
        <f>'Specification &amp; Data'!B$19*N13</f>
        <v>987.27342003054662</v>
      </c>
    </row>
    <row r="14" spans="2:20">
      <c r="B14" s="8">
        <f t="shared" si="4"/>
        <v>6000</v>
      </c>
      <c r="C14" s="11">
        <v>13025</v>
      </c>
      <c r="D14" s="8">
        <f>Table15[[#This Row],[Column2]]/746</f>
        <v>17.459785522788202</v>
      </c>
      <c r="E14" s="10">
        <f t="shared" si="0"/>
        <v>20.740445859872612</v>
      </c>
      <c r="F14" s="12">
        <f>3.6*2*3.14*'Specification &amp; Data'!B$15*B14/('Specification &amp; Data'!H$7*60)</f>
        <v>25.26453526840557</v>
      </c>
      <c r="G14" s="12">
        <f>3.6*2*3.14*'Specification &amp; Data'!B$15*B14/('Specification &amp; Data'!H$8*60)</f>
        <v>34.451639002371223</v>
      </c>
      <c r="H14" s="12">
        <f>3.6*2*3.14*'Specification &amp; Data'!B$15*B14/('Specification &amp; Data'!H$9*60)</f>
        <v>45.120533661170057</v>
      </c>
      <c r="I14" s="12">
        <f t="shared" si="1"/>
        <v>1855.9613110571656</v>
      </c>
      <c r="J14" s="12">
        <f t="shared" si="2"/>
        <v>1361.0382947752551</v>
      </c>
      <c r="K14" s="12">
        <f t="shared" si="3"/>
        <v>1039.2164319712538</v>
      </c>
      <c r="L14" s="12">
        <f>I14/'Specification &amp; Data'!B$56</f>
        <v>3.1255222858430969</v>
      </c>
      <c r="M14" s="12">
        <f>J14/'Specification &amp; Data'!B$57</f>
        <v>2.3251976117098829</v>
      </c>
      <c r="N14" s="12">
        <f>K14/'Specification &amp; Data'!B$58</f>
        <v>1.7879421762117298</v>
      </c>
      <c r="O14" s="12">
        <f>'Specification &amp; Data'!B$19*L14</f>
        <v>1630.6162317472022</v>
      </c>
      <c r="P14" s="12">
        <f>'Specification &amp; Data'!B$19*M14</f>
        <v>1213.0788460051631</v>
      </c>
      <c r="Q14" s="12">
        <f>'Specification &amp; Data'!B$19*N14</f>
        <v>932.78731275142161</v>
      </c>
    </row>
    <row r="15" spans="2:20">
      <c r="B15" s="8">
        <f t="shared" si="4"/>
        <v>6500</v>
      </c>
      <c r="C15" s="11">
        <v>13428</v>
      </c>
      <c r="D15" s="8">
        <f>Table15[[#This Row],[Column2]]/746</f>
        <v>18</v>
      </c>
      <c r="E15" s="10">
        <f t="shared" si="0"/>
        <v>19.737383635472806</v>
      </c>
      <c r="F15" s="12">
        <f>3.6*2*3.14*'Specification &amp; Data'!B$15*B15/('Specification &amp; Data'!H$7*60)</f>
        <v>27.369913207439367</v>
      </c>
      <c r="G15" s="12">
        <f>3.6*2*3.14*'Specification &amp; Data'!B$15*B15/('Specification &amp; Data'!H$8*60)</f>
        <v>37.322608919235492</v>
      </c>
      <c r="H15" s="12">
        <f>3.6*2*3.14*'Specification &amp; Data'!B$15*B15/('Specification &amp; Data'!H$9*60)</f>
        <v>48.880578132934225</v>
      </c>
      <c r="I15" s="12">
        <f t="shared" si="1"/>
        <v>1766.2021663576404</v>
      </c>
      <c r="J15" s="12">
        <f t="shared" si="2"/>
        <v>1295.2149219956032</v>
      </c>
      <c r="K15" s="12">
        <f t="shared" si="3"/>
        <v>988.95720644984488</v>
      </c>
      <c r="L15" s="12">
        <f>I15/'Specification &amp; Data'!B$56</f>
        <v>2.9743638508880159</v>
      </c>
      <c r="M15" s="12">
        <f>J15/'Specification &amp; Data'!B$57</f>
        <v>2.2127449718617083</v>
      </c>
      <c r="N15" s="12">
        <f>K15/'Specification &amp; Data'!B$58</f>
        <v>1.701472614829785</v>
      </c>
      <c r="O15" s="12">
        <f>'Specification &amp; Data'!B$19*L15</f>
        <v>1551.7553646467868</v>
      </c>
      <c r="P15" s="12">
        <f>'Specification &amp; Data'!B$19*M15</f>
        <v>1154.4111792699719</v>
      </c>
      <c r="Q15" s="12">
        <f>'Specification &amp; Data'!B$19*N15</f>
        <v>887.67527788284713</v>
      </c>
    </row>
    <row r="16" spans="2:20">
      <c r="L16"/>
      <c r="M16"/>
      <c r="N16"/>
      <c r="O16"/>
      <c r="P16"/>
      <c r="Q16"/>
      <c r="R16"/>
      <c r="S16"/>
      <c r="T16"/>
    </row>
    <row r="17" spans="2:20">
      <c r="B17"/>
      <c r="C17" s="12" t="s">
        <v>102</v>
      </c>
      <c r="F17" s="15" t="s">
        <v>117</v>
      </c>
      <c r="I17" s="15" t="s">
        <v>118</v>
      </c>
      <c r="L17" s="3" t="s">
        <v>119</v>
      </c>
      <c r="O17" s="3" t="s">
        <v>120</v>
      </c>
      <c r="R17" s="3" t="s">
        <v>121</v>
      </c>
    </row>
    <row r="18" spans="2:20">
      <c r="B18" s="12" t="s">
        <v>96</v>
      </c>
      <c r="C18" s="12" t="s">
        <v>22</v>
      </c>
      <c r="D18" s="12" t="s">
        <v>24</v>
      </c>
      <c r="E18" s="12" t="s">
        <v>26</v>
      </c>
      <c r="F18" s="12" t="s">
        <v>22</v>
      </c>
      <c r="G18" s="12" t="s">
        <v>24</v>
      </c>
      <c r="H18" s="12" t="s">
        <v>26</v>
      </c>
      <c r="I18" s="12" t="s">
        <v>22</v>
      </c>
      <c r="J18" s="12" t="s">
        <v>24</v>
      </c>
      <c r="K18" s="12" t="s">
        <v>26</v>
      </c>
      <c r="L18" s="12" t="s">
        <v>22</v>
      </c>
      <c r="M18" s="12" t="s">
        <v>24</v>
      </c>
      <c r="N18" s="12" t="s">
        <v>26</v>
      </c>
      <c r="O18" s="12" t="s">
        <v>22</v>
      </c>
      <c r="P18" s="12" t="s">
        <v>24</v>
      </c>
      <c r="Q18" s="12" t="s">
        <v>26</v>
      </c>
      <c r="R18" s="12" t="s">
        <v>22</v>
      </c>
      <c r="S18" s="12" t="s">
        <v>24</v>
      </c>
      <c r="T18" s="12" t="s">
        <v>26</v>
      </c>
    </row>
    <row r="19" spans="2:20">
      <c r="B19" s="8">
        <v>1000</v>
      </c>
      <c r="C19" s="8">
        <f>(('Specification &amp; Data'!B$19/'Specification &amp; Data'!B$56)*9.81*('Specification &amp; Data'!B$40/'Specification &amp; Data'!B$39))-('Aerodynamic Resistance'!C6/'Specification &amp; Data'!B$56)</f>
        <v>5.840453011331169</v>
      </c>
      <c r="D19" s="8">
        <f>(('Specification &amp; Data'!B$19/'Specification &amp; Data'!B$56)*9.81*('Specification &amp; Data'!B$40/'Specification &amp; Data'!B$39))-('Aerodynamic Resistance'!D6/'Specification &amp; Data'!B$56)</f>
        <v>5.8395220513773864</v>
      </c>
      <c r="E19" s="8">
        <f>(('Specification &amp; Data'!B$19/'Specification &amp; Data'!B$56)*9.81*('Specification &amp; Data'!B$40/'Specification &amp; Data'!B$39))-('Aerodynamic Resistance'!E6/'Specification &amp; Data'!B$56)</f>
        <v>5.8380814592196568</v>
      </c>
      <c r="F19" s="8">
        <f>'Net Resistive Force'!C24-('Specification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0.75824072289015865</v>
      </c>
      <c r="G19" s="8">
        <f>'Net Resistive Force'!D24-('Specification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0.75930033803609187</v>
      </c>
      <c r="H19" s="8">
        <f>'Net Resistive Force'!E24-('Specification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0.76094001465509287</v>
      </c>
      <c r="I19" s="16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Force'!F24</f>
        <v>0.17272827710984143</v>
      </c>
      <c r="J19" s="8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Force'!G24</f>
        <v>0.17166866196390829</v>
      </c>
      <c r="K19" s="8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Force'!H24</f>
        <v>0.17002898534490726</v>
      </c>
      <c r="L19" s="8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Force'!I24</f>
        <v>0.16354621053960022</v>
      </c>
      <c r="M19" s="8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Force'!J24</f>
        <v>0.16077719110002045</v>
      </c>
      <c r="N19" s="8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Force'!K24</f>
        <v>0.15715239981742979</v>
      </c>
      <c r="O19" s="8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Force'!L24</f>
        <v>0.17272827710984143</v>
      </c>
      <c r="P19" s="8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Force'!M24</f>
        <v>0.17166866196390829</v>
      </c>
      <c r="Q19" s="8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Force'!N24</f>
        <v>0.17002898534490726</v>
      </c>
      <c r="R19" s="8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Force'!O24</f>
        <v>0.51531693415465663</v>
      </c>
      <c r="S19" s="8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Force'!P24</f>
        <v>0.51596672330237014</v>
      </c>
      <c r="T19" s="8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Force'!Q24</f>
        <v>0.51631216134695879</v>
      </c>
    </row>
    <row r="20" spans="2:20">
      <c r="B20" s="8">
        <f>B19+500</f>
        <v>1500</v>
      </c>
      <c r="C20" s="15">
        <f>(('Specification &amp; Data'!B$19/'Specification &amp; Data'!B$56)*9.81*('Specification &amp; Data'!B$40/'Specification &amp; Data'!B$39))-('Aerodynamic Resistance'!C7/'Specification &amp; Data'!B$56)</f>
        <v>5.8390990912060765</v>
      </c>
      <c r="D20" s="15">
        <f>(('Specification &amp; Data'!B$19/'Specification &amp; Data'!B$56)*9.81*('Specification &amp; Data'!B$40/'Specification &amp; Data'!B$39))-('Aerodynamic Resistance'!D7/'Specification &amp; Data'!B$56)</f>
        <v>5.8370044313100662</v>
      </c>
      <c r="E20" s="15">
        <f>(('Specification &amp; Data'!B$19/'Specification &amp; Data'!B$56)*9.81*('Specification &amp; Data'!B$40/'Specification &amp; Data'!B$39))-('Aerodynamic Resistance'!E7/'Specification &amp; Data'!B$56)</f>
        <v>5.8337630989551732</v>
      </c>
      <c r="F20" s="27">
        <f>'Net Resistive Force'!C25-('Specification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0.75978174972498924</v>
      </c>
      <c r="G20" s="27">
        <f>'Net Resistive Force'!D25-('Specification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0.76216588380333894</v>
      </c>
      <c r="H20" s="27">
        <f>'Net Resistive Force'!E25-('Specification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0.76585515619609135</v>
      </c>
      <c r="I20" s="16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Force'!F25</f>
        <v>0.17118725027501078</v>
      </c>
      <c r="J2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Force'!G25</f>
        <v>0.16880311619666119</v>
      </c>
      <c r="K2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Force'!H25</f>
        <v>0.16511384380390889</v>
      </c>
      <c r="L2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Force'!I25</f>
        <v>0.15965475280100544</v>
      </c>
      <c r="M2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Force'!J25</f>
        <v>0.15470651228218593</v>
      </c>
      <c r="N2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Force'!K25</f>
        <v>0.14803956789404921</v>
      </c>
      <c r="O2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Force'!L25</f>
        <v>0.17118725027501078</v>
      </c>
      <c r="P2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Force'!M25</f>
        <v>0.16880311619666119</v>
      </c>
      <c r="Q2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Force'!N25</f>
        <v>0.16511384380390889</v>
      </c>
      <c r="R2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Force'!O25</f>
        <v>0.51612633822359011</v>
      </c>
      <c r="S2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Force'!P25</f>
        <v>0.51630631058571042</v>
      </c>
      <c r="T2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Force'!Q25</f>
        <v>0.51559471018834269</v>
      </c>
    </row>
    <row r="21" spans="2:20">
      <c r="B21" s="12">
        <f t="shared" ref="B21:B30" si="5">B20+500</f>
        <v>2000</v>
      </c>
      <c r="C21" s="15">
        <f>(('Specification &amp; Data'!B$19/'Specification &amp; Data'!B$56)*9.81*('Specification &amp; Data'!B$40/'Specification &amp; Data'!B$39))-('Aerodynamic Resistance'!C8/'Specification &amp; Data'!B$56)</f>
        <v>5.8372036030309475</v>
      </c>
      <c r="D21" s="15">
        <f>(('Specification &amp; Data'!B$19/'Specification &amp; Data'!B$56)*9.81*('Specification &amp; Data'!B$40/'Specification &amp; Data'!B$39))-('Aerodynamic Resistance'!D8/'Specification &amp; Data'!B$56)</f>
        <v>5.8334797632158182</v>
      </c>
      <c r="E21" s="15">
        <f>(('Specification &amp; Data'!B$19/'Specification &amp; Data'!B$56)*9.81*('Specification &amp; Data'!B$40/'Specification &amp; Data'!B$39))-('Aerodynamic Resistance'!E8/'Specification &amp; Data'!B$56)</f>
        <v>5.8277173945848979</v>
      </c>
      <c r="F21" s="27">
        <f>'Net Resistive Force'!C26-('Specification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0.76193918729375243</v>
      </c>
      <c r="G21" s="27">
        <f>'Net Resistive Force'!D26-('Specification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0.76617764787748488</v>
      </c>
      <c r="H21" s="27">
        <f>'Net Resistive Force'!E26-('Specification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0.77273635435348909</v>
      </c>
      <c r="I21" s="16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Force'!F26</f>
        <v>0.16902981270624784</v>
      </c>
      <c r="J21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Force'!G26</f>
        <v>0.16479135212251522</v>
      </c>
      <c r="K21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Force'!H26</f>
        <v>0.15823264564651118</v>
      </c>
      <c r="L21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Force'!I26</f>
        <v>0.1551468843284784</v>
      </c>
      <c r="M21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Force'!J26</f>
        <v>0.14748961515745257</v>
      </c>
      <c r="N21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Force'!K26</f>
        <v>0.13696067935426925</v>
      </c>
      <c r="O21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Force'!L26</f>
        <v>0.16902981270624784</v>
      </c>
      <c r="P21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Force'!M26</f>
        <v>0.16479135212251522</v>
      </c>
      <c r="Q21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Force'!N26</f>
        <v>0.15823264564651118</v>
      </c>
      <c r="R21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Force'!O26</f>
        <v>0.51631933155859133</v>
      </c>
      <c r="S21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Force'!P26</f>
        <v>0.51549967956215192</v>
      </c>
      <c r="T21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Force'!Q26</f>
        <v>0.51291120241332711</v>
      </c>
    </row>
    <row r="22" spans="2:20">
      <c r="B22" s="12">
        <f t="shared" si="5"/>
        <v>2500</v>
      </c>
      <c r="C22" s="15">
        <f>(('Specification &amp; Data'!B$19/'Specification &amp; Data'!B$56)*9.81*('Specification &amp; Data'!B$40/'Specification &amp; Data'!B$39))-('Aerodynamic Resistance'!C9/'Specification &amp; Data'!B$56)</f>
        <v>5.8347665468057812</v>
      </c>
      <c r="D22" s="15">
        <f>(('Specification &amp; Data'!B$19/'Specification &amp; Data'!B$56)*9.81*('Specification &amp; Data'!B$40/'Specification &amp; Data'!B$39))-('Aerodynamic Resistance'!D9/'Specification &amp; Data'!B$56)</f>
        <v>5.8289480470946415</v>
      </c>
      <c r="E22" s="15">
        <f>(('Specification &amp; Data'!B$19/'Specification &amp; Data'!B$56)*9.81*('Specification &amp; Data'!B$40/'Specification &amp; Data'!B$39))-('Aerodynamic Resistance'!E9/'Specification &amp; Data'!B$56)</f>
        <v>5.8199443461088283</v>
      </c>
      <c r="F22" s="27">
        <f>'Net Resistive Force'!C27-('Specification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0.76471303559644754</v>
      </c>
      <c r="G22" s="27">
        <f>'Net Resistive Force'!D27-('Specification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0.77133563025852969</v>
      </c>
      <c r="H22" s="27">
        <f>'Net Resistive Force'!E27-('Specification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0.78158360912728586</v>
      </c>
      <c r="I22" s="16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Force'!F27</f>
        <v>0.16625596440355264</v>
      </c>
      <c r="J22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Force'!G27</f>
        <v>0.15963336974147047</v>
      </c>
      <c r="K22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Force'!H27</f>
        <v>0.14938539087271413</v>
      </c>
      <c r="L22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Force'!I27</f>
        <v>0.15002260512201909</v>
      </c>
      <c r="M22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Force'!J27</f>
        <v>0.13912649972582034</v>
      </c>
      <c r="N22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Force'!K27</f>
        <v>0.12391573419808991</v>
      </c>
      <c r="O22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Force'!L27</f>
        <v>0.16625596440355264</v>
      </c>
      <c r="P22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Force'!M27</f>
        <v>0.15963336974147047</v>
      </c>
      <c r="Q22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Force'!N27</f>
        <v>0.14938539087271413</v>
      </c>
      <c r="R22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Force'!O27</f>
        <v>0.51589591415966018</v>
      </c>
      <c r="S22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Force'!P27</f>
        <v>0.51354683023169456</v>
      </c>
      <c r="T22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Force'!Q27</f>
        <v>0.50826163802191238</v>
      </c>
    </row>
    <row r="23" spans="2:20">
      <c r="B23" s="12">
        <f t="shared" si="5"/>
        <v>3000</v>
      </c>
      <c r="C23" s="15">
        <f>(('Specification &amp; Data'!B$19/'Specification &amp; Data'!B$56)*9.81*('Specification &amp; Data'!B$40/'Specification &amp; Data'!B$39))-('Aerodynamic Resistance'!C10/'Specification &amp; Data'!B$56)</f>
        <v>5.8317879225305784</v>
      </c>
      <c r="D23" s="15">
        <f>(('Specification &amp; Data'!B$19/'Specification &amp; Data'!B$56)*9.81*('Specification &amp; Data'!B$40/'Specification &amp; Data'!B$39))-('Aerodynamic Resistance'!D10/'Specification &amp; Data'!B$56)</f>
        <v>5.8234092829465363</v>
      </c>
      <c r="E23" s="15">
        <f>(('Specification &amp; Data'!B$19/'Specification &amp; Data'!B$56)*9.81*('Specification &amp; Data'!B$40/'Specification &amp; Data'!B$39))-('Aerodynamic Resistance'!E10/'Specification &amp; Data'!B$56)</f>
        <v>5.8104439535269661</v>
      </c>
      <c r="F23" s="27">
        <f>'Net Resistive Force'!C28-('Specification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0.76810329463307481</v>
      </c>
      <c r="G23" s="27">
        <f>'Net Resistive Force'!D28-('Specification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0.77763983094647315</v>
      </c>
      <c r="H23" s="27">
        <f>'Net Resistive Force'!E28-('Specification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0.79239692051748234</v>
      </c>
      <c r="I23" s="16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Force'!F28</f>
        <v>0.16286570536692518</v>
      </c>
      <c r="J23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Force'!G28</f>
        <v>0.15332916905352684</v>
      </c>
      <c r="K23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Force'!H28</f>
        <v>0.13857207948251771</v>
      </c>
      <c r="L23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Force'!I28</f>
        <v>0.14428191518162753</v>
      </c>
      <c r="M23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Force'!J28</f>
        <v>0.12961716598728934</v>
      </c>
      <c r="N23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Force'!K28</f>
        <v>0.1089047324255113</v>
      </c>
      <c r="O23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Force'!L28</f>
        <v>0.16286570536692518</v>
      </c>
      <c r="P23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Force'!M28</f>
        <v>0.15332916905352684</v>
      </c>
      <c r="Q23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Force'!N28</f>
        <v>0.13857207948251771</v>
      </c>
      <c r="R23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Force'!O28</f>
        <v>0.51485608602679689</v>
      </c>
      <c r="S23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Force'!P28</f>
        <v>0.51044776259433844</v>
      </c>
      <c r="T23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Force'!Q28</f>
        <v>0.50164601701409817</v>
      </c>
    </row>
    <row r="24" spans="2:20">
      <c r="B24" s="12">
        <f t="shared" si="5"/>
        <v>3500</v>
      </c>
      <c r="C24" s="15">
        <f>(('Specification &amp; Data'!B$19/'Specification &amp; Data'!B$56)*9.81*('Specification &amp; Data'!B$40/'Specification &amp; Data'!B$39))-('Aerodynamic Resistance'!C11/'Specification &amp; Data'!B$56)</f>
        <v>5.8282677302053392</v>
      </c>
      <c r="D24" s="15">
        <f>(('Specification &amp; Data'!B$19/'Specification &amp; Data'!B$56)*9.81*('Specification &amp; Data'!B$40/'Specification &amp; Data'!B$39))-('Aerodynamic Resistance'!D11/'Specification &amp; Data'!B$56)</f>
        <v>5.8168634707715041</v>
      </c>
      <c r="E24" s="15">
        <f>(('Specification &amp; Data'!B$19/'Specification &amp; Data'!B$56)*9.81*('Specification &amp; Data'!B$40/'Specification &amp; Data'!B$39))-('Aerodynamic Resistance'!E11/'Specification &amp; Data'!B$56)</f>
        <v>5.7992162168393104</v>
      </c>
      <c r="F24" s="27">
        <f>'Net Resistive Force'!C29-('Specification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0.77210996440363466</v>
      </c>
      <c r="G24" s="27">
        <f>'Net Resistive Force'!D29-('Specification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0.78509024994131571</v>
      </c>
      <c r="H24" s="27">
        <f>'Net Resistive Force'!E29-('Specification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0.80517628852407808</v>
      </c>
      <c r="I24" s="16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Force'!F29</f>
        <v>0.15885903559636547</v>
      </c>
      <c r="J24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Force'!G29</f>
        <v>0.14587875005868436</v>
      </c>
      <c r="K24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Force'!H29</f>
        <v>0.12579271147592194</v>
      </c>
      <c r="L24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Force'!I29</f>
        <v>0.13792481450730371</v>
      </c>
      <c r="M24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Force'!J29</f>
        <v>0.11896161394185939</v>
      </c>
      <c r="N24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Force'!K29</f>
        <v>9.1927674036533291E-2</v>
      </c>
      <c r="O24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Force'!L29</f>
        <v>0.15885903559636547</v>
      </c>
      <c r="P24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Force'!M29</f>
        <v>0.14587875005868436</v>
      </c>
      <c r="Q24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Force'!N29</f>
        <v>0.12579271147592194</v>
      </c>
      <c r="R24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Force'!O29</f>
        <v>0.51319984716000122</v>
      </c>
      <c r="S24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Force'!P29</f>
        <v>0.50620247665008333</v>
      </c>
      <c r="T24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Force'!Q29</f>
        <v>0.49306433938988464</v>
      </c>
    </row>
    <row r="25" spans="2:20">
      <c r="B25" s="12">
        <f t="shared" si="5"/>
        <v>4000</v>
      </c>
      <c r="C25" s="15">
        <f>(('Specification &amp; Data'!B$19/'Specification &amp; Data'!B$56)*9.81*('Specification &amp; Data'!B$40/'Specification &amp; Data'!B$39))-('Aerodynamic Resistance'!C12/'Specification &amp; Data'!B$56)</f>
        <v>5.8242059698300617</v>
      </c>
      <c r="D25" s="15">
        <f>(('Specification &amp; Data'!B$19/'Specification &amp; Data'!B$56)*9.81*('Specification &amp; Data'!B$40/'Specification &amp; Data'!B$39))-('Aerodynamic Resistance'!D12/'Specification &amp; Data'!B$56)</f>
        <v>5.8093106105695433</v>
      </c>
      <c r="E25" s="15">
        <f>(('Specification &amp; Data'!B$19/'Specification &amp; Data'!B$56)*9.81*('Specification &amp; Data'!B$40/'Specification &amp; Data'!B$39))-('Aerodynamic Resistance'!E12/'Specification &amp; Data'!B$56)</f>
        <v>5.7862611360458613</v>
      </c>
      <c r="F25" s="27">
        <f>'Net Resistive Force'!C30-('Specification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0.77673304490812667</v>
      </c>
      <c r="G25" s="27">
        <f>'Net Resistive Force'!D30-('Specification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0.79368688724305714</v>
      </c>
      <c r="H25" s="27">
        <f>'Net Resistive Force'!E30-('Specification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0.81992171314707329</v>
      </c>
      <c r="I25" s="16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Force'!F30</f>
        <v>0.15423595509187346</v>
      </c>
      <c r="J25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Force'!G30</f>
        <v>0.13728211275694308</v>
      </c>
      <c r="K25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Force'!H30</f>
        <v>0.11104728685292686</v>
      </c>
      <c r="L25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Force'!I30</f>
        <v>0.13095130309904759</v>
      </c>
      <c r="M25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Force'!J30</f>
        <v>0.10715984358953068</v>
      </c>
      <c r="N25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Force'!K30</f>
        <v>7.2984559031155971E-2</v>
      </c>
      <c r="O25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Force'!L30</f>
        <v>0.15423595509187346</v>
      </c>
      <c r="P25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Force'!M30</f>
        <v>0.13728211275694308</v>
      </c>
      <c r="Q25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Force'!N30</f>
        <v>0.11104728685292686</v>
      </c>
      <c r="R25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Force'!O30</f>
        <v>0.51092719755927329</v>
      </c>
      <c r="S25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Force'!P30</f>
        <v>0.50081097239892947</v>
      </c>
      <c r="T25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Force'!Q30</f>
        <v>0.48251660514927175</v>
      </c>
    </row>
    <row r="26" spans="2:20">
      <c r="B26" s="12">
        <f t="shared" si="5"/>
        <v>4500</v>
      </c>
      <c r="C26" s="15">
        <f>(('Specification &amp; Data'!B$19/'Specification &amp; Data'!B$56)*9.81*('Specification &amp; Data'!B$40/'Specification &amp; Data'!B$39))-('Aerodynamic Resistance'!C13/'Specification &amp; Data'!B$56)</f>
        <v>5.8196026414047486</v>
      </c>
      <c r="D26" s="15">
        <f>(('Specification &amp; Data'!B$19/'Specification &amp; Data'!B$56)*9.81*('Specification &amp; Data'!B$40/'Specification &amp; Data'!B$39))-('Aerodynamic Resistance'!D13/'Specification &amp; Data'!B$56)</f>
        <v>5.8007507023406539</v>
      </c>
      <c r="E26" s="15">
        <f>(('Specification &amp; Data'!B$19/'Specification &amp; Data'!B$56)*9.81*('Specification &amp; Data'!B$40/'Specification &amp; Data'!B$39))-('Aerodynamic Resistance'!E13/'Specification &amp; Data'!B$56)</f>
        <v>5.7715787111466197</v>
      </c>
      <c r="F26" s="27">
        <f>'Net Resistive Force'!C31-('Specification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0.78197253614655082</v>
      </c>
      <c r="G26" s="27">
        <f>'Net Resistive Force'!D31-('Specification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0.80342974285169722</v>
      </c>
      <c r="H26" s="27">
        <f>'Net Resistive Force'!E31-('Specification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0.83663319438646777</v>
      </c>
      <c r="I26" s="16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Force'!F31</f>
        <v>0.1489964638534492</v>
      </c>
      <c r="J26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Force'!G31</f>
        <v>0.12753925714830294</v>
      </c>
      <c r="K26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Force'!H31</f>
        <v>9.4335805613532442E-2</v>
      </c>
      <c r="L26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Force'!I31</f>
        <v>0.12336138095685925</v>
      </c>
      <c r="M26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Force'!J31</f>
        <v>9.4211854930303152E-2</v>
      </c>
      <c r="N26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Force'!K31</f>
        <v>5.2075387409379337E-2</v>
      </c>
      <c r="O26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Force'!L31</f>
        <v>0.1489964638534492</v>
      </c>
      <c r="P26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Force'!M31</f>
        <v>0.12753925714830294</v>
      </c>
      <c r="Q26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Force'!N31</f>
        <v>9.4335805613532442E-2</v>
      </c>
      <c r="R26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Force'!O31</f>
        <v>0.50803813722461322</v>
      </c>
      <c r="S26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Force'!P31</f>
        <v>0.49427324984087673</v>
      </c>
      <c r="T26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Force'!Q31</f>
        <v>0.4700028142922596</v>
      </c>
    </row>
    <row r="27" spans="2:20">
      <c r="B27" s="12">
        <f t="shared" si="5"/>
        <v>5000</v>
      </c>
      <c r="C27" s="15">
        <f>(('Specification &amp; Data'!B$19/'Specification &amp; Data'!B$56)*9.81*('Specification &amp; Data'!B$40/'Specification &amp; Data'!B$39))-('Aerodynamic Resistance'!C14/'Specification &amp; Data'!B$56)</f>
        <v>5.8144577449293982</v>
      </c>
      <c r="D27" s="15">
        <f>(('Specification &amp; Data'!B$19/'Specification &amp; Data'!B$56)*9.81*('Specification &amp; Data'!B$40/'Specification &amp; Data'!B$39))-('Aerodynamic Resistance'!D14/'Specification &amp; Data'!B$56)</f>
        <v>5.7911837460848368</v>
      </c>
      <c r="E27" s="15">
        <f>(('Specification &amp; Data'!B$19/'Specification &amp; Data'!B$56)*9.81*('Specification &amp; Data'!B$40/'Specification &amp; Data'!B$39))-('Aerodynamic Resistance'!E14/'Specification &amp; Data'!B$56)</f>
        <v>5.7551689421415846</v>
      </c>
      <c r="F27" s="27">
        <f>'Net Resistive Force'!C32-('Specification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0.78782843811890757</v>
      </c>
      <c r="G27" s="27">
        <f>'Net Resistive Force'!D32-('Specification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0.81431881676723616</v>
      </c>
      <c r="H27" s="27">
        <f>'Net Resistive Force'!E32-('Specification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0.85531073224226151</v>
      </c>
      <c r="I27" s="16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Force'!F32</f>
        <v>0.1431405618810927</v>
      </c>
      <c r="J27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Force'!G32</f>
        <v>0.11665018323276394</v>
      </c>
      <c r="K27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Force'!H32</f>
        <v>7.5658267757738651E-2</v>
      </c>
      <c r="L27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Force'!I32</f>
        <v>0.11515504808073856</v>
      </c>
      <c r="M27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Force'!J32</f>
        <v>8.0117647964176752E-2</v>
      </c>
      <c r="N27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Force'!K32</f>
        <v>2.9200159171203277E-2</v>
      </c>
      <c r="O27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Force'!L32</f>
        <v>0.1431405618810927</v>
      </c>
      <c r="P27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Force'!M32</f>
        <v>0.11665018323276394</v>
      </c>
      <c r="Q27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Force'!N32</f>
        <v>7.5658267757738651E-2</v>
      </c>
      <c r="R27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Force'!O32</f>
        <v>0.50453266615602077</v>
      </c>
      <c r="S27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Force'!P32</f>
        <v>0.48658930897592523</v>
      </c>
      <c r="T27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Force'!Q32</f>
        <v>0.45552296681884802</v>
      </c>
    </row>
    <row r="28" spans="2:20">
      <c r="B28" s="12">
        <f t="shared" si="5"/>
        <v>5500</v>
      </c>
      <c r="C28" s="15">
        <f>(('Specification &amp; Data'!B$19/'Specification &amp; Data'!B$56)*9.81*('Specification &amp; Data'!B$40/'Specification &amp; Data'!B$39))-('Aerodynamic Resistance'!C15/'Specification &amp; Data'!B$56)</f>
        <v>5.8087712804040104</v>
      </c>
      <c r="D28" s="15">
        <f>(('Specification &amp; Data'!B$19/'Specification &amp; Data'!B$56)*9.81*('Specification &amp; Data'!B$40/'Specification &amp; Data'!B$39))-('Aerodynamic Resistance'!D15/'Specification &amp; Data'!B$56)</f>
        <v>5.7806097418020919</v>
      </c>
      <c r="E28" s="15">
        <f>(('Specification &amp; Data'!B$19/'Specification &amp; Data'!B$56)*9.81*('Specification &amp; Data'!B$40/'Specification &amp; Data'!B$39))-('Aerodynamic Resistance'!E15/'Specification &amp; Data'!B$56)</f>
        <v>5.737031829030756</v>
      </c>
      <c r="F28" s="27">
        <f>'Net Resistive Force'!C33-('Specification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0.79430075082519624</v>
      </c>
      <c r="G28" s="27">
        <f>'Net Resistive Force'!D33-('Specification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0.82635410898967399</v>
      </c>
      <c r="H28" s="27">
        <f>'Net Resistive Force'!E33-('Specification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0.87595432671445472</v>
      </c>
      <c r="I28" s="16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Force'!F33</f>
        <v>0.13666824917480389</v>
      </c>
      <c r="J28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Force'!G33</f>
        <v>0.10461489101032612</v>
      </c>
      <c r="K28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Force'!H33</f>
        <v>5.501467328554549E-2</v>
      </c>
      <c r="L28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Force'!I33</f>
        <v>0.1063323044706857</v>
      </c>
      <c r="M28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Force'!J33</f>
        <v>6.4877222691151482E-2</v>
      </c>
      <c r="N28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Force'!K33</f>
        <v>4.3588743166278476E-3</v>
      </c>
      <c r="O28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Force'!L33</f>
        <v>0.13666824917480389</v>
      </c>
      <c r="P28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Force'!M33</f>
        <v>0.10461489101032612</v>
      </c>
      <c r="Q28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Force'!N33</f>
        <v>5.501467328554549E-2</v>
      </c>
      <c r="R28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Force'!O33</f>
        <v>0.50041078435349617</v>
      </c>
      <c r="S28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Force'!P33</f>
        <v>0.4777591498040748</v>
      </c>
      <c r="T28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Force'!Q33</f>
        <v>0.43907706272903713</v>
      </c>
    </row>
    <row r="29" spans="2:20">
      <c r="B29" s="12">
        <f t="shared" si="5"/>
        <v>6000</v>
      </c>
      <c r="C29" s="15">
        <f>(('Specification &amp; Data'!B$19/'Specification &amp; Data'!B$56)*9.81*('Specification &amp; Data'!B$40/'Specification &amp; Data'!B$39))-('Aerodynamic Resistance'!C16/'Specification &amp; Data'!B$56)</f>
        <v>5.8025432478285861</v>
      </c>
      <c r="D29" s="15">
        <f>(('Specification &amp; Data'!B$19/'Specification &amp; Data'!B$56)*9.81*('Specification &amp; Data'!B$40/'Specification &amp; Data'!B$39))-('Aerodynamic Resistance'!D16/'Specification &amp; Data'!B$56)</f>
        <v>5.7690286894924183</v>
      </c>
      <c r="E29" s="15">
        <f>(('Specification &amp; Data'!B$19/'Specification &amp; Data'!B$56)*9.81*('Specification &amp; Data'!B$40/'Specification &amp; Data'!B$39))-('Aerodynamic Resistance'!E16/'Specification &amp; Data'!B$56)</f>
        <v>5.7171673718141349</v>
      </c>
      <c r="F29" s="27">
        <f>'Net Resistive Force'!C34-('Specification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0.80138947426541729</v>
      </c>
      <c r="G29" s="27">
        <f>'Net Resistive Force'!D34-('Specification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0.83953561951901068</v>
      </c>
      <c r="H29" s="27">
        <f>'Net Resistive Force'!E34-('Specification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0.89856397780304698</v>
      </c>
      <c r="I29" s="16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Force'!F34</f>
        <v>0.12957952573458287</v>
      </c>
      <c r="J29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Force'!G34</f>
        <v>9.1433380480989479E-2</v>
      </c>
      <c r="K29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Force'!H34</f>
        <v>3.2405022196952959E-2</v>
      </c>
      <c r="L29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Force'!I34</f>
        <v>9.6893150126700578E-2</v>
      </c>
      <c r="M29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Force'!J34</f>
        <v>4.8490579111227394E-2</v>
      </c>
      <c r="N29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Force'!K34</f>
        <v>-2.2448467154346841E-2</v>
      </c>
      <c r="O29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Force'!L34</f>
        <v>0.12957952573458287</v>
      </c>
      <c r="P29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Force'!M34</f>
        <v>9.1433380480989479E-2</v>
      </c>
      <c r="Q29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Force'!N34</f>
        <v>3.2405022196952959E-2</v>
      </c>
      <c r="R29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Force'!O34</f>
        <v>0.49567249181703921</v>
      </c>
      <c r="S29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Force'!P34</f>
        <v>0.46778277232532556</v>
      </c>
      <c r="T29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Force'!Q34</f>
        <v>0.42066510202282686</v>
      </c>
    </row>
    <row r="30" spans="2:20">
      <c r="B30" s="12">
        <f t="shared" si="5"/>
        <v>6500</v>
      </c>
      <c r="C30" s="15">
        <f>(('Specification &amp; Data'!B$19/'Specification &amp; Data'!B$56)*9.81*('Specification &amp; Data'!B$40/'Specification &amp; Data'!B$39))-('Aerodynamic Resistance'!C17/'Specification &amp; Data'!B$56)</f>
        <v>5.7957736472031245</v>
      </c>
      <c r="D30" s="15">
        <f>(('Specification &amp; Data'!B$19/'Specification &amp; Data'!B$56)*9.81*('Specification &amp; Data'!B$40/'Specification &amp; Data'!B$39))-('Aerodynamic Resistance'!D17/'Specification &amp; Data'!B$56)</f>
        <v>5.756440589155817</v>
      </c>
      <c r="E30" s="15">
        <f>(('Specification &amp; Data'!B$19/'Specification &amp; Data'!B$56)*9.81*('Specification &amp; Data'!B$40/'Specification &amp; Data'!B$39))-('Aerodynamic Resistance'!E17/'Specification &amp; Data'!B$56)</f>
        <v>5.6955755704917204</v>
      </c>
      <c r="F30" s="27">
        <f>'Net Resistive Force'!C35-('Specification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0.80909460843957048</v>
      </c>
      <c r="G30" s="27">
        <f>'Net Resistive Force'!D35-('Specification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0.85386334835524624</v>
      </c>
      <c r="H30" s="27">
        <f>'Net Resistive Force'!E35-('Specification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</f>
        <v>0.92313968550803893</v>
      </c>
      <c r="I30" s="16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Force'!F35</f>
        <v>0.12187439156042951</v>
      </c>
      <c r="J3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Force'!G35</f>
        <v>7.710565164475397E-2</v>
      </c>
      <c r="K3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Force'!H35</f>
        <v>7.8293144919612256E-3</v>
      </c>
      <c r="L3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Force'!I35</f>
        <v>8.6837585048783084E-2</v>
      </c>
      <c r="M3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Force'!J35</f>
        <v>3.0957717224404546E-2</v>
      </c>
      <c r="N3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Force'!K35</f>
        <v>-5.1221865241720899E-2</v>
      </c>
      <c r="O3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Force'!L35</f>
        <v>0.12187439156042951</v>
      </c>
      <c r="P3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Force'!M35</f>
        <v>7.710565164475397E-2</v>
      </c>
      <c r="Q3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Force'!N35</f>
        <v>7.8293144919612256E-3</v>
      </c>
      <c r="R3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Force'!O35</f>
        <v>0.49031778854664998</v>
      </c>
      <c r="S3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Force'!P35</f>
        <v>0.4566601765396775</v>
      </c>
      <c r="T30" s="15">
        <f>('Specification &amp; Data'!B$26*9.81*'Specification &amp; Data'!B$19/'Specification &amp; Data'!B$56*(('Specification &amp; Data'!B$32-('Specification &amp; Data'!B$26*'Specification &amp; Data'!B$39))/'Specification &amp; Data'!B$30)/(1-('Specification &amp; Data'!B$26*'Specification &amp; Data'!B$39/'Specification &amp; Data'!B$30)))-'Net Resistive Force'!Q35</f>
        <v>0.40028708470021729</v>
      </c>
    </row>
    <row r="37" spans="7:7">
      <c r="G37" s="15"/>
    </row>
    <row r="38" spans="7:7">
      <c r="G38" s="15"/>
    </row>
    <row r="39" spans="7:7">
      <c r="G39" s="15"/>
    </row>
    <row r="40" spans="7:7">
      <c r="G40" s="15"/>
    </row>
    <row r="41" spans="7:7">
      <c r="G41" s="15"/>
    </row>
    <row r="42" spans="7:7">
      <c r="G42" s="15"/>
    </row>
    <row r="43" spans="7:7">
      <c r="G43" s="15"/>
    </row>
    <row r="44" spans="7:7">
      <c r="G44" s="15"/>
    </row>
    <row r="45" spans="7:7">
      <c r="G45" s="15"/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B1:Q19"/>
  <sheetViews>
    <sheetView zoomScale="80" zoomScaleNormal="80" workbookViewId="0">
      <selection activeCell="N10" sqref="N10"/>
    </sheetView>
  </sheetViews>
  <sheetFormatPr defaultRowHeight="15"/>
  <cols>
    <col min="1" max="1" width="9.140625" style="12"/>
    <col min="2" max="10" width="11.5703125" style="12" customWidth="1"/>
    <col min="11" max="17" width="12.7109375" style="12" customWidth="1"/>
    <col min="18" max="16384" width="9.140625" style="12"/>
  </cols>
  <sheetData>
    <row r="1" spans="2:17" s="15" customFormat="1"/>
    <row r="2" spans="2:17" ht="20.25">
      <c r="B2" s="82" t="s">
        <v>115</v>
      </c>
      <c r="C2"/>
      <c r="D2"/>
      <c r="E2"/>
      <c r="F2"/>
      <c r="G2"/>
      <c r="H2"/>
      <c r="I2"/>
      <c r="J2"/>
      <c r="K2"/>
      <c r="L2"/>
      <c r="M2"/>
      <c r="N2"/>
      <c r="O2"/>
      <c r="P2"/>
      <c r="Q2"/>
    </row>
    <row r="3" spans="2:17" s="15" customFormat="1" ht="18.75">
      <c r="B3" s="17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2:17">
      <c r="C4" s="12" t="s">
        <v>65</v>
      </c>
      <c r="F4" s="12" t="s">
        <v>66</v>
      </c>
      <c r="I4" s="12" t="s">
        <v>67</v>
      </c>
      <c r="L4" s="12" t="s">
        <v>68</v>
      </c>
      <c r="O4" s="12" t="s">
        <v>69</v>
      </c>
    </row>
    <row r="5" spans="2:17">
      <c r="B5" s="12" t="s">
        <v>96</v>
      </c>
      <c r="C5" s="12" t="s">
        <v>22</v>
      </c>
      <c r="D5" s="12" t="s">
        <v>24</v>
      </c>
      <c r="E5" s="12" t="s">
        <v>26</v>
      </c>
      <c r="F5" s="12" t="s">
        <v>22</v>
      </c>
      <c r="G5" s="12" t="s">
        <v>24</v>
      </c>
      <c r="H5" s="12" t="s">
        <v>26</v>
      </c>
      <c r="I5" s="12" t="s">
        <v>22</v>
      </c>
      <c r="J5" s="12" t="s">
        <v>24</v>
      </c>
      <c r="K5" s="12" t="s">
        <v>26</v>
      </c>
      <c r="L5" s="12" t="s">
        <v>22</v>
      </c>
      <c r="M5" s="12" t="s">
        <v>24</v>
      </c>
      <c r="N5" s="12" t="s">
        <v>26</v>
      </c>
      <c r="O5" s="12" t="s">
        <v>22</v>
      </c>
      <c r="P5" s="12" t="s">
        <v>24</v>
      </c>
      <c r="Q5" s="12" t="s">
        <v>26</v>
      </c>
    </row>
    <row r="6" spans="2:17">
      <c r="B6" s="12">
        <v>1000</v>
      </c>
      <c r="C6" s="12">
        <f>('Specification &amp; Data'!B$23*'Specification &amp; Data'!B$21*'Specification &amp; Data'!B$11*(('Acceleration &amp; Deceleration'!F4/3.6)^2))/2</f>
        <v>0.64317528799960444</v>
      </c>
      <c r="D6" s="12">
        <f>('Specification &amp; Data'!B$23*'Specification &amp; Data'!B$21*'Specification &amp; Data'!B$11*(('Acceleration &amp; Deceleration'!G4/3.6)^2))/2</f>
        <v>1.1959871057843883</v>
      </c>
      <c r="E6" s="12">
        <f>('Specification &amp; Data'!B$23*'Specification &amp; Data'!B$21*'Specification &amp; Data'!B$11*(('Acceleration &amp; Deceleration'!H4/3.6)^2))/2</f>
        <v>2.0514227946834067</v>
      </c>
      <c r="F6" s="12">
        <f>('Specification &amp; Data'!B$23*'Specification &amp; Data'!B$21*'Specification &amp; Data'!B$11*(('Acceleration &amp; Deceleration'!F4/3.6)^2))/2</f>
        <v>0.64317528799960444</v>
      </c>
      <c r="G6" s="12">
        <f>('Specification &amp; Data'!B$23*'Specification &amp; Data'!B$21*'Specification &amp; Data'!B$11*(('Acceleration &amp; Deceleration'!G4/3.6)^2))/2</f>
        <v>1.1959871057843883</v>
      </c>
      <c r="H6" s="12">
        <f>('Specification &amp; Data'!B$23*'Specification &amp; Data'!B$21*'Specification &amp; Data'!B$11*(('Acceleration &amp; Deceleration'!H4/3.6)^2))/2</f>
        <v>2.0514227946834067</v>
      </c>
      <c r="I6" s="12">
        <f>('Specification &amp; Data'!B$21*'Specification &amp; Data'!B$23*'Specification &amp; Data'!B$11*('Acceleration &amp; Deceleration'!F4/3.6+'Specification &amp; Data'!B$22)^2)/2</f>
        <v>5.4335512383601507</v>
      </c>
      <c r="J6" s="12">
        <f>('Specification &amp; Data'!B$21*'Specification &amp; Data'!B$23*'Specification &amp; Data'!B$11*('Acceleration &amp; Deceleration'!G4/3.6+'Specification &amp; Data'!B$22)^2)/2</f>
        <v>6.8781763701833158</v>
      </c>
      <c r="K6" s="12">
        <f>('Specification &amp; Data'!B$21*'Specification &amp; Data'!B$23*'Specification &amp; Data'!B$11*('Acceleration &amp; Deceleration'!H4/3.6+'Specification &amp; Data'!B$22)^2)/2</f>
        <v>8.7692662302236801</v>
      </c>
      <c r="L6" s="12">
        <f>('Specification &amp; Data'!B$23*'Specification &amp; Data'!B$21*'Specification &amp; Data'!B$11*(('Acceleration &amp; Deceleration'!F4/3.6)^2))/2</f>
        <v>0.64317528799960444</v>
      </c>
      <c r="M6" s="12">
        <f>('Specification &amp; Data'!B$23*'Specification &amp; Data'!B$21*'Specification &amp; Data'!B$11*(('Acceleration &amp; Deceleration'!G4/3.6)^2))/2</f>
        <v>1.1959871057843883</v>
      </c>
      <c r="N6" s="12">
        <f>('Specification &amp; Data'!B$23*'Specification &amp; Data'!B$21*'Specification &amp; Data'!B$11*(('Acceleration &amp; Deceleration'!H4/3.6)^2))/2</f>
        <v>2.0514227946834067</v>
      </c>
      <c r="O6" s="12">
        <f>('Specification &amp; Data'!B$21*'Specification &amp; Data'!B$23*'Specification &amp; Data'!B$11*('Acceleration &amp; Deceleration'!F4/3.6-'Specification &amp; Data'!B$22)^2)/2</f>
        <v>0.52857801114905689</v>
      </c>
      <c r="P6" s="12">
        <f>('Specification &amp; Data'!B$21*'Specification &amp; Data'!B$23*'Specification &amp; Data'!B$11*('Acceleration &amp; Deceleration'!G4/3.6-'Specification &amp; Data'!B$22)^2)/2</f>
        <v>0.18957651489546024</v>
      </c>
      <c r="Q6" s="12">
        <f>('Specification &amp; Data'!B$21*'Specification &amp; Data'!B$23*'Specification &amp; Data'!B$11*('Acceleration &amp; Deceleration'!H4/3.6-'Specification &amp; Data'!B$22)^2)/2</f>
        <v>9.3580326531336987E-3</v>
      </c>
    </row>
    <row r="7" spans="2:17">
      <c r="B7" s="12">
        <f t="shared" ref="B7:B17" si="0">B6+500</f>
        <v>1500</v>
      </c>
      <c r="C7" s="12">
        <f>('Specification &amp; Data'!B$23*'Specification &amp; Data'!B$21*'Specification &amp; Data'!B$11*(('Acceleration &amp; Deceleration'!F5/3.6)^2))/2</f>
        <v>1.4471443979991101</v>
      </c>
      <c r="D7" s="12">
        <f>('Specification &amp; Data'!B$23*'Specification &amp; Data'!B$21*'Specification &amp; Data'!B$11*(('Acceleration &amp; Deceleration'!G5/3.6)^2))/2</f>
        <v>2.6909709880148731</v>
      </c>
      <c r="E7" s="12">
        <f>('Specification &amp; Data'!B$23*'Specification &amp; Data'!B$21*'Specification &amp; Data'!B$11*(('Acceleration &amp; Deceleration'!H5/3.6)^2))/2</f>
        <v>4.6157012880376653</v>
      </c>
      <c r="F7" s="38">
        <f>('Specification &amp; Data'!B$23*'Specification &amp; Data'!B$21*'Specification &amp; Data'!B$11*(('Acceleration &amp; Deceleration'!F5/3.6)^2))/2</f>
        <v>1.4471443979991101</v>
      </c>
      <c r="G7" s="38">
        <f>('Specification &amp; Data'!B$23*'Specification &amp; Data'!B$21*'Specification &amp; Data'!B$11*(('Acceleration &amp; Deceleration'!G5/3.6)^2))/2</f>
        <v>2.6909709880148731</v>
      </c>
      <c r="H7" s="38">
        <f>('Specification &amp; Data'!B$23*'Specification &amp; Data'!B$21*'Specification &amp; Data'!B$11*(('Acceleration &amp; Deceleration'!H5/3.6)^2))/2</f>
        <v>4.6157012880376653</v>
      </c>
      <c r="I7" s="15">
        <f>('Specification &amp; Data'!B$21*'Specification &amp; Data'!B$23*'Specification &amp; Data'!B$11*('Acceleration &amp; Deceleration'!F5/3.6+'Specification &amp; Data'!B$22)^2)/2</f>
        <v>7.4637636551624311</v>
      </c>
      <c r="J7" s="15">
        <f>('Specification &amp; Data'!B$21*'Specification &amp; Data'!B$23*'Specification &amp; Data'!B$11*('Acceleration &amp; Deceleration'!G5/3.6+'Specification &amp; Data'!B$22)^2)/2</f>
        <v>10.045310216235764</v>
      </c>
      <c r="K7" s="15">
        <f>('Specification &amp; Data'!B$21*'Specification &amp; Data'!B$23*'Specification &amp; Data'!B$11*('Acceleration &amp; Deceleration'!H5/3.6+'Specification &amp; Data'!B$22)^2)/2</f>
        <v>13.523521772970575</v>
      </c>
      <c r="L7" s="38">
        <f>('Specification &amp; Data'!B$23*'Specification &amp; Data'!B$21*'Specification &amp; Data'!B$11*(('Acceleration &amp; Deceleration'!F5/3.6)^2))/2</f>
        <v>1.4471443979991101</v>
      </c>
      <c r="M7" s="38">
        <f>('Specification &amp; Data'!B$23*'Specification &amp; Data'!B$21*'Specification &amp; Data'!B$11*(('Acceleration &amp; Deceleration'!G5/3.6)^2))/2</f>
        <v>2.6909709880148731</v>
      </c>
      <c r="N7" s="38">
        <f>('Specification &amp; Data'!B$23*'Specification &amp; Data'!B$21*'Specification &amp; Data'!B$11*(('Acceleration &amp; Deceleration'!H5/3.6)^2))/2</f>
        <v>4.6157012880376653</v>
      </c>
      <c r="O7" s="15">
        <f>('Specification &amp; Data'!B$21*'Specification &amp; Data'!B$23*'Specification &amp; Data'!B$11*('Acceleration &amp; Deceleration'!F5/3.6-'Specification &amp; Data'!B$22)^2)/2</f>
        <v>0.10630381434578889</v>
      </c>
      <c r="P7" s="15">
        <f>('Specification &amp; Data'!B$21*'Specification &amp; Data'!B$23*'Specification &amp; Data'!B$11*('Acceleration &amp; Deceleration'!G5/3.6-'Specification &amp; Data'!B$22)^2)/2</f>
        <v>1.2410433303981571E-2</v>
      </c>
      <c r="Q7" s="15">
        <f>('Specification &amp; Data'!B$21*'Specification &amp; Data'!B$23*'Specification &amp; Data'!B$11*('Acceleration &amp; Deceleration'!H5/3.6-'Specification &amp; Data'!B$22)^2)/2</f>
        <v>0.38365947661475563</v>
      </c>
    </row>
    <row r="8" spans="2:17">
      <c r="B8" s="12">
        <f t="shared" si="0"/>
        <v>2000</v>
      </c>
      <c r="C8" s="12">
        <f>('Specification &amp; Data'!B$23*'Specification &amp; Data'!B$21*'Specification &amp; Data'!B$11*(('Acceleration &amp; Deceleration'!F6/3.6)^2))/2</f>
        <v>2.5727011519984178</v>
      </c>
      <c r="D8" s="12">
        <f>('Specification &amp; Data'!B$23*'Specification &amp; Data'!B$21*'Specification &amp; Data'!B$11*(('Acceleration &amp; Deceleration'!G6/3.6)^2))/2</f>
        <v>4.7839484231375531</v>
      </c>
      <c r="E8" s="12">
        <f>('Specification &amp; Data'!B$23*'Specification &amp; Data'!B$21*'Specification &amp; Data'!B$11*(('Acceleration &amp; Deceleration'!H6/3.6)^2))/2</f>
        <v>8.2056911787336269</v>
      </c>
      <c r="F8" s="38">
        <f>('Specification &amp; Data'!B$23*'Specification &amp; Data'!B$21*'Specification &amp; Data'!B$11*(('Acceleration &amp; Deceleration'!F6/3.6)^2))/2</f>
        <v>2.5727011519984178</v>
      </c>
      <c r="G8" s="38">
        <f>('Specification &amp; Data'!B$23*'Specification &amp; Data'!B$21*'Specification &amp; Data'!B$11*(('Acceleration &amp; Deceleration'!G6/3.6)^2))/2</f>
        <v>4.7839484231375531</v>
      </c>
      <c r="H8" s="38">
        <f>('Specification &amp; Data'!B$23*'Specification &amp; Data'!B$21*'Specification &amp; Data'!B$11*(('Acceleration &amp; Deceleration'!H6/3.6)^2))/2</f>
        <v>8.2056911787336269</v>
      </c>
      <c r="I8" s="15">
        <f>('Specification &amp; Data'!B$21*'Specification &amp; Data'!B$23*'Specification &amp; Data'!B$11*('Acceleration &amp; Deceleration'!F6/3.6+'Specification &amp; Data'!B$22)^2)/2</f>
        <v>9.8155637159645117</v>
      </c>
      <c r="J8" s="15">
        <f>('Specification &amp; Data'!B$21*'Specification &amp; Data'!B$23*'Specification &amp; Data'!B$11*('Acceleration &amp; Deceleration'!G6/3.6+'Specification &amp; Data'!B$22)^2)/2</f>
        <v>13.810437615180405</v>
      </c>
      <c r="K8" s="15">
        <f>('Specification &amp; Data'!B$21*'Specification &amp; Data'!B$23*'Specification &amp; Data'!B$11*('Acceleration &amp; Deceleration'!H6/3.6+'Specification &amp; Data'!B$22)^2)/2</f>
        <v>19.303488713059174</v>
      </c>
      <c r="L8" s="38">
        <f>('Specification &amp; Data'!B$23*'Specification &amp; Data'!B$21*'Specification &amp; Data'!B$11*(('Acceleration &amp; Deceleration'!F6/3.6)^2))/2</f>
        <v>2.5727011519984178</v>
      </c>
      <c r="M8" s="38">
        <f>('Specification &amp; Data'!B$23*'Specification &amp; Data'!B$21*'Specification &amp; Data'!B$11*(('Acceleration &amp; Deceleration'!G6/3.6)^2))/2</f>
        <v>4.7839484231375531</v>
      </c>
      <c r="N8" s="38">
        <f>('Specification &amp; Data'!B$23*'Specification &amp; Data'!B$21*'Specification &amp; Data'!B$11*(('Acceleration &amp; Deceleration'!H6/3.6)^2))/2</f>
        <v>8.2056911787336269</v>
      </c>
      <c r="O8" s="15">
        <f>('Specification &amp; Data'!B$21*'Specification &amp; Data'!B$23*'Specification &amp; Data'!B$11*('Acceleration &amp; Deceleration'!F6/3.6-'Specification &amp; Data'!B$22)^2)/2</f>
        <v>5.6172615423230781E-3</v>
      </c>
      <c r="P8" s="15">
        <f>('Specification &amp; Data'!B$21*'Specification &amp; Data'!B$23*'Specification &amp; Data'!B$11*('Acceleration &amp; Deceleration'!G6/3.6-'Specification &amp; Data'!B$22)^2)/2</f>
        <v>0.43323790460469708</v>
      </c>
      <c r="Q8" s="15">
        <f>('Specification &amp; Data'!B$21*'Specification &amp; Data'!B$23*'Specification &amp; Data'!B$11*('Acceleration &amp; Deceleration'!H6/3.6-'Specification &amp; Data'!B$22)^2)/2</f>
        <v>1.7836723179180809</v>
      </c>
    </row>
    <row r="9" spans="2:17">
      <c r="B9" s="12">
        <f t="shared" si="0"/>
        <v>2500</v>
      </c>
      <c r="C9" s="12">
        <f>('Specification &amp; Data'!B$23*'Specification &amp; Data'!B$21*'Specification &amp; Data'!B$11*(('Acceleration &amp; Deceleration'!F7/3.6)^2))/2</f>
        <v>4.0198455499975276</v>
      </c>
      <c r="D9" s="12">
        <f>('Specification &amp; Data'!B$23*'Specification &amp; Data'!B$21*'Specification &amp; Data'!B$11*(('Acceleration &amp; Deceleration'!G7/3.6)^2))/2</f>
        <v>7.4749194111524249</v>
      </c>
      <c r="E9" s="12">
        <f>('Specification &amp; Data'!B$23*'Specification &amp; Data'!B$21*'Specification &amp; Data'!B$11*(('Acceleration &amp; Deceleration'!H7/3.6)^2))/2</f>
        <v>12.821392466771291</v>
      </c>
      <c r="F9" s="38">
        <f>('Specification &amp; Data'!B$23*'Specification &amp; Data'!B$21*'Specification &amp; Data'!B$11*(('Acceleration &amp; Deceleration'!F7/3.6)^2))/2</f>
        <v>4.0198455499975276</v>
      </c>
      <c r="G9" s="38">
        <f>('Specification &amp; Data'!B$23*'Specification &amp; Data'!B$21*'Specification &amp; Data'!B$11*(('Acceleration &amp; Deceleration'!G7/3.6)^2))/2</f>
        <v>7.4749194111524249</v>
      </c>
      <c r="H9" s="38">
        <f>('Specification &amp; Data'!B$23*'Specification &amp; Data'!B$21*'Specification &amp; Data'!B$11*(('Acceleration &amp; Deceleration'!H7/3.6)^2))/2</f>
        <v>12.821392466771291</v>
      </c>
      <c r="I9" s="15">
        <f>('Specification &amp; Data'!B$21*'Specification &amp; Data'!B$23*'Specification &amp; Data'!B$11*('Acceleration &amp; Deceleration'!F7/3.6+'Specification &amp; Data'!B$22)^2)/2</f>
        <v>12.488951420766396</v>
      </c>
      <c r="J9" s="15">
        <f>('Specification &amp; Data'!B$21*'Specification &amp; Data'!B$23*'Specification &amp; Data'!B$11*('Acceleration &amp; Deceleration'!G7/3.6+'Specification &amp; Data'!B$22)^2)/2</f>
        <v>18.173558567017245</v>
      </c>
      <c r="K9" s="15">
        <f>('Specification &amp; Data'!B$21*'Specification &amp; Data'!B$23*'Specification &amp; Data'!B$11*('Acceleration &amp; Deceleration'!H7/3.6+'Specification &amp; Data'!B$22)^2)/2</f>
        <v>26.109167050489479</v>
      </c>
      <c r="L9" s="38">
        <f>('Specification &amp; Data'!B$23*'Specification &amp; Data'!B$21*'Specification &amp; Data'!B$11*(('Acceleration &amp; Deceleration'!F7/3.6)^2))/2</f>
        <v>4.0198455499975276</v>
      </c>
      <c r="M9" s="38">
        <f>('Specification &amp; Data'!B$23*'Specification &amp; Data'!B$21*'Specification &amp; Data'!B$11*(('Acceleration &amp; Deceleration'!G7/3.6)^2))/2</f>
        <v>7.4749194111524249</v>
      </c>
      <c r="N9" s="38">
        <f>('Specification &amp; Data'!B$23*'Specification &amp; Data'!B$21*'Specification &amp; Data'!B$11*(('Acceleration &amp; Deceleration'!H7/3.6)^2))/2</f>
        <v>12.821392466771291</v>
      </c>
      <c r="O9" s="15">
        <f>('Specification &amp; Data'!B$21*'Specification &amp; Data'!B$23*'Specification &amp; Data'!B$11*('Acceleration &amp; Deceleration'!F7/3.6-'Specification &amp; Data'!B$22)^2)/2</f>
        <v>0.22651835273865939</v>
      </c>
      <c r="P9" s="15">
        <f>('Specification &amp; Data'!B$21*'Specification &amp; Data'!B$23*'Specification &amp; Data'!B$11*('Acceleration &amp; Deceleration'!G7/3.6-'Specification &amp; Data'!B$22)^2)/2</f>
        <v>1.4520589287976062</v>
      </c>
      <c r="Q9" s="15">
        <f>('Specification &amp; Data'!B$21*'Specification &amp; Data'!B$23*'Specification &amp; Data'!B$11*('Acceleration &amp; Deceleration'!H7/3.6-'Specification &amp; Data'!B$22)^2)/2</f>
        <v>4.2093965565631093</v>
      </c>
    </row>
    <row r="10" spans="2:17">
      <c r="B10" s="12">
        <f t="shared" si="0"/>
        <v>3000</v>
      </c>
      <c r="C10" s="12">
        <f>('Specification &amp; Data'!B$23*'Specification &amp; Data'!B$21*'Specification &amp; Data'!B$11*(('Acceleration &amp; Deceleration'!F8/3.6)^2))/2</f>
        <v>5.7885775919964404</v>
      </c>
      <c r="D10" s="12">
        <f>('Specification &amp; Data'!B$23*'Specification &amp; Data'!B$21*'Specification &amp; Data'!B$11*(('Acceleration &amp; Deceleration'!G8/3.6)^2))/2</f>
        <v>10.763883952059492</v>
      </c>
      <c r="E10" s="12">
        <f>('Specification &amp; Data'!B$23*'Specification &amp; Data'!B$21*'Specification &amp; Data'!B$11*(('Acceleration &amp; Deceleration'!H8/3.6)^2))/2</f>
        <v>18.462805152150661</v>
      </c>
      <c r="F10" s="38">
        <f>('Specification &amp; Data'!B$23*'Specification &amp; Data'!B$21*'Specification &amp; Data'!B$11*(('Acceleration &amp; Deceleration'!F8/3.6)^2))/2</f>
        <v>5.7885775919964404</v>
      </c>
      <c r="G10" s="38">
        <f>('Specification &amp; Data'!B$23*'Specification &amp; Data'!B$21*'Specification &amp; Data'!B$11*(('Acceleration &amp; Deceleration'!G8/3.6)^2))/2</f>
        <v>10.763883952059492</v>
      </c>
      <c r="H10" s="38">
        <f>('Specification &amp; Data'!B$23*'Specification &amp; Data'!B$21*'Specification &amp; Data'!B$11*(('Acceleration &amp; Deceleration'!H8/3.6)^2))/2</f>
        <v>18.462805152150661</v>
      </c>
      <c r="I10" s="15">
        <f>('Specification &amp; Data'!B$21*'Specification &amp; Data'!B$23*'Specification &amp; Data'!B$11*('Acceleration &amp; Deceleration'!F8/3.6+'Specification &amp; Data'!B$22)^2)/2</f>
        <v>15.483926769568086</v>
      </c>
      <c r="J10" s="15">
        <f>('Specification &amp; Data'!B$21*'Specification &amp; Data'!B$23*'Specification &amp; Data'!B$11*('Acceleration &amp; Deceleration'!G8/3.6+'Specification &amp; Data'!B$22)^2)/2</f>
        <v>23.134673071746271</v>
      </c>
      <c r="K10" s="15">
        <f>('Specification &amp; Data'!B$21*'Specification &amp; Data'!B$23*'Specification &amp; Data'!B$11*('Acceleration &amp; Deceleration'!H8/3.6+'Specification &amp; Data'!B$22)^2)/2</f>
        <v>33.940556785261478</v>
      </c>
      <c r="L10" s="38">
        <f>('Specification &amp; Data'!B$23*'Specification &amp; Data'!B$21*'Specification &amp; Data'!B$11*(('Acceleration &amp; Deceleration'!F8/3.6)^2))/2</f>
        <v>5.7885775919964404</v>
      </c>
      <c r="M10" s="38">
        <f>('Specification &amp; Data'!B$23*'Specification &amp; Data'!B$21*'Specification &amp; Data'!B$11*(('Acceleration &amp; Deceleration'!G8/3.6)^2))/2</f>
        <v>10.763883952059492</v>
      </c>
      <c r="N10" s="38">
        <f>('Specification &amp; Data'!B$23*'Specification &amp; Data'!B$21*'Specification &amp; Data'!B$11*(('Acceleration &amp; Deceleration'!H8/3.6)^2))/2</f>
        <v>18.462805152150661</v>
      </c>
      <c r="O10" s="15">
        <f>('Specification &amp; Data'!B$21*'Specification &amp; Data'!B$23*'Specification &amp; Data'!B$11*('Acceleration &amp; Deceleration'!F8/3.6-'Specification &amp; Data'!B$22)^2)/2</f>
        <v>0.76900708793479811</v>
      </c>
      <c r="P10" s="15">
        <f>('Specification &amp; Data'!B$21*'Specification &amp; Data'!B$23*'Specification &amp; Data'!B$11*('Acceleration &amp; Deceleration'!G8/3.6-'Specification &amp; Data'!B$22)^2)/2</f>
        <v>3.068873505882709</v>
      </c>
      <c r="Q10" s="15">
        <f>('Specification &amp; Data'!B$21*'Specification &amp; Data'!B$23*'Specification &amp; Data'!B$11*('Acceleration &amp; Deceleration'!H8/3.6-'Specification &amp; Data'!B$22)^2)/2</f>
        <v>7.6608321925498402</v>
      </c>
    </row>
    <row r="11" spans="2:17">
      <c r="B11" s="12">
        <f t="shared" si="0"/>
        <v>3500</v>
      </c>
      <c r="C11" s="12">
        <f>('Specification &amp; Data'!B$23*'Specification &amp; Data'!B$21*'Specification &amp; Data'!B$11*(('Acceleration &amp; Deceleration'!F9/3.6)^2))/2</f>
        <v>7.8788972779951534</v>
      </c>
      <c r="D11" s="12">
        <f>('Specification &amp; Data'!B$23*'Specification &amp; Data'!B$21*'Specification &amp; Data'!B$11*(('Acceleration &amp; Deceleration'!G9/3.6)^2))/2</f>
        <v>14.650842045858756</v>
      </c>
      <c r="E11" s="12">
        <f>('Specification &amp; Data'!B$23*'Specification &amp; Data'!B$21*'Specification &amp; Data'!B$11*(('Acceleration &amp; Deceleration'!H9/3.6)^2))/2</f>
        <v>25.129929234871732</v>
      </c>
      <c r="F11" s="38">
        <f>('Specification &amp; Data'!B$23*'Specification &amp; Data'!B$21*'Specification &amp; Data'!B$11*(('Acceleration &amp; Deceleration'!F9/3.6)^2))/2</f>
        <v>7.8788972779951534</v>
      </c>
      <c r="G11" s="38">
        <f>('Specification &amp; Data'!B$23*'Specification &amp; Data'!B$21*'Specification &amp; Data'!B$11*(('Acceleration &amp; Deceleration'!G9/3.6)^2))/2</f>
        <v>14.650842045858756</v>
      </c>
      <c r="H11" s="38">
        <f>('Specification &amp; Data'!B$23*'Specification &amp; Data'!B$21*'Specification &amp; Data'!B$11*(('Acceleration &amp; Deceleration'!H9/3.6)^2))/2</f>
        <v>25.129929234871732</v>
      </c>
      <c r="I11" s="15">
        <f>('Specification &amp; Data'!B$21*'Specification &amp; Data'!B$23*'Specification &amp; Data'!B$11*('Acceleration &amp; Deceleration'!F9/3.6+'Specification &amp; Data'!B$22)^2)/2</f>
        <v>18.800489762369573</v>
      </c>
      <c r="J11" s="15">
        <f>('Specification &amp; Data'!B$21*'Specification &amp; Data'!B$23*'Specification &amp; Data'!B$11*('Acceleration &amp; Deceleration'!G9/3.6+'Specification &amp; Data'!B$22)^2)/2</f>
        <v>28.693781129367501</v>
      </c>
      <c r="K11" s="15">
        <f>('Specification &amp; Data'!B$21*'Specification &amp; Data'!B$23*'Specification &amp; Data'!B$11*('Acceleration &amp; Deceleration'!H9/3.6+'Specification &amp; Data'!B$22)^2)/2</f>
        <v>42.797657917375183</v>
      </c>
      <c r="L11" s="38">
        <f>('Specification &amp; Data'!B$23*'Specification &amp; Data'!B$21*'Specification &amp; Data'!B$11*(('Acceleration &amp; Deceleration'!F9/3.6)^2))/2</f>
        <v>7.8788972779951534</v>
      </c>
      <c r="M11" s="38">
        <f>('Specification &amp; Data'!B$23*'Specification &amp; Data'!B$21*'Specification &amp; Data'!B$11*(('Acceleration &amp; Deceleration'!G9/3.6)^2))/2</f>
        <v>14.650842045858756</v>
      </c>
      <c r="N11" s="38">
        <f>('Specification &amp; Data'!B$23*'Specification &amp; Data'!B$21*'Specification &amp; Data'!B$11*(('Acceleration &amp; Deceleration'!H9/3.6)^2))/2</f>
        <v>25.129929234871732</v>
      </c>
      <c r="O11" s="15">
        <f>('Specification &amp; Data'!B$21*'Specification &amp; Data'!B$23*'Specification &amp; Data'!B$11*('Acceleration &amp; Deceleration'!F9/3.6-'Specification &amp; Data'!B$22)^2)/2</f>
        <v>1.6330834671307384</v>
      </c>
      <c r="P11" s="15">
        <f>('Specification &amp; Data'!B$21*'Specification &amp; Data'!B$23*'Specification &amp; Data'!B$11*('Acceleration &amp; Deceleration'!G9/3.6-'Specification &amp; Data'!B$22)^2)/2</f>
        <v>5.2836816358600087</v>
      </c>
      <c r="Q11" s="15">
        <f>('Specification &amp; Data'!B$21*'Specification &amp; Data'!B$23*'Specification &amp; Data'!B$11*('Acceleration &amp; Deceleration'!H9/3.6-'Specification &amp; Data'!B$22)^2)/2</f>
        <v>12.137979225878276</v>
      </c>
    </row>
    <row r="12" spans="2:17">
      <c r="B12" s="12">
        <f t="shared" si="0"/>
        <v>4000</v>
      </c>
      <c r="C12" s="12">
        <f>('Specification &amp; Data'!B$23*'Specification &amp; Data'!B$21*'Specification &amp; Data'!B$11*(('Acceleration &amp; Deceleration'!F10/3.6)^2))/2</f>
        <v>10.290804607993671</v>
      </c>
      <c r="D12" s="12">
        <f>('Specification &amp; Data'!B$23*'Specification &amp; Data'!B$21*'Specification &amp; Data'!B$11*(('Acceleration &amp; Deceleration'!G10/3.6)^2))/2</f>
        <v>19.135793692550212</v>
      </c>
      <c r="E12" s="12">
        <f>('Specification &amp; Data'!B$23*'Specification &amp; Data'!B$21*'Specification &amp; Data'!B$11*(('Acceleration &amp; Deceleration'!H10/3.6)^2))/2</f>
        <v>32.822764714934507</v>
      </c>
      <c r="F12" s="38">
        <f>('Specification &amp; Data'!B$23*'Specification &amp; Data'!B$21*'Specification &amp; Data'!B$11*(('Acceleration &amp; Deceleration'!F10/3.6)^2))/2</f>
        <v>10.290804607993671</v>
      </c>
      <c r="G12" s="38">
        <f>('Specification &amp; Data'!B$23*'Specification &amp; Data'!B$21*'Specification &amp; Data'!B$11*(('Acceleration &amp; Deceleration'!G10/3.6)^2))/2</f>
        <v>19.135793692550212</v>
      </c>
      <c r="H12" s="38">
        <f>('Specification &amp; Data'!B$23*'Specification &amp; Data'!B$21*'Specification &amp; Data'!B$11*(('Acceleration &amp; Deceleration'!H10/3.6)^2))/2</f>
        <v>32.822764714934507</v>
      </c>
      <c r="I12" s="15">
        <f>('Specification &amp; Data'!B$21*'Specification &amp; Data'!B$23*'Specification &amp; Data'!B$11*('Acceleration &amp; Deceleration'!F10/3.6+'Specification &amp; Data'!B$22)^2)/2</f>
        <v>22.438640399170858</v>
      </c>
      <c r="J12" s="15">
        <f>('Specification &amp; Data'!B$21*'Specification &amp; Data'!B$23*'Specification &amp; Data'!B$11*('Acceleration &amp; Deceleration'!G10/3.6+'Specification &amp; Data'!B$22)^2)/2</f>
        <v>34.85088273988093</v>
      </c>
      <c r="K12" s="15">
        <f>('Specification &amp; Data'!B$21*'Specification &amp; Data'!B$23*'Specification &amp; Data'!B$11*('Acceleration &amp; Deceleration'!H10/3.6+'Specification &amp; Data'!B$22)^2)/2</f>
        <v>52.680470446830604</v>
      </c>
      <c r="L12" s="38">
        <f>('Specification &amp; Data'!B$23*'Specification &amp; Data'!B$21*'Specification &amp; Data'!B$11*(('Acceleration &amp; Deceleration'!F10/3.6)^2))/2</f>
        <v>10.290804607993671</v>
      </c>
      <c r="M12" s="38">
        <f>('Specification &amp; Data'!B$23*'Specification &amp; Data'!B$21*'Specification &amp; Data'!B$11*(('Acceleration &amp; Deceleration'!G10/3.6)^2))/2</f>
        <v>19.135793692550212</v>
      </c>
      <c r="N12" s="38">
        <f>('Specification &amp; Data'!B$23*'Specification &amp; Data'!B$21*'Specification &amp; Data'!B$11*(('Acceleration &amp; Deceleration'!H10/3.6)^2))/2</f>
        <v>32.822764714934507</v>
      </c>
      <c r="O12" s="15">
        <f>('Specification &amp; Data'!B$21*'Specification &amp; Data'!B$23*'Specification &amp; Data'!B$11*('Acceleration &amp; Deceleration'!F10/3.6-'Specification &amp; Data'!B$22)^2)/2</f>
        <v>2.8187474903264826</v>
      </c>
      <c r="P12" s="15">
        <f>('Specification &amp; Data'!B$21*'Specification &amp; Data'!B$23*'Specification &amp; Data'!B$11*('Acceleration &amp; Deceleration'!G10/3.6-'Specification &amp; Data'!B$22)^2)/2</f>
        <v>8.0964833187294971</v>
      </c>
      <c r="Q12" s="15">
        <f>('Specification &amp; Data'!B$21*'Specification &amp; Data'!B$23*'Specification &amp; Data'!B$11*('Acceleration &amp; Deceleration'!H10/3.6-'Specification &amp; Data'!B$22)^2)/2</f>
        <v>17.640837656548413</v>
      </c>
    </row>
    <row r="13" spans="2:17">
      <c r="B13" s="12">
        <f t="shared" si="0"/>
        <v>4500</v>
      </c>
      <c r="C13" s="12">
        <f>('Specification &amp; Data'!B$23*'Specification &amp; Data'!B$21*'Specification &amp; Data'!B$11*(('Acceleration &amp; Deceleration'!F11/3.6)^2))/2</f>
        <v>13.02429958199199</v>
      </c>
      <c r="D13" s="12">
        <f>('Specification &amp; Data'!B$23*'Specification &amp; Data'!B$21*'Specification &amp; Data'!B$11*(('Acceleration &amp; Deceleration'!G11/3.6)^2))/2</f>
        <v>24.21873889213386</v>
      </c>
      <c r="E13" s="12">
        <f>('Specification &amp; Data'!B$23*'Specification &amp; Data'!B$21*'Specification &amp; Data'!B$11*(('Acceleration &amp; Deceleration'!H11/3.6)^2))/2</f>
        <v>41.541311592338964</v>
      </c>
      <c r="F13" s="38">
        <f>('Specification &amp; Data'!B$23*'Specification &amp; Data'!B$21*'Specification &amp; Data'!B$11*(('Acceleration &amp; Deceleration'!F11/3.6)^2))/2</f>
        <v>13.02429958199199</v>
      </c>
      <c r="G13" s="38">
        <f>('Specification &amp; Data'!B$23*'Specification &amp; Data'!B$21*'Specification &amp; Data'!B$11*(('Acceleration &amp; Deceleration'!G11/3.6)^2))/2</f>
        <v>24.21873889213386</v>
      </c>
      <c r="H13" s="38">
        <f>('Specification &amp; Data'!B$23*'Specification &amp; Data'!B$21*'Specification &amp; Data'!B$11*(('Acceleration &amp; Deceleration'!H11/3.6)^2))/2</f>
        <v>41.541311592338964</v>
      </c>
      <c r="I13" s="15">
        <f>('Specification &amp; Data'!B$21*'Specification &amp; Data'!B$23*'Specification &amp; Data'!B$11*('Acceleration &amp; Deceleration'!F11/3.6+'Specification &amp; Data'!B$22)^2)/2</f>
        <v>26.398378679971948</v>
      </c>
      <c r="J13" s="15">
        <f>('Specification &amp; Data'!B$21*'Specification &amp; Data'!B$23*'Specification &amp; Data'!B$11*('Acceleration &amp; Deceleration'!G11/3.6+'Specification &amp; Data'!B$22)^2)/2</f>
        <v>41.605977903286529</v>
      </c>
      <c r="K13" s="15">
        <f>('Specification &amp; Data'!B$21*'Specification &amp; Data'!B$23*'Specification &amp; Data'!B$11*('Acceleration &amp; Deceleration'!H11/3.6+'Specification &amp; Data'!B$22)^2)/2</f>
        <v>63.588994373627699</v>
      </c>
      <c r="L13" s="38">
        <f>('Specification &amp; Data'!B$23*'Specification &amp; Data'!B$21*'Specification &amp; Data'!B$11*(('Acceleration &amp; Deceleration'!F11/3.6)^2))/2</f>
        <v>13.02429958199199</v>
      </c>
      <c r="M13" s="38">
        <f>('Specification &amp; Data'!B$23*'Specification &amp; Data'!B$21*'Specification &amp; Data'!B$11*(('Acceleration &amp; Deceleration'!G11/3.6)^2))/2</f>
        <v>24.21873889213386</v>
      </c>
      <c r="N13" s="38">
        <f>('Specification &amp; Data'!B$23*'Specification &amp; Data'!B$21*'Specification &amp; Data'!B$11*(('Acceleration &amp; Deceleration'!H11/3.6)^2))/2</f>
        <v>41.541311592338964</v>
      </c>
      <c r="O13" s="15">
        <f>('Specification &amp; Data'!B$21*'Specification &amp; Data'!B$23*'Specification &amp; Data'!B$11*('Acceleration &amp; Deceleration'!F11/3.6-'Specification &amp; Data'!B$22)^2)/2</f>
        <v>4.3259991575220278</v>
      </c>
      <c r="P13" s="15">
        <f>('Specification &amp; Data'!B$21*'Specification &amp; Data'!B$23*'Specification &amp; Data'!B$11*('Acceleration &amp; Deceleration'!G11/3.6-'Specification &amp; Data'!B$22)^2)/2</f>
        <v>11.507278554491187</v>
      </c>
      <c r="Q13" s="15">
        <f>('Specification &amp; Data'!B$21*'Specification &amp; Data'!B$23*'Specification &amp; Data'!B$11*('Acceleration &amp; Deceleration'!H11/3.6-'Specification &amp; Data'!B$22)^2)/2</f>
        <v>24.169407484560242</v>
      </c>
    </row>
    <row r="14" spans="2:17">
      <c r="B14" s="12">
        <f t="shared" si="0"/>
        <v>5000</v>
      </c>
      <c r="C14" s="12">
        <f>('Specification &amp; Data'!B$23*'Specification &amp; Data'!B$21*'Specification &amp; Data'!B$11*(('Acceleration &amp; Deceleration'!F12/3.6)^2))/2</f>
        <v>16.079382199990111</v>
      </c>
      <c r="D14" s="12">
        <f>('Specification &amp; Data'!B$23*'Specification &amp; Data'!B$21*'Specification &amp; Data'!B$11*(('Acceleration &amp; Deceleration'!G12/3.6)^2))/2</f>
        <v>29.899677644609699</v>
      </c>
      <c r="E14" s="12">
        <f>('Specification &amp; Data'!B$23*'Specification &amp; Data'!B$21*'Specification &amp; Data'!B$11*(('Acceleration &amp; Deceleration'!H12/3.6)^2))/2</f>
        <v>51.285569867085165</v>
      </c>
      <c r="F14" s="38">
        <f>('Specification &amp; Data'!B$23*'Specification &amp; Data'!B$21*'Specification &amp; Data'!B$11*(('Acceleration &amp; Deceleration'!F12/3.6)^2))/2</f>
        <v>16.079382199990111</v>
      </c>
      <c r="G14" s="38">
        <f>('Specification &amp; Data'!B$23*'Specification &amp; Data'!B$21*'Specification &amp; Data'!B$11*(('Acceleration &amp; Deceleration'!G12/3.6)^2))/2</f>
        <v>29.899677644609699</v>
      </c>
      <c r="H14" s="38">
        <f>('Specification &amp; Data'!B$23*'Specification &amp; Data'!B$21*'Specification &amp; Data'!B$11*(('Acceleration &amp; Deceleration'!H12/3.6)^2))/2</f>
        <v>51.285569867085165</v>
      </c>
      <c r="I14" s="15">
        <f>('Specification &amp; Data'!B$21*'Specification &amp; Data'!B$23*'Specification &amp; Data'!B$11*('Acceleration &amp; Deceleration'!F12/3.6+'Specification &amp; Data'!B$22)^2)/2</f>
        <v>30.679704604772841</v>
      </c>
      <c r="J14" s="15">
        <f>('Specification &amp; Data'!B$21*'Specification &amp; Data'!B$23*'Specification &amp; Data'!B$11*('Acceleration &amp; Deceleration'!G12/3.6+'Specification &amp; Data'!B$22)^2)/2</f>
        <v>48.959066619584341</v>
      </c>
      <c r="K14" s="15">
        <f>('Specification &amp; Data'!B$21*'Specification &amp; Data'!B$23*'Specification &amp; Data'!B$11*('Acceleration &amp; Deceleration'!H12/3.6+'Specification &amp; Data'!B$22)^2)/2</f>
        <v>75.523229697766538</v>
      </c>
      <c r="L14" s="38">
        <f>('Specification &amp; Data'!B$23*'Specification &amp; Data'!B$21*'Specification &amp; Data'!B$11*(('Acceleration &amp; Deceleration'!F12/3.6)^2))/2</f>
        <v>16.079382199990111</v>
      </c>
      <c r="M14" s="38">
        <f>('Specification &amp; Data'!B$23*'Specification &amp; Data'!B$21*'Specification &amp; Data'!B$11*(('Acceleration &amp; Deceleration'!G12/3.6)^2))/2</f>
        <v>29.899677644609699</v>
      </c>
      <c r="N14" s="38">
        <f>('Specification &amp; Data'!B$23*'Specification &amp; Data'!B$21*'Specification &amp; Data'!B$11*(('Acceleration &amp; Deceleration'!H12/3.6)^2))/2</f>
        <v>51.285569867085165</v>
      </c>
      <c r="O14" s="15">
        <f>('Specification &amp; Data'!B$21*'Specification &amp; Data'!B$23*'Specification &amp; Data'!B$11*('Acceleration &amp; Deceleration'!F12/3.6-'Specification &amp; Data'!B$22)^2)/2</f>
        <v>6.1548384687173732</v>
      </c>
      <c r="P14" s="15">
        <f>('Specification &amp; Data'!B$21*'Specification &amp; Data'!B$23*'Specification &amp; Data'!B$11*('Acceleration &amp; Deceleration'!G12/3.6-'Specification &amp; Data'!B$22)^2)/2</f>
        <v>15.51606734314506</v>
      </c>
      <c r="Q14" s="15">
        <f>('Specification &amp; Data'!B$21*'Specification &amp; Data'!B$23*'Specification &amp; Data'!B$11*('Acceleration &amp; Deceleration'!H12/3.6-'Specification &amp; Data'!B$22)^2)/2</f>
        <v>31.723688709913798</v>
      </c>
    </row>
    <row r="15" spans="2:17">
      <c r="B15" s="12">
        <f t="shared" si="0"/>
        <v>5500</v>
      </c>
      <c r="C15" s="12">
        <f>('Specification &amp; Data'!B$23*'Specification &amp; Data'!B$21*'Specification &amp; Data'!B$11*(('Acceleration &amp; Deceleration'!F13/3.6)^2))/2</f>
        <v>19.456052461988033</v>
      </c>
      <c r="D15" s="12">
        <f>('Specification &amp; Data'!B$23*'Specification &amp; Data'!B$21*'Specification &amp; Data'!B$11*(('Acceleration &amp; Deceleration'!G13/3.6)^2))/2</f>
        <v>36.178609949977748</v>
      </c>
      <c r="E15" s="12">
        <f>('Specification &amp; Data'!B$23*'Specification &amp; Data'!B$21*'Specification &amp; Data'!B$11*(('Acceleration &amp; Deceleration'!H13/3.6)^2))/2</f>
        <v>62.055539539173047</v>
      </c>
      <c r="F15" s="38">
        <f>('Specification &amp; Data'!B$23*'Specification &amp; Data'!B$21*'Specification &amp; Data'!B$11*(('Acceleration &amp; Deceleration'!F13/3.6)^2))/2</f>
        <v>19.456052461988033</v>
      </c>
      <c r="G15" s="38">
        <f>('Specification &amp; Data'!B$23*'Specification &amp; Data'!B$21*'Specification &amp; Data'!B$11*(('Acceleration &amp; Deceleration'!G13/3.6)^2))/2</f>
        <v>36.178609949977748</v>
      </c>
      <c r="H15" s="38">
        <f>('Specification &amp; Data'!B$23*'Specification &amp; Data'!B$21*'Specification &amp; Data'!B$11*(('Acceleration &amp; Deceleration'!H13/3.6)^2))/2</f>
        <v>62.055539539173047</v>
      </c>
      <c r="I15" s="15">
        <f>('Specification &amp; Data'!B$21*'Specification &amp; Data'!B$23*'Specification &amp; Data'!B$11*('Acceleration &amp; Deceleration'!F13/3.6+'Specification &amp; Data'!B$22)^2)/2</f>
        <v>35.282618173573539</v>
      </c>
      <c r="J15" s="15">
        <f>('Specification &amp; Data'!B$21*'Specification &amp; Data'!B$23*'Specification &amp; Data'!B$11*('Acceleration &amp; Deceleration'!G13/3.6+'Specification &amp; Data'!B$22)^2)/2</f>
        <v>56.910148888774351</v>
      </c>
      <c r="K15" s="15">
        <f>('Specification &amp; Data'!B$21*'Specification &amp; Data'!B$23*'Specification &amp; Data'!B$11*('Acceleration &amp; Deceleration'!H13/3.6+'Specification &amp; Data'!B$22)^2)/2</f>
        <v>88.483176419247059</v>
      </c>
      <c r="L15" s="38">
        <f>('Specification &amp; Data'!B$23*'Specification &amp; Data'!B$21*'Specification &amp; Data'!B$11*(('Acceleration &amp; Deceleration'!F13/3.6)^2))/2</f>
        <v>19.456052461988033</v>
      </c>
      <c r="M15" s="38">
        <f>('Specification &amp; Data'!B$23*'Specification &amp; Data'!B$21*'Specification &amp; Data'!B$11*(('Acceleration &amp; Deceleration'!G13/3.6)^2))/2</f>
        <v>36.178609949977748</v>
      </c>
      <c r="N15" s="38">
        <f>('Specification &amp; Data'!B$23*'Specification &amp; Data'!B$21*'Specification &amp; Data'!B$11*(('Acceleration &amp; Deceleration'!H13/3.6)^2))/2</f>
        <v>62.055539539173047</v>
      </c>
      <c r="O15" s="15">
        <f>('Specification &amp; Data'!B$21*'Specification &amp; Data'!B$23*'Specification &amp; Data'!B$11*('Acceleration &amp; Deceleration'!F13/3.6-'Specification &amp; Data'!B$22)^2)/2</f>
        <v>8.3052654239125232</v>
      </c>
      <c r="P15" s="15">
        <f>('Specification &amp; Data'!B$21*'Specification &amp; Data'!B$23*'Specification &amp; Data'!B$11*('Acceleration &amp; Deceleration'!G13/3.6-'Specification &amp; Data'!B$22)^2)/2</f>
        <v>20.122849684691136</v>
      </c>
      <c r="Q15" s="15">
        <f>('Specification &amp; Data'!B$21*'Specification &amp; Data'!B$23*'Specification &amp; Data'!B$11*('Acceleration &amp; Deceleration'!H13/3.6-'Specification &amp; Data'!B$22)^2)/2</f>
        <v>40.303681332609045</v>
      </c>
    </row>
    <row r="16" spans="2:17">
      <c r="B16" s="12">
        <f t="shared" si="0"/>
        <v>6000</v>
      </c>
      <c r="C16" s="12">
        <f>('Specification &amp; Data'!B$23*'Specification &amp; Data'!B$21*'Specification &amp; Data'!B$11*(('Acceleration &amp; Deceleration'!F14/3.6)^2))/2</f>
        <v>23.154310367985762</v>
      </c>
      <c r="D16" s="12">
        <f>('Specification &amp; Data'!B$23*'Specification &amp; Data'!B$21*'Specification &amp; Data'!B$11*(('Acceleration &amp; Deceleration'!G14/3.6)^2))/2</f>
        <v>43.05553580823797</v>
      </c>
      <c r="E16" s="12">
        <f>('Specification &amp; Data'!B$23*'Specification &amp; Data'!B$21*'Specification &amp; Data'!B$11*(('Acceleration &amp; Deceleration'!H14/3.6)^2))/2</f>
        <v>73.851220608602645</v>
      </c>
      <c r="F16" s="38">
        <f>('Specification &amp; Data'!B$23*'Specification &amp; Data'!B$21*'Specification &amp; Data'!B$11*(('Acceleration &amp; Deceleration'!F14/3.6)^2))/2</f>
        <v>23.154310367985762</v>
      </c>
      <c r="G16" s="38">
        <f>('Specification &amp; Data'!B$23*'Specification &amp; Data'!B$21*'Specification &amp; Data'!B$11*(('Acceleration &amp; Deceleration'!G14/3.6)^2))/2</f>
        <v>43.05553580823797</v>
      </c>
      <c r="H16" s="38">
        <f>('Specification &amp; Data'!B$23*'Specification &amp; Data'!B$21*'Specification &amp; Data'!B$11*(('Acceleration &amp; Deceleration'!H14/3.6)^2))/2</f>
        <v>73.851220608602645</v>
      </c>
      <c r="I16" s="15">
        <f>('Specification &amp; Data'!B$21*'Specification &amp; Data'!B$23*'Specification &amp; Data'!B$11*('Acceleration &amp; Deceleration'!F14/3.6+'Specification &amp; Data'!B$22)^2)/2</f>
        <v>40.207119386374046</v>
      </c>
      <c r="J16" s="15">
        <f>('Specification &amp; Data'!B$21*'Specification &amp; Data'!B$23*'Specification &amp; Data'!B$11*('Acceleration &amp; Deceleration'!G14/3.6+'Specification &amp; Data'!B$22)^2)/2</f>
        <v>65.459224710856532</v>
      </c>
      <c r="K16" s="15">
        <f>('Specification &amp; Data'!B$21*'Specification &amp; Data'!B$23*'Specification &amp; Data'!B$11*('Acceleration &amp; Deceleration'!H14/3.6+'Specification &amp; Data'!B$22)^2)/2</f>
        <v>102.46883453806929</v>
      </c>
      <c r="L16" s="38">
        <f>('Specification &amp; Data'!B$23*'Specification &amp; Data'!B$21*'Specification &amp; Data'!B$11*(('Acceleration &amp; Deceleration'!F14/3.6)^2))/2</f>
        <v>23.154310367985762</v>
      </c>
      <c r="M16" s="38">
        <f>('Specification &amp; Data'!B$23*'Specification &amp; Data'!B$21*'Specification &amp; Data'!B$11*(('Acceleration &amp; Deceleration'!G14/3.6)^2))/2</f>
        <v>43.05553580823797</v>
      </c>
      <c r="N16" s="38">
        <f>('Specification &amp; Data'!B$23*'Specification &amp; Data'!B$21*'Specification &amp; Data'!B$11*(('Acceleration &amp; Deceleration'!H14/3.6)^2))/2</f>
        <v>73.851220608602645</v>
      </c>
      <c r="O16" s="15">
        <f>('Specification &amp; Data'!B$21*'Specification &amp; Data'!B$23*'Specification &amp; Data'!B$11*('Acceleration &amp; Deceleration'!F14/3.6-'Specification &amp; Data'!B$22)^2)/2</f>
        <v>10.777280023107474</v>
      </c>
      <c r="P16" s="15">
        <f>('Specification &amp; Data'!B$21*'Specification &amp; Data'!B$23*'Specification &amp; Data'!B$11*('Acceleration &amp; Deceleration'!G14/3.6-'Specification &amp; Data'!B$22)^2)/2</f>
        <v>25.327625579129396</v>
      </c>
      <c r="Q16" s="15">
        <f>('Specification &amp; Data'!B$21*'Specification &amp; Data'!B$23*'Specification &amp; Data'!B$11*('Acceleration &amp; Deceleration'!H14/3.6-'Specification &amp; Data'!B$22)^2)/2</f>
        <v>49.909385352645998</v>
      </c>
    </row>
    <row r="17" spans="2:17">
      <c r="B17" s="12">
        <f t="shared" si="0"/>
        <v>6500</v>
      </c>
      <c r="C17" s="12">
        <f>('Specification &amp; Data'!B$23*'Specification &amp; Data'!B$21*'Specification &amp; Data'!B$11*(('Acceleration &amp; Deceleration'!F15/3.6)^2))/2</f>
        <v>27.174155917983285</v>
      </c>
      <c r="D17" s="12">
        <f>('Specification &amp; Data'!B$23*'Specification &amp; Data'!B$21*'Specification &amp; Data'!B$11*(('Acceleration &amp; Deceleration'!G15/3.6)^2))/2</f>
        <v>50.530455219390383</v>
      </c>
      <c r="E17" s="12">
        <f>('Specification &amp; Data'!B$23*'Specification &amp; Data'!B$21*'Specification &amp; Data'!B$11*(('Acceleration &amp; Deceleration'!H15/3.6)^2))/2</f>
        <v>86.672613075373903</v>
      </c>
      <c r="F17" s="38">
        <f>('Specification &amp; Data'!B$23*'Specification &amp; Data'!B$21*'Specification &amp; Data'!B$11*(('Acceleration &amp; Deceleration'!F15/3.6)^2))/2</f>
        <v>27.174155917983285</v>
      </c>
      <c r="G17" s="38">
        <f>('Specification &amp; Data'!B$23*'Specification &amp; Data'!B$21*'Specification &amp; Data'!B$11*(('Acceleration &amp; Deceleration'!G15/3.6)^2))/2</f>
        <v>50.530455219390383</v>
      </c>
      <c r="H17" s="38">
        <f>('Specification &amp; Data'!B$23*'Specification &amp; Data'!B$21*'Specification &amp; Data'!B$11*(('Acceleration &amp; Deceleration'!H15/3.6)^2))/2</f>
        <v>86.672613075373903</v>
      </c>
      <c r="I17" s="15">
        <f>('Specification &amp; Data'!B$21*'Specification &amp; Data'!B$23*'Specification &amp; Data'!B$11*('Acceleration &amp; Deceleration'!F15/3.6+'Specification &amp; Data'!B$22)^2)/2</f>
        <v>45.453208243174345</v>
      </c>
      <c r="J17" s="15">
        <f>('Specification &amp; Data'!B$21*'Specification &amp; Data'!B$23*'Specification &amp; Data'!B$11*('Acceleration &amp; Deceleration'!G15/3.6+'Specification &amp; Data'!B$22)^2)/2</f>
        <v>74.60629408583091</v>
      </c>
      <c r="K17" s="15">
        <f>('Specification &amp; Data'!B$21*'Specification &amp; Data'!B$23*'Specification &amp; Data'!B$11*('Acceleration &amp; Deceleration'!H15/3.6+'Specification &amp; Data'!B$22)^2)/2</f>
        <v>117.48020405423318</v>
      </c>
      <c r="L17" s="38">
        <f>('Specification &amp; Data'!B$23*'Specification &amp; Data'!B$21*'Specification &amp; Data'!B$11*(('Acceleration &amp; Deceleration'!F15/3.6)^2))/2</f>
        <v>27.174155917983285</v>
      </c>
      <c r="M17" s="38">
        <f>('Specification &amp; Data'!B$23*'Specification &amp; Data'!B$21*'Specification &amp; Data'!B$11*(('Acceleration &amp; Deceleration'!G15/3.6)^2))/2</f>
        <v>50.530455219390383</v>
      </c>
      <c r="N17" s="38">
        <f>('Specification &amp; Data'!B$23*'Specification &amp; Data'!B$21*'Specification &amp; Data'!B$11*(('Acceleration &amp; Deceleration'!H15/3.6)^2))/2</f>
        <v>86.672613075373903</v>
      </c>
      <c r="O17" s="15">
        <f>('Specification &amp; Data'!B$21*'Specification &amp; Data'!B$23*'Specification &amp; Data'!B$11*('Acceleration &amp; Deceleration'!F15/3.6-'Specification &amp; Data'!B$22)^2)/2</f>
        <v>13.570882266302227</v>
      </c>
      <c r="P17" s="15">
        <f>('Specification &amp; Data'!B$21*'Specification &amp; Data'!B$23*'Specification &amp; Data'!B$11*('Acceleration &amp; Deceleration'!G15/3.6-'Specification &amp; Data'!B$22)^2)/2</f>
        <v>31.130395026459851</v>
      </c>
      <c r="Q17" s="15">
        <f>('Specification &amp; Data'!B$21*'Specification &amp; Data'!B$23*'Specification &amp; Data'!B$11*('Acceleration &amp; Deceleration'!H15/3.6-'Specification &amp; Data'!B$22)^2)/2</f>
        <v>60.540800770024639</v>
      </c>
    </row>
    <row r="18" spans="2:17">
      <c r="B18" s="15"/>
      <c r="C18" s="15"/>
      <c r="D18" s="15"/>
      <c r="E18" s="15"/>
      <c r="F18" s="15"/>
      <c r="G18" s="15"/>
      <c r="H18" s="15"/>
      <c r="I18" s="15"/>
      <c r="J18" s="15"/>
      <c r="K18" s="15"/>
      <c r="O18" s="15"/>
      <c r="P18" s="15"/>
      <c r="Q18" s="15"/>
    </row>
    <row r="19" spans="2:17" s="15" customFormat="1">
      <c r="B19" s="12"/>
      <c r="C19" s="12"/>
      <c r="D19" s="12"/>
      <c r="E19" s="12"/>
      <c r="F19" s="12"/>
      <c r="G19" s="12"/>
      <c r="H19" s="12"/>
      <c r="I19" s="12"/>
      <c r="J19" s="12"/>
      <c r="K19" s="12"/>
      <c r="O19" s="12"/>
      <c r="P19" s="12"/>
      <c r="Q19" s="12"/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B2:Q35"/>
  <sheetViews>
    <sheetView topLeftCell="A7" zoomScale="80" zoomScaleNormal="80" workbookViewId="0">
      <selection activeCell="O13" sqref="O13"/>
    </sheetView>
  </sheetViews>
  <sheetFormatPr defaultRowHeight="15"/>
  <cols>
    <col min="1" max="1" width="9.140625" style="15"/>
    <col min="2" max="10" width="12" style="15" customWidth="1"/>
    <col min="11" max="17" width="13" style="15" customWidth="1"/>
    <col min="18" max="16384" width="9.140625" style="15"/>
  </cols>
  <sheetData>
    <row r="2" spans="2:17" ht="18.75">
      <c r="B2" s="83" t="s">
        <v>116</v>
      </c>
    </row>
    <row r="3" spans="2:17" s="38" customFormat="1" ht="18.75">
      <c r="B3" s="17"/>
    </row>
    <row r="4" spans="2:17">
      <c r="C4" s="21" t="s">
        <v>65</v>
      </c>
      <c r="D4" s="21"/>
      <c r="E4" s="21"/>
      <c r="F4" s="22" t="s">
        <v>66</v>
      </c>
      <c r="G4" s="22"/>
      <c r="H4" s="22"/>
      <c r="I4" s="23" t="s">
        <v>67</v>
      </c>
      <c r="J4" s="23"/>
      <c r="K4" s="23"/>
      <c r="L4" s="24" t="s">
        <v>68</v>
      </c>
      <c r="M4" s="24"/>
      <c r="N4" s="24"/>
      <c r="O4" s="25" t="s">
        <v>69</v>
      </c>
      <c r="P4" s="25"/>
      <c r="Q4" s="25"/>
    </row>
    <row r="5" spans="2:17">
      <c r="B5" s="15" t="s">
        <v>96</v>
      </c>
      <c r="C5" s="21" t="s">
        <v>22</v>
      </c>
      <c r="D5" s="21" t="s">
        <v>24</v>
      </c>
      <c r="E5" s="21" t="s">
        <v>26</v>
      </c>
      <c r="F5" s="22" t="s">
        <v>22</v>
      </c>
      <c r="G5" s="22" t="s">
        <v>24</v>
      </c>
      <c r="H5" s="22" t="s">
        <v>26</v>
      </c>
      <c r="I5" s="23" t="s">
        <v>22</v>
      </c>
      <c r="J5" s="23" t="s">
        <v>24</v>
      </c>
      <c r="K5" s="23" t="s">
        <v>26</v>
      </c>
      <c r="L5" s="24" t="s">
        <v>22</v>
      </c>
      <c r="M5" s="24" t="s">
        <v>24</v>
      </c>
      <c r="N5" s="24" t="s">
        <v>26</v>
      </c>
      <c r="O5" s="25" t="s">
        <v>22</v>
      </c>
      <c r="P5" s="25" t="s">
        <v>24</v>
      </c>
      <c r="Q5" s="25" t="s">
        <v>26</v>
      </c>
    </row>
    <row r="6" spans="2:17">
      <c r="B6" s="3">
        <v>1000</v>
      </c>
      <c r="C6" s="21">
        <f>'Specification &amp; Data'!E$14+'Specification &amp; Data'!E$24+'Aerodynamic Resistance'!C6</f>
        <v>588.69851427799972</v>
      </c>
      <c r="D6" s="21">
        <f>'Specification &amp; Data'!E$15+'Specification &amp; Data'!E$25+'Aerodynamic Resistance'!D6</f>
        <v>589.25132609578452</v>
      </c>
      <c r="E6" s="21">
        <f>'Specification &amp; Data'!E$16+'Specification &amp; Data'!E$26+'Aerodynamic Resistance'!E6</f>
        <v>590.1067617846835</v>
      </c>
      <c r="F6" s="22">
        <f>'Specification &amp; Data'!F$14+'Aerodynamic Resistance'!F6</f>
        <v>103.00267728799962</v>
      </c>
      <c r="G6" s="22">
        <f>'Specification &amp; Data'!F$15+'Aerodynamic Resistance'!G6</f>
        <v>103.55548910578439</v>
      </c>
      <c r="H6" s="22">
        <f>'Specification &amp; Data'!F$16+'Aerodynamic Resistance'!H6</f>
        <v>104.41092479468341</v>
      </c>
      <c r="I6" s="23">
        <f>'Specification &amp; Data'!G$14+'Aerodynamic Resistance'!I6</f>
        <v>107.79305323836016</v>
      </c>
      <c r="J6" s="23">
        <f>'Specification &amp; Data'!G$15+'Aerodynamic Resistance'!J6</f>
        <v>109.23767837018332</v>
      </c>
      <c r="K6" s="23">
        <f>'Specification &amp; Data'!G$16+'Aerodynamic Resistance'!K6</f>
        <v>111.12876823022368</v>
      </c>
      <c r="L6" s="24">
        <f>'Specification &amp; Data'!H$14+'Aerodynamic Resistance'!L6</f>
        <v>103.00267728799962</v>
      </c>
      <c r="M6" s="24">
        <f>'Specification &amp; Data'!H$15+'Aerodynamic Resistance'!M6</f>
        <v>103.55548910578439</v>
      </c>
      <c r="N6" s="24">
        <f>'Specification &amp; Data'!H$16+'Aerodynamic Resistance'!N6</f>
        <v>104.41092479468341</v>
      </c>
      <c r="O6" s="25">
        <f>'Specification &amp; Data'!I$14+'Specification &amp; Data'!I$24+'Aerodynamic Resistance'!O6</f>
        <v>-75.72925097885097</v>
      </c>
      <c r="P6" s="25">
        <f>'Specification &amp; Data'!I$15+'Specification &amp; Data'!I$25+'Aerodynamic Resistance'!P6</f>
        <v>-76.068252475104558</v>
      </c>
      <c r="Q6" s="25">
        <f>'Specification &amp; Data'!I$16+'Specification &amp; Data'!I$26+'Aerodynamic Resistance'!Q6</f>
        <v>-76.248470957346882</v>
      </c>
    </row>
    <row r="7" spans="2:17">
      <c r="B7" s="5">
        <f t="shared" ref="B7:B17" si="0">B6+500</f>
        <v>1500</v>
      </c>
      <c r="C7" s="21">
        <f>'Specification &amp; Data'!E$14+'Specification &amp; Data'!E$24+'Aerodynamic Resistance'!C7</f>
        <v>589.50248338799918</v>
      </c>
      <c r="D7" s="21">
        <f>'Specification &amp; Data'!E$15+'Specification &amp; Data'!E$25+'Aerodynamic Resistance'!D7</f>
        <v>590.74630997801501</v>
      </c>
      <c r="E7" s="21">
        <f>'Specification &amp; Data'!E$16+'Specification &amp; Data'!E$26+'Aerodynamic Resistance'!E7</f>
        <v>592.67104027803782</v>
      </c>
      <c r="F7" s="22">
        <f>'Specification &amp; Data'!F$14+'Aerodynamic Resistance'!F7</f>
        <v>103.80664639799912</v>
      </c>
      <c r="G7" s="22">
        <f>'Specification &amp; Data'!F$15+'Aerodynamic Resistance'!G7</f>
        <v>105.05047298801487</v>
      </c>
      <c r="H7" s="22">
        <f>'Specification &amp; Data'!F$16+'Aerodynamic Resistance'!H7</f>
        <v>106.97520328803768</v>
      </c>
      <c r="I7" s="23">
        <f>'Specification &amp; Data'!G$14+'Aerodynamic Resistance'!I7</f>
        <v>109.82326565516243</v>
      </c>
      <c r="J7" s="23">
        <f>'Specification &amp; Data'!G$15+'Aerodynamic Resistance'!J7</f>
        <v>112.40481221623577</v>
      </c>
      <c r="K7" s="23">
        <f>'Specification &amp; Data'!G$16+'Aerodynamic Resistance'!K7</f>
        <v>115.88302377297057</v>
      </c>
      <c r="L7" s="24">
        <f>'Specification &amp; Data'!H$14+'Aerodynamic Resistance'!L7</f>
        <v>103.80664639799912</v>
      </c>
      <c r="M7" s="24">
        <f>'Specification &amp; Data'!H$15+'Aerodynamic Resistance'!M7</f>
        <v>105.05047298801487</v>
      </c>
      <c r="N7" s="24">
        <f>'Specification &amp; Data'!H$16+'Aerodynamic Resistance'!N7</f>
        <v>106.97520328803768</v>
      </c>
      <c r="O7" s="25">
        <f>'Specification &amp; Data'!I$14+'Specification &amp; Data'!I$24+'Aerodynamic Resistance'!O7</f>
        <v>-76.151525175654228</v>
      </c>
      <c r="P7" s="25">
        <f>'Specification &amp; Data'!I$15+'Specification &amp; Data'!I$25+'Aerodynamic Resistance'!P7</f>
        <v>-76.245418556696038</v>
      </c>
      <c r="Q7" s="25">
        <f>'Specification &amp; Data'!I$16+'Specification &amp; Data'!I$26+'Aerodynamic Resistance'!Q7</f>
        <v>-75.874169513385269</v>
      </c>
    </row>
    <row r="8" spans="2:17">
      <c r="B8" s="5">
        <f t="shared" si="0"/>
        <v>2000</v>
      </c>
      <c r="C8" s="21">
        <f>'Specification &amp; Data'!E$14+'Specification &amp; Data'!E$24+'Aerodynamic Resistance'!C8</f>
        <v>590.62804014199855</v>
      </c>
      <c r="D8" s="21">
        <f>'Specification &amp; Data'!E$15+'Specification &amp; Data'!E$25+'Aerodynamic Resistance'!D8</f>
        <v>592.83928741313764</v>
      </c>
      <c r="E8" s="21">
        <f>'Specification &amp; Data'!E$16+'Specification &amp; Data'!E$26+'Aerodynamic Resistance'!E8</f>
        <v>596.26103016873378</v>
      </c>
      <c r="F8" s="22">
        <f>'Specification &amp; Data'!F$14+'Aerodynamic Resistance'!F8</f>
        <v>104.93220315199842</v>
      </c>
      <c r="G8" s="22">
        <f>'Specification &amp; Data'!F$15+'Aerodynamic Resistance'!G8</f>
        <v>107.14345042313757</v>
      </c>
      <c r="H8" s="22">
        <f>'Specification &amp; Data'!F$16+'Aerodynamic Resistance'!H8</f>
        <v>110.56519317873364</v>
      </c>
      <c r="I8" s="23">
        <f>'Specification &amp; Data'!G$14+'Aerodynamic Resistance'!I8</f>
        <v>112.17506571596452</v>
      </c>
      <c r="J8" s="23">
        <f>'Specification &amp; Data'!G$15+'Aerodynamic Resistance'!J8</f>
        <v>116.16993961518041</v>
      </c>
      <c r="K8" s="23">
        <f>'Specification &amp; Data'!G$16+'Aerodynamic Resistance'!K8</f>
        <v>121.66299071305917</v>
      </c>
      <c r="L8" s="24">
        <f>'Specification &amp; Data'!H$14+'Aerodynamic Resistance'!L8</f>
        <v>104.93220315199842</v>
      </c>
      <c r="M8" s="24">
        <f>'Specification &amp; Data'!H$15+'Aerodynamic Resistance'!M8</f>
        <v>107.14345042313757</v>
      </c>
      <c r="N8" s="24">
        <f>'Specification &amp; Data'!H$16+'Aerodynamic Resistance'!N8</f>
        <v>110.56519317873364</v>
      </c>
      <c r="O8" s="25">
        <f>'Specification &amp; Data'!I$14+'Specification &amp; Data'!I$24+'Aerodynamic Resistance'!O8</f>
        <v>-76.252211728457695</v>
      </c>
      <c r="P8" s="25">
        <f>'Specification &amp; Data'!I$15+'Specification &amp; Data'!I$25+'Aerodynamic Resistance'!P8</f>
        <v>-75.824591085395326</v>
      </c>
      <c r="Q8" s="25">
        <f>'Specification &amp; Data'!I$16+'Specification &amp; Data'!I$26+'Aerodynamic Resistance'!Q8</f>
        <v>-74.474156672081946</v>
      </c>
    </row>
    <row r="9" spans="2:17">
      <c r="B9" s="5">
        <f t="shared" si="0"/>
        <v>2500</v>
      </c>
      <c r="C9" s="21">
        <f>'Specification &amp; Data'!E$14+'Specification &amp; Data'!E$24+'Aerodynamic Resistance'!C9</f>
        <v>592.07518453999762</v>
      </c>
      <c r="D9" s="21">
        <f>'Specification &amp; Data'!E$15+'Specification &amp; Data'!E$25+'Aerodynamic Resistance'!D9</f>
        <v>595.53025840115254</v>
      </c>
      <c r="E9" s="21">
        <f>'Specification &amp; Data'!E$16+'Specification &amp; Data'!E$26+'Aerodynamic Resistance'!E9</f>
        <v>600.87673145677138</v>
      </c>
      <c r="F9" s="22">
        <f>'Specification &amp; Data'!F$14+'Aerodynamic Resistance'!F9</f>
        <v>106.37934754999753</v>
      </c>
      <c r="G9" s="22">
        <f>'Specification &amp; Data'!F$15+'Aerodynamic Resistance'!G9</f>
        <v>109.83442141115243</v>
      </c>
      <c r="H9" s="22">
        <f>'Specification &amp; Data'!F$16+'Aerodynamic Resistance'!H9</f>
        <v>115.18089446677129</v>
      </c>
      <c r="I9" s="23">
        <f>'Specification &amp; Data'!G$14+'Aerodynamic Resistance'!I9</f>
        <v>114.8484534207664</v>
      </c>
      <c r="J9" s="23">
        <f>'Specification &amp; Data'!G$15+'Aerodynamic Resistance'!J9</f>
        <v>120.53306056701726</v>
      </c>
      <c r="K9" s="23">
        <f>'Specification &amp; Data'!G$16+'Aerodynamic Resistance'!K9</f>
        <v>128.4686690504895</v>
      </c>
      <c r="L9" s="24">
        <f>'Specification &amp; Data'!H$14+'Aerodynamic Resistance'!L9</f>
        <v>106.37934754999753</v>
      </c>
      <c r="M9" s="24">
        <f>'Specification &amp; Data'!H$15+'Aerodynamic Resistance'!M9</f>
        <v>109.83442141115243</v>
      </c>
      <c r="N9" s="24">
        <f>'Specification &amp; Data'!H$16+'Aerodynamic Resistance'!N9</f>
        <v>115.18089446677129</v>
      </c>
      <c r="O9" s="25">
        <f>'Specification &amp; Data'!I$14+'Specification &amp; Data'!I$24+'Aerodynamic Resistance'!O9</f>
        <v>-76.031310637261356</v>
      </c>
      <c r="P9" s="25">
        <f>'Specification &amp; Data'!I$15+'Specification &amp; Data'!I$25+'Aerodynamic Resistance'!P9</f>
        <v>-74.805770061202409</v>
      </c>
      <c r="Q9" s="25">
        <f>'Specification &amp; Data'!I$16+'Specification &amp; Data'!I$26+'Aerodynamic Resistance'!Q9</f>
        <v>-72.048432433436915</v>
      </c>
    </row>
    <row r="10" spans="2:17">
      <c r="B10" s="5">
        <f t="shared" si="0"/>
        <v>3000</v>
      </c>
      <c r="C10" s="21">
        <f>'Specification &amp; Data'!E$14+'Specification &amp; Data'!E$24+'Aerodynamic Resistance'!C10</f>
        <v>593.8439165819965</v>
      </c>
      <c r="D10" s="21">
        <f>'Specification &amp; Data'!E$15+'Specification &amp; Data'!E$25+'Aerodynamic Resistance'!D10</f>
        <v>598.81922294205958</v>
      </c>
      <c r="E10" s="21">
        <f>'Specification &amp; Data'!E$16+'Specification &amp; Data'!E$26+'Aerodynamic Resistance'!E10</f>
        <v>606.51814414215073</v>
      </c>
      <c r="F10" s="22">
        <f>'Specification &amp; Data'!F$14+'Aerodynamic Resistance'!F10</f>
        <v>108.14807959199645</v>
      </c>
      <c r="G10" s="22">
        <f>'Specification &amp; Data'!F$15+'Aerodynamic Resistance'!G10</f>
        <v>113.12338595205949</v>
      </c>
      <c r="H10" s="22">
        <f>'Specification &amp; Data'!F$16+'Aerodynamic Resistance'!H10</f>
        <v>120.82230715215067</v>
      </c>
      <c r="I10" s="23">
        <f>'Specification &amp; Data'!G$14+'Aerodynamic Resistance'!I10</f>
        <v>117.84342876956809</v>
      </c>
      <c r="J10" s="23">
        <f>'Specification &amp; Data'!G$15+'Aerodynamic Resistance'!J10</f>
        <v>125.49417507174627</v>
      </c>
      <c r="K10" s="23">
        <f>'Specification &amp; Data'!G$16+'Aerodynamic Resistance'!K10</f>
        <v>136.30005878526148</v>
      </c>
      <c r="L10" s="24">
        <f>'Specification &amp; Data'!H$14+'Aerodynamic Resistance'!L10</f>
        <v>108.14807959199645</v>
      </c>
      <c r="M10" s="24">
        <f>'Specification &amp; Data'!H$15+'Aerodynamic Resistance'!M10</f>
        <v>113.12338595205949</v>
      </c>
      <c r="N10" s="24">
        <f>'Specification &amp; Data'!H$16+'Aerodynamic Resistance'!N10</f>
        <v>120.82230715215067</v>
      </c>
      <c r="O10" s="25">
        <f>'Specification &amp; Data'!I$14+'Specification &amp; Data'!I$24+'Aerodynamic Resistance'!O10</f>
        <v>-75.488821902065226</v>
      </c>
      <c r="P10" s="25">
        <f>'Specification &amp; Data'!I$15+'Specification &amp; Data'!I$25+'Aerodynamic Resistance'!P10</f>
        <v>-73.188955484117315</v>
      </c>
      <c r="Q10" s="25">
        <f>'Specification &amp; Data'!I$16+'Specification &amp; Data'!I$26+'Aerodynamic Resistance'!Q10</f>
        <v>-68.596996797450174</v>
      </c>
    </row>
    <row r="11" spans="2:17">
      <c r="B11" s="5">
        <f t="shared" si="0"/>
        <v>3500</v>
      </c>
      <c r="C11" s="21">
        <f>'Specification &amp; Data'!E$14+'Specification &amp; Data'!E$24+'Aerodynamic Resistance'!C11</f>
        <v>595.93423626799529</v>
      </c>
      <c r="D11" s="21">
        <f>'Specification &amp; Data'!E$15+'Specification &amp; Data'!E$25+'Aerodynamic Resistance'!D11</f>
        <v>602.70618103585889</v>
      </c>
      <c r="E11" s="21">
        <f>'Specification &amp; Data'!E$16+'Specification &amp; Data'!E$26+'Aerodynamic Resistance'!E11</f>
        <v>613.18526822487183</v>
      </c>
      <c r="F11" s="22">
        <f>'Specification &amp; Data'!F$14+'Aerodynamic Resistance'!F11</f>
        <v>110.23839927799516</v>
      </c>
      <c r="G11" s="22">
        <f>'Specification &amp; Data'!F$15+'Aerodynamic Resistance'!G11</f>
        <v>117.01034404585876</v>
      </c>
      <c r="H11" s="22">
        <f>'Specification &amp; Data'!F$16+'Aerodynamic Resistance'!H11</f>
        <v>127.48943123487174</v>
      </c>
      <c r="I11" s="23">
        <f>'Specification &amp; Data'!G$14+'Aerodynamic Resistance'!I11</f>
        <v>121.15999176236957</v>
      </c>
      <c r="J11" s="23">
        <f>'Specification &amp; Data'!G$15+'Aerodynamic Resistance'!J11</f>
        <v>131.05328312936751</v>
      </c>
      <c r="K11" s="23">
        <f>'Specification &amp; Data'!G$16+'Aerodynamic Resistance'!K11</f>
        <v>145.1571599173752</v>
      </c>
      <c r="L11" s="24">
        <f>'Specification &amp; Data'!H$14+'Aerodynamic Resistance'!L11</f>
        <v>110.23839927799516</v>
      </c>
      <c r="M11" s="24">
        <f>'Specification &amp; Data'!H$15+'Aerodynamic Resistance'!M11</f>
        <v>117.01034404585876</v>
      </c>
      <c r="N11" s="24">
        <f>'Specification &amp; Data'!H$16+'Aerodynamic Resistance'!N11</f>
        <v>127.48943123487174</v>
      </c>
      <c r="O11" s="25">
        <f>'Specification &amp; Data'!I$14+'Specification &amp; Data'!I$24+'Aerodynamic Resistance'!O11</f>
        <v>-74.62474552286929</v>
      </c>
      <c r="P11" s="25">
        <f>'Specification &amp; Data'!I$15+'Specification &amp; Data'!I$25+'Aerodynamic Resistance'!P11</f>
        <v>-70.974147354140015</v>
      </c>
      <c r="Q11" s="25">
        <f>'Specification &amp; Data'!I$16+'Specification &amp; Data'!I$26+'Aerodynamic Resistance'!Q11</f>
        <v>-64.119849764121739</v>
      </c>
    </row>
    <row r="12" spans="2:17">
      <c r="B12" s="5">
        <f t="shared" si="0"/>
        <v>4000</v>
      </c>
      <c r="C12" s="21">
        <f>'Specification &amp; Data'!E$14+'Specification &amp; Data'!E$24+'Aerodynamic Resistance'!C12</f>
        <v>598.34614359799377</v>
      </c>
      <c r="D12" s="21">
        <f>'Specification &amp; Data'!E$15+'Specification &amp; Data'!E$25+'Aerodynamic Resistance'!D12</f>
        <v>607.19113268255035</v>
      </c>
      <c r="E12" s="21">
        <f>'Specification &amp; Data'!E$16+'Specification &amp; Data'!E$26+'Aerodynamic Resistance'!E12</f>
        <v>620.87810370493457</v>
      </c>
      <c r="F12" s="22">
        <f>'Specification &amp; Data'!F$14+'Aerodynamic Resistance'!F12</f>
        <v>112.65030660799368</v>
      </c>
      <c r="G12" s="22">
        <f>'Specification &amp; Data'!F$15+'Aerodynamic Resistance'!G12</f>
        <v>121.49529569255021</v>
      </c>
      <c r="H12" s="22">
        <f>'Specification &amp; Data'!F$16+'Aerodynamic Resistance'!H12</f>
        <v>135.18226671493451</v>
      </c>
      <c r="I12" s="23">
        <f>'Specification &amp; Data'!G$14+'Aerodynamic Resistance'!I12</f>
        <v>124.79814239917087</v>
      </c>
      <c r="J12" s="23">
        <f>'Specification &amp; Data'!G$15+'Aerodynamic Resistance'!J12</f>
        <v>137.21038473988094</v>
      </c>
      <c r="K12" s="23">
        <f>'Specification &amp; Data'!G$16+'Aerodynamic Resistance'!K12</f>
        <v>155.0399724468306</v>
      </c>
      <c r="L12" s="24">
        <f>'Specification &amp; Data'!H$14+'Aerodynamic Resistance'!L12</f>
        <v>112.65030660799368</v>
      </c>
      <c r="M12" s="24">
        <f>'Specification &amp; Data'!H$15+'Aerodynamic Resistance'!M12</f>
        <v>121.49529569255021</v>
      </c>
      <c r="N12" s="24">
        <f>'Specification &amp; Data'!H$16+'Aerodynamic Resistance'!N12</f>
        <v>135.18226671493451</v>
      </c>
      <c r="O12" s="25">
        <f>'Specification &amp; Data'!I$14+'Specification &amp; Data'!I$24+'Aerodynamic Resistance'!O12</f>
        <v>-73.439081499673534</v>
      </c>
      <c r="P12" s="25">
        <f>'Specification &amp; Data'!I$15+'Specification &amp; Data'!I$25+'Aerodynamic Resistance'!P12</f>
        <v>-68.161345671270524</v>
      </c>
      <c r="Q12" s="25">
        <f>'Specification &amp; Data'!I$16+'Specification &amp; Data'!I$26+'Aerodynamic Resistance'!Q12</f>
        <v>-58.616991333451608</v>
      </c>
    </row>
    <row r="13" spans="2:17">
      <c r="B13" s="5">
        <f t="shared" si="0"/>
        <v>4500</v>
      </c>
      <c r="C13" s="21">
        <f>'Specification &amp; Data'!E$14+'Specification &amp; Data'!E$24+'Aerodynamic Resistance'!C13</f>
        <v>601.07963857199206</v>
      </c>
      <c r="D13" s="21">
        <f>'Specification &amp; Data'!E$15+'Specification &amp; Data'!E$25+'Aerodynamic Resistance'!D13</f>
        <v>612.27407788213395</v>
      </c>
      <c r="E13" s="21">
        <f>'Specification &amp; Data'!E$16+'Specification &amp; Data'!E$26+'Aerodynamic Resistance'!E13</f>
        <v>629.59665058233907</v>
      </c>
      <c r="F13" s="22">
        <f>'Specification &amp; Data'!F$14+'Aerodynamic Resistance'!F13</f>
        <v>115.383801581992</v>
      </c>
      <c r="G13" s="22">
        <f>'Specification &amp; Data'!F$15+'Aerodynamic Resistance'!G13</f>
        <v>126.57824089213386</v>
      </c>
      <c r="H13" s="22">
        <f>'Specification &amp; Data'!F$16+'Aerodynamic Resistance'!H13</f>
        <v>143.90081359233898</v>
      </c>
      <c r="I13" s="23">
        <f>'Specification &amp; Data'!G$14+'Aerodynamic Resistance'!I13</f>
        <v>128.75788067997195</v>
      </c>
      <c r="J13" s="23">
        <f>'Specification &amp; Data'!G$15+'Aerodynamic Resistance'!J13</f>
        <v>143.96547990328654</v>
      </c>
      <c r="K13" s="23">
        <f>'Specification &amp; Data'!G$16+'Aerodynamic Resistance'!K13</f>
        <v>165.94849637362771</v>
      </c>
      <c r="L13" s="24">
        <f>'Specification &amp; Data'!H$14+'Aerodynamic Resistance'!L13</f>
        <v>115.383801581992</v>
      </c>
      <c r="M13" s="24">
        <f>'Specification &amp; Data'!H$15+'Aerodynamic Resistance'!M13</f>
        <v>126.57824089213386</v>
      </c>
      <c r="N13" s="24">
        <f>'Specification &amp; Data'!H$16+'Aerodynamic Resistance'!N13</f>
        <v>143.90081359233898</v>
      </c>
      <c r="O13" s="25">
        <f>'Specification &amp; Data'!I$14+'Specification &amp; Data'!I$24+'Aerodynamic Resistance'!O13</f>
        <v>-71.931829832477987</v>
      </c>
      <c r="P13" s="25">
        <f>'Specification &amp; Data'!I$15+'Specification &amp; Data'!I$25+'Aerodynamic Resistance'!P13</f>
        <v>-64.750550435508842</v>
      </c>
      <c r="Q13" s="25">
        <f>'Specification &amp; Data'!I$16+'Specification &amp; Data'!I$26+'Aerodynamic Resistance'!Q13</f>
        <v>-52.088421505439783</v>
      </c>
    </row>
    <row r="14" spans="2:17">
      <c r="B14" s="5">
        <f t="shared" si="0"/>
        <v>5000</v>
      </c>
      <c r="C14" s="21">
        <f>'Specification &amp; Data'!E$14+'Specification &amp; Data'!E$24+'Aerodynamic Resistance'!C14</f>
        <v>604.13472118999027</v>
      </c>
      <c r="D14" s="21">
        <f>'Specification &amp; Data'!E$15+'Specification &amp; Data'!E$25+'Aerodynamic Resistance'!D14</f>
        <v>617.95501663460982</v>
      </c>
      <c r="E14" s="21">
        <f>'Specification &amp; Data'!E$16+'Specification &amp; Data'!E$26+'Aerodynamic Resistance'!E14</f>
        <v>639.34090885708531</v>
      </c>
      <c r="F14" s="22">
        <f>'Specification &amp; Data'!F$14+'Aerodynamic Resistance'!F14</f>
        <v>118.43888419999011</v>
      </c>
      <c r="G14" s="22">
        <f>'Specification &amp; Data'!F$15+'Aerodynamic Resistance'!G14</f>
        <v>132.2591796446097</v>
      </c>
      <c r="H14" s="22">
        <f>'Specification &amp; Data'!F$16+'Aerodynamic Resistance'!H14</f>
        <v>153.64507186708516</v>
      </c>
      <c r="I14" s="23">
        <f>'Specification &amp; Data'!G$14+'Aerodynamic Resistance'!I14</f>
        <v>133.03920660477286</v>
      </c>
      <c r="J14" s="23">
        <f>'Specification &amp; Data'!G$15+'Aerodynamic Resistance'!J14</f>
        <v>151.31856861958434</v>
      </c>
      <c r="K14" s="23">
        <f>'Specification &amp; Data'!G$16+'Aerodynamic Resistance'!K14</f>
        <v>177.88273169776653</v>
      </c>
      <c r="L14" s="24">
        <f>'Specification &amp; Data'!H$14+'Aerodynamic Resistance'!L14</f>
        <v>118.43888419999011</v>
      </c>
      <c r="M14" s="24">
        <f>'Specification &amp; Data'!H$15+'Aerodynamic Resistance'!M14</f>
        <v>132.2591796446097</v>
      </c>
      <c r="N14" s="24">
        <f>'Specification &amp; Data'!H$16+'Aerodynamic Resistance'!N14</f>
        <v>153.64507186708516</v>
      </c>
      <c r="O14" s="25">
        <f>'Specification &amp; Data'!I$14+'Specification &amp; Data'!I$24+'Aerodynamic Resistance'!O14</f>
        <v>-70.102990521282649</v>
      </c>
      <c r="P14" s="25">
        <f>'Specification &amp; Data'!I$15+'Specification &amp; Data'!I$25+'Aerodynamic Resistance'!P14</f>
        <v>-60.741761646854961</v>
      </c>
      <c r="Q14" s="25">
        <f>'Specification &amp; Data'!I$16+'Specification &amp; Data'!I$26+'Aerodynamic Resistance'!Q14</f>
        <v>-44.53414028008622</v>
      </c>
    </row>
    <row r="15" spans="2:17">
      <c r="B15" s="5">
        <f t="shared" si="0"/>
        <v>5500</v>
      </c>
      <c r="C15" s="21">
        <f>'Specification &amp; Data'!E$14+'Specification &amp; Data'!E$24+'Aerodynamic Resistance'!C15</f>
        <v>607.51139145198817</v>
      </c>
      <c r="D15" s="21">
        <f>'Specification &amp; Data'!E$15+'Specification &amp; Data'!E$25+'Aerodynamic Resistance'!D15</f>
        <v>624.23394893997784</v>
      </c>
      <c r="E15" s="21">
        <f>'Specification &amp; Data'!E$16+'Specification &amp; Data'!E$26+'Aerodynamic Resistance'!E15</f>
        <v>650.11087852917319</v>
      </c>
      <c r="F15" s="22">
        <f>'Specification &amp; Data'!F$14+'Aerodynamic Resistance'!F15</f>
        <v>121.81555446198804</v>
      </c>
      <c r="G15" s="22">
        <f>'Specification &amp; Data'!F$15+'Aerodynamic Resistance'!G15</f>
        <v>138.53811194997775</v>
      </c>
      <c r="H15" s="22">
        <f>'Specification &amp; Data'!F$16+'Aerodynamic Resistance'!H15</f>
        <v>164.41504153917305</v>
      </c>
      <c r="I15" s="23">
        <f>'Specification &amp; Data'!G$14+'Aerodynamic Resistance'!I15</f>
        <v>137.64212017357355</v>
      </c>
      <c r="J15" s="23">
        <f>'Specification &amp; Data'!G$15+'Aerodynamic Resistance'!J15</f>
        <v>159.26965088877435</v>
      </c>
      <c r="K15" s="23">
        <f>'Specification &amp; Data'!G$16+'Aerodynamic Resistance'!K15</f>
        <v>190.84267841924708</v>
      </c>
      <c r="L15" s="24">
        <f>'Specification &amp; Data'!H$14+'Aerodynamic Resistance'!L15</f>
        <v>121.81555446198804</v>
      </c>
      <c r="M15" s="24">
        <f>'Specification &amp; Data'!H$15+'Aerodynamic Resistance'!M15</f>
        <v>138.53811194997775</v>
      </c>
      <c r="N15" s="24">
        <f>'Specification &amp; Data'!H$16+'Aerodynamic Resistance'!N15</f>
        <v>164.41504153917305</v>
      </c>
      <c r="O15" s="25">
        <f>'Specification &amp; Data'!I$14+'Specification &amp; Data'!I$24+'Aerodynamic Resistance'!O15</f>
        <v>-67.952563566087491</v>
      </c>
      <c r="P15" s="25">
        <f>'Specification &amp; Data'!I$15+'Specification &amp; Data'!I$25+'Aerodynamic Resistance'!P15</f>
        <v>-56.134979305308889</v>
      </c>
      <c r="Q15" s="25">
        <f>'Specification &amp; Data'!I$16+'Specification &amp; Data'!I$26+'Aerodynamic Resistance'!Q15</f>
        <v>-35.954147657390976</v>
      </c>
    </row>
    <row r="16" spans="2:17">
      <c r="B16" s="5">
        <f t="shared" si="0"/>
        <v>6000</v>
      </c>
      <c r="C16" s="21">
        <f>'Specification &amp; Data'!E$14+'Specification &amp; Data'!E$24+'Aerodynamic Resistance'!C16</f>
        <v>611.20964935798588</v>
      </c>
      <c r="D16" s="21">
        <f>'Specification &amp; Data'!E$15+'Specification &amp; Data'!E$25+'Aerodynamic Resistance'!D16</f>
        <v>631.11087479823811</v>
      </c>
      <c r="E16" s="21">
        <f>'Specification &amp; Data'!E$16+'Specification &amp; Data'!E$26+'Aerodynamic Resistance'!E16</f>
        <v>661.90655959860271</v>
      </c>
      <c r="F16" s="22">
        <f>'Specification &amp; Data'!F$14+'Aerodynamic Resistance'!F16</f>
        <v>125.51381236798576</v>
      </c>
      <c r="G16" s="22">
        <f>'Specification &amp; Data'!F$15+'Aerodynamic Resistance'!G16</f>
        <v>145.41503780823797</v>
      </c>
      <c r="H16" s="22">
        <f>'Specification &amp; Data'!F$16+'Aerodynamic Resistance'!H16</f>
        <v>176.21072260860265</v>
      </c>
      <c r="I16" s="23">
        <f>'Specification &amp; Data'!G$14+'Aerodynamic Resistance'!I16</f>
        <v>142.56662138637404</v>
      </c>
      <c r="J16" s="23">
        <f>'Specification &amp; Data'!G$15+'Aerodynamic Resistance'!J16</f>
        <v>167.81872671085654</v>
      </c>
      <c r="K16" s="23">
        <f>'Specification &amp; Data'!G$16+'Aerodynamic Resistance'!K16</f>
        <v>204.82833653806929</v>
      </c>
      <c r="L16" s="24">
        <f>'Specification &amp; Data'!H$14+'Aerodynamic Resistance'!L16</f>
        <v>125.51381236798576</v>
      </c>
      <c r="M16" s="24">
        <f>'Specification &amp; Data'!H$15+'Aerodynamic Resistance'!M16</f>
        <v>145.41503780823797</v>
      </c>
      <c r="N16" s="24">
        <f>'Specification &amp; Data'!H$16+'Aerodynamic Resistance'!N16</f>
        <v>176.21072260860265</v>
      </c>
      <c r="O16" s="25">
        <f>'Specification &amp; Data'!I$14+'Specification &amp; Data'!I$24+'Aerodynamic Resistance'!O16</f>
        <v>-65.480548966892542</v>
      </c>
      <c r="P16" s="25">
        <f>'Specification &amp; Data'!I$15+'Specification &amp; Data'!I$25+'Aerodynamic Resistance'!P16</f>
        <v>-50.930203410870625</v>
      </c>
      <c r="Q16" s="25">
        <f>'Specification &amp; Data'!I$16+'Specification &amp; Data'!I$26+'Aerodynamic Resistance'!Q16</f>
        <v>-26.348443637354023</v>
      </c>
    </row>
    <row r="17" spans="2:17">
      <c r="B17" s="5">
        <f t="shared" si="0"/>
        <v>6500</v>
      </c>
      <c r="C17" s="21">
        <f>'Specification &amp; Data'!E$14+'Specification &amp; Data'!E$24+'Aerodynamic Resistance'!C17</f>
        <v>615.22949490798339</v>
      </c>
      <c r="D17" s="21">
        <f>'Specification &amp; Data'!E$15+'Specification &amp; Data'!E$25+'Aerodynamic Resistance'!D17</f>
        <v>638.58579420939054</v>
      </c>
      <c r="E17" s="21">
        <f>'Specification &amp; Data'!E$16+'Specification &amp; Data'!E$26+'Aerodynamic Resistance'!E17</f>
        <v>674.72795206537398</v>
      </c>
      <c r="F17" s="22">
        <f>'Specification &amp; Data'!F$14+'Aerodynamic Resistance'!F17</f>
        <v>129.53365791798331</v>
      </c>
      <c r="G17" s="22">
        <f>'Specification &amp; Data'!F$15+'Aerodynamic Resistance'!G17</f>
        <v>152.8899572193904</v>
      </c>
      <c r="H17" s="22">
        <f>'Specification &amp; Data'!F$16+'Aerodynamic Resistance'!H17</f>
        <v>189.03211507537389</v>
      </c>
      <c r="I17" s="23">
        <f>'Specification &amp; Data'!G$14+'Aerodynamic Resistance'!I17</f>
        <v>147.81271024317437</v>
      </c>
      <c r="J17" s="23">
        <f>'Specification &amp; Data'!G$15+'Aerodynamic Resistance'!J17</f>
        <v>176.9657960858309</v>
      </c>
      <c r="K17" s="23">
        <f>'Specification &amp; Data'!G$16+'Aerodynamic Resistance'!K17</f>
        <v>219.8397060542332</v>
      </c>
      <c r="L17" s="24">
        <f>'Specification &amp; Data'!H$14+'Aerodynamic Resistance'!L17</f>
        <v>129.53365791798331</v>
      </c>
      <c r="M17" s="24">
        <f>'Specification &amp; Data'!H$15+'Aerodynamic Resistance'!M17</f>
        <v>152.8899572193904</v>
      </c>
      <c r="N17" s="24">
        <f>'Specification &amp; Data'!H$16+'Aerodynamic Resistance'!N17</f>
        <v>189.03211507537389</v>
      </c>
      <c r="O17" s="25">
        <f>'Specification &amp; Data'!I$14+'Specification &amp; Data'!I$24+'Aerodynamic Resistance'!O17</f>
        <v>-62.686946723697794</v>
      </c>
      <c r="P17" s="25">
        <f>'Specification &amp; Data'!I$15+'Specification &amp; Data'!I$25+'Aerodynamic Resistance'!P17</f>
        <v>-45.12743396354017</v>
      </c>
      <c r="Q17" s="25">
        <f>'Specification &amp; Data'!I$16+'Specification &amp; Data'!I$26+'Aerodynamic Resistance'!Q17</f>
        <v>-15.717028219975383</v>
      </c>
    </row>
    <row r="20" spans="2:17" ht="18.75">
      <c r="B20" s="17" t="s">
        <v>127</v>
      </c>
    </row>
    <row r="21" spans="2:17"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2:17">
      <c r="C22" s="21" t="s">
        <v>65</v>
      </c>
      <c r="D22" s="21"/>
      <c r="E22" s="21"/>
      <c r="F22" s="22" t="s">
        <v>66</v>
      </c>
      <c r="G22" s="22"/>
      <c r="H22" s="22"/>
      <c r="I22" s="23" t="s">
        <v>67</v>
      </c>
      <c r="J22" s="23"/>
      <c r="K22" s="23"/>
      <c r="L22" s="24" t="s">
        <v>68</v>
      </c>
      <c r="M22" s="24"/>
      <c r="N22" s="24"/>
      <c r="O22" s="25" t="s">
        <v>69</v>
      </c>
      <c r="P22" s="25"/>
      <c r="Q22" s="25"/>
    </row>
    <row r="23" spans="2:17">
      <c r="B23" s="15" t="s">
        <v>128</v>
      </c>
      <c r="C23" s="21" t="s">
        <v>22</v>
      </c>
      <c r="D23" s="21" t="s">
        <v>24</v>
      </c>
      <c r="E23" s="21" t="s">
        <v>26</v>
      </c>
      <c r="F23" s="22" t="s">
        <v>22</v>
      </c>
      <c r="G23" s="22" t="s">
        <v>24</v>
      </c>
      <c r="H23" s="22" t="s">
        <v>26</v>
      </c>
      <c r="I23" s="23" t="s">
        <v>22</v>
      </c>
      <c r="J23" s="23" t="s">
        <v>24</v>
      </c>
      <c r="K23" s="23" t="s">
        <v>26</v>
      </c>
      <c r="L23" s="24" t="s">
        <v>22</v>
      </c>
      <c r="M23" s="24" t="s">
        <v>24</v>
      </c>
      <c r="N23" s="24" t="s">
        <v>26</v>
      </c>
      <c r="O23" s="25" t="s">
        <v>22</v>
      </c>
      <c r="P23" s="25" t="s">
        <v>24</v>
      </c>
      <c r="Q23" s="25" t="s">
        <v>26</v>
      </c>
    </row>
    <row r="24" spans="2:17">
      <c r="B24" s="15">
        <v>1000</v>
      </c>
      <c r="C24" s="21">
        <f>C6/'Specification &amp; Data'!B$19</f>
        <v>1.1284018214678646</v>
      </c>
      <c r="D24" s="21">
        <f>D6/'Specification &amp; Data'!B$19</f>
        <v>1.1294614366137978</v>
      </c>
      <c r="E24" s="21">
        <f>E6/'Specification &amp; Data'!B$19</f>
        <v>1.1311011132327988</v>
      </c>
      <c r="F24" s="22">
        <f>F6/'Specification &amp; Data'!B$19</f>
        <v>0.19743282146786453</v>
      </c>
      <c r="G24" s="22">
        <f>G6/'Specification &amp; Data'!B$19</f>
        <v>0.19849243661379767</v>
      </c>
      <c r="H24" s="22">
        <f>H6/'Specification &amp; Data'!B$19</f>
        <v>0.2001321132327987</v>
      </c>
      <c r="I24" s="23">
        <f>I6/'Specification &amp; Data'!B$19</f>
        <v>0.20661488803810574</v>
      </c>
      <c r="J24" s="23">
        <f>J6/'Specification &amp; Data'!B$19</f>
        <v>0.20938390747768551</v>
      </c>
      <c r="K24" s="23">
        <f>K6/'Specification &amp; Data'!B$19</f>
        <v>0.21300869876027617</v>
      </c>
      <c r="L24" s="24">
        <f>L6/'Specification &amp; Data'!B$19</f>
        <v>0.19743282146786453</v>
      </c>
      <c r="M24" s="24">
        <f>M6/'Specification &amp; Data'!B$19</f>
        <v>0.19849243661379767</v>
      </c>
      <c r="N24" s="24">
        <f>N6/'Specification &amp; Data'!B$19</f>
        <v>0.2001321132327987</v>
      </c>
      <c r="O24" s="25">
        <f>O6/'Specification &amp; Data'!B$19</f>
        <v>-0.14515583557695072</v>
      </c>
      <c r="P24" s="25">
        <f>P6/'Specification &amp; Data'!B$19</f>
        <v>-0.14580562472466418</v>
      </c>
      <c r="Q24" s="25">
        <f>Q6/'Specification &amp; Data'!B$19</f>
        <v>-0.1461510627692528</v>
      </c>
    </row>
    <row r="25" spans="2:17">
      <c r="B25" s="15">
        <f>B24+500</f>
        <v>1500</v>
      </c>
      <c r="C25" s="21">
        <f>C7/'Specification &amp; Data'!B$19</f>
        <v>1.1299428483026952</v>
      </c>
      <c r="D25" s="21">
        <f>D7/'Specification &amp; Data'!B$19</f>
        <v>1.1323269823810449</v>
      </c>
      <c r="E25" s="21">
        <f>E7/'Specification &amp; Data'!B$19</f>
        <v>1.1360162547737973</v>
      </c>
      <c r="F25" s="22">
        <f>F7/'Specification &amp; Data'!B$19</f>
        <v>0.19897384830269518</v>
      </c>
      <c r="G25" s="22">
        <f>G7/'Specification &amp; Data'!B$19</f>
        <v>0.20135798238104477</v>
      </c>
      <c r="H25" s="22">
        <f>H7/'Specification &amp; Data'!B$19</f>
        <v>0.20504725477379707</v>
      </c>
      <c r="I25" s="23">
        <f>I7/'Specification &amp; Data'!B$19</f>
        <v>0.21050634577670052</v>
      </c>
      <c r="J25" s="23">
        <f>J7/'Specification &amp; Data'!B$19</f>
        <v>0.21545458629552003</v>
      </c>
      <c r="K25" s="23">
        <f>K7/'Specification &amp; Data'!B$19</f>
        <v>0.22212153068365675</v>
      </c>
      <c r="L25" s="24">
        <f>L7/'Specification &amp; Data'!B$19</f>
        <v>0.19897384830269518</v>
      </c>
      <c r="M25" s="24">
        <f>M7/'Specification &amp; Data'!B$19</f>
        <v>0.20135798238104477</v>
      </c>
      <c r="N25" s="24">
        <f>N7/'Specification &amp; Data'!B$19</f>
        <v>0.20504725477379707</v>
      </c>
      <c r="O25" s="25">
        <f>O7/'Specification &amp; Data'!B$19</f>
        <v>-0.14596523964588415</v>
      </c>
      <c r="P25" s="25">
        <f>P7/'Specification &amp; Data'!B$19</f>
        <v>-0.14614521200800451</v>
      </c>
      <c r="Q25" s="25">
        <f>Q7/'Specification &amp; Data'!B$19</f>
        <v>-0.14543361161063667</v>
      </c>
    </row>
    <row r="26" spans="2:17">
      <c r="B26" s="15">
        <f t="shared" ref="B26:B35" si="1">B25+500</f>
        <v>2000</v>
      </c>
      <c r="C26" s="21">
        <f>C8/'Specification &amp; Data'!B$19</f>
        <v>1.1321002858714584</v>
      </c>
      <c r="D26" s="21">
        <f>D8/'Specification &amp; Data'!B$19</f>
        <v>1.1363387464551908</v>
      </c>
      <c r="E26" s="21">
        <f>E8/'Specification &amp; Data'!B$19</f>
        <v>1.142897452931195</v>
      </c>
      <c r="F26" s="22">
        <f>F8/'Specification &amp; Data'!B$19</f>
        <v>0.20113128587145812</v>
      </c>
      <c r="G26" s="22">
        <f>G8/'Specification &amp; Data'!B$19</f>
        <v>0.20536974645519074</v>
      </c>
      <c r="H26" s="22">
        <f>H8/'Specification &amp; Data'!B$19</f>
        <v>0.21192845293119478</v>
      </c>
      <c r="I26" s="23">
        <f>I8/'Specification &amp; Data'!B$19</f>
        <v>0.21501421424922756</v>
      </c>
      <c r="J26" s="23">
        <f>J8/'Specification &amp; Data'!B$19</f>
        <v>0.22267148342025339</v>
      </c>
      <c r="K26" s="23">
        <f>K8/'Specification &amp; Data'!B$19</f>
        <v>0.23320041922343671</v>
      </c>
      <c r="L26" s="24">
        <f>L8/'Specification &amp; Data'!B$19</f>
        <v>0.20113128587145812</v>
      </c>
      <c r="M26" s="24">
        <f>M8/'Specification &amp; Data'!B$19</f>
        <v>0.20536974645519074</v>
      </c>
      <c r="N26" s="24">
        <f>N8/'Specification &amp; Data'!B$19</f>
        <v>0.21192845293119478</v>
      </c>
      <c r="O26" s="25">
        <f>O8/'Specification &amp; Data'!B$19</f>
        <v>-0.14615823298088534</v>
      </c>
      <c r="P26" s="25">
        <f>P8/'Specification &amp; Data'!B$19</f>
        <v>-0.14533858098444599</v>
      </c>
      <c r="Q26" s="25">
        <f>Q8/'Specification &amp; Data'!B$19</f>
        <v>-0.1427501038356212</v>
      </c>
    </row>
    <row r="27" spans="2:17">
      <c r="B27" s="15">
        <f t="shared" si="1"/>
        <v>2500</v>
      </c>
      <c r="C27" s="21">
        <f>C9/'Specification &amp; Data'!B$19</f>
        <v>1.1348741341741535</v>
      </c>
      <c r="D27" s="21">
        <f>D9/'Specification &amp; Data'!B$19</f>
        <v>1.1414967288362357</v>
      </c>
      <c r="E27" s="21">
        <f>E9/'Specification &amp; Data'!B$19</f>
        <v>1.1517447077049918</v>
      </c>
      <c r="F27" s="22">
        <f>F9/'Specification &amp; Data'!B$19</f>
        <v>0.20390513417415332</v>
      </c>
      <c r="G27" s="22">
        <f>G9/'Specification &amp; Data'!B$19</f>
        <v>0.21052772883623549</v>
      </c>
      <c r="H27" s="22">
        <f>H9/'Specification &amp; Data'!B$19</f>
        <v>0.22077570770499183</v>
      </c>
      <c r="I27" s="23">
        <f>I9/'Specification &amp; Data'!B$19</f>
        <v>0.22013849345568687</v>
      </c>
      <c r="J27" s="23">
        <f>J9/'Specification &amp; Data'!B$19</f>
        <v>0.23103459885188563</v>
      </c>
      <c r="K27" s="23">
        <f>K9/'Specification &amp; Data'!B$19</f>
        <v>0.24624536437961606</v>
      </c>
      <c r="L27" s="24">
        <f>L9/'Specification &amp; Data'!B$19</f>
        <v>0.20390513417415332</v>
      </c>
      <c r="M27" s="24">
        <f>M9/'Specification &amp; Data'!B$19</f>
        <v>0.21052772883623549</v>
      </c>
      <c r="N27" s="24">
        <f>N9/'Specification &amp; Data'!B$19</f>
        <v>0.22077570770499183</v>
      </c>
      <c r="O27" s="25">
        <f>O9/'Specification &amp; Data'!B$19</f>
        <v>-0.14573481558195425</v>
      </c>
      <c r="P27" s="25">
        <f>P9/'Specification &amp; Data'!B$19</f>
        <v>-0.14338573165398863</v>
      </c>
      <c r="Q27" s="25">
        <f>Q9/'Specification &amp; Data'!B$19</f>
        <v>-0.13810053944420639</v>
      </c>
    </row>
    <row r="28" spans="2:17">
      <c r="B28" s="15">
        <f t="shared" si="1"/>
        <v>3000</v>
      </c>
      <c r="C28" s="21">
        <f>C10/'Specification &amp; Data'!B$19</f>
        <v>1.1382643932107808</v>
      </c>
      <c r="D28" s="21">
        <f>D10/'Specification &amp; Data'!B$19</f>
        <v>1.1478009295241791</v>
      </c>
      <c r="E28" s="21">
        <f>E10/'Specification &amp; Data'!B$19</f>
        <v>1.1625580190951883</v>
      </c>
      <c r="F28" s="22">
        <f>F10/'Specification &amp; Data'!B$19</f>
        <v>0.20729539321078078</v>
      </c>
      <c r="G28" s="22">
        <f>G10/'Specification &amp; Data'!B$19</f>
        <v>0.21683192952417912</v>
      </c>
      <c r="H28" s="22">
        <f>H10/'Specification &amp; Data'!B$19</f>
        <v>0.23158901909518825</v>
      </c>
      <c r="I28" s="23">
        <f>I10/'Specification &amp; Data'!B$19</f>
        <v>0.22587918339607843</v>
      </c>
      <c r="J28" s="23">
        <f>J10/'Specification &amp; Data'!B$19</f>
        <v>0.24054393259041662</v>
      </c>
      <c r="K28" s="23">
        <f>K10/'Specification &amp; Data'!B$19</f>
        <v>0.26125636615219466</v>
      </c>
      <c r="L28" s="24">
        <f>L10/'Specification &amp; Data'!B$19</f>
        <v>0.20729539321078078</v>
      </c>
      <c r="M28" s="24">
        <f>M10/'Specification &amp; Data'!B$19</f>
        <v>0.21683192952417912</v>
      </c>
      <c r="N28" s="24">
        <f>N10/'Specification &amp; Data'!B$19</f>
        <v>0.23158901909518825</v>
      </c>
      <c r="O28" s="25">
        <f>O10/'Specification &amp; Data'!B$19</f>
        <v>-0.1446949874490909</v>
      </c>
      <c r="P28" s="25">
        <f>P10/'Specification &amp; Data'!B$19</f>
        <v>-0.14028666401663245</v>
      </c>
      <c r="Q28" s="25">
        <f>Q10/'Specification &amp; Data'!B$19</f>
        <v>-0.13148491843639218</v>
      </c>
    </row>
    <row r="29" spans="2:17">
      <c r="B29" s="15">
        <f t="shared" si="1"/>
        <v>3500</v>
      </c>
      <c r="C29" s="21">
        <f>C11/'Specification &amp; Data'!B$19</f>
        <v>1.1422710629813406</v>
      </c>
      <c r="D29" s="21">
        <f>D11/'Specification &amp; Data'!B$19</f>
        <v>1.1552513485190217</v>
      </c>
      <c r="E29" s="21">
        <f>E11/'Specification &amp; Data'!B$19</f>
        <v>1.175337387101784</v>
      </c>
      <c r="F29" s="22">
        <f>F11/'Specification &amp; Data'!B$19</f>
        <v>0.21130206298134049</v>
      </c>
      <c r="G29" s="22">
        <f>G11/'Specification &amp; Data'!B$19</f>
        <v>0.2242823485190216</v>
      </c>
      <c r="H29" s="22">
        <f>H11/'Specification &amp; Data'!B$19</f>
        <v>0.24436838710178402</v>
      </c>
      <c r="I29" s="23">
        <f>I11/'Specification &amp; Data'!B$19</f>
        <v>0.23223628407040225</v>
      </c>
      <c r="J29" s="23">
        <f>J11/'Specification &amp; Data'!B$19</f>
        <v>0.25119948463584657</v>
      </c>
      <c r="K29" s="23">
        <f>K11/'Specification &amp; Data'!B$19</f>
        <v>0.27823342454117267</v>
      </c>
      <c r="L29" s="24">
        <f>L11/'Specification &amp; Data'!B$19</f>
        <v>0.21130206298134049</v>
      </c>
      <c r="M29" s="24">
        <f>M11/'Specification &amp; Data'!B$19</f>
        <v>0.2242823485190216</v>
      </c>
      <c r="N29" s="24">
        <f>N11/'Specification &amp; Data'!B$19</f>
        <v>0.24436838710178402</v>
      </c>
      <c r="O29" s="25">
        <f>O11/'Specification &amp; Data'!B$19</f>
        <v>-0.14303874858229532</v>
      </c>
      <c r="P29" s="25">
        <f>P11/'Specification &amp; Data'!B$19</f>
        <v>-0.1360413780723774</v>
      </c>
      <c r="Q29" s="25">
        <f>Q11/'Specification &amp; Data'!B$19</f>
        <v>-0.12290324081217867</v>
      </c>
    </row>
    <row r="30" spans="2:17">
      <c r="B30" s="15">
        <f t="shared" si="1"/>
        <v>4000</v>
      </c>
      <c r="C30" s="21">
        <f>C12/'Specification &amp; Data'!B$19</f>
        <v>1.1468941434858326</v>
      </c>
      <c r="D30" s="21">
        <f>D12/'Specification &amp; Data'!B$19</f>
        <v>1.1638479858207631</v>
      </c>
      <c r="E30" s="21">
        <f>E12/'Specification &amp; Data'!B$19</f>
        <v>1.1900828117247793</v>
      </c>
      <c r="F30" s="22">
        <f>F12/'Specification &amp; Data'!B$19</f>
        <v>0.2159251434858325</v>
      </c>
      <c r="G30" s="22">
        <f>G12/'Specification &amp; Data'!B$19</f>
        <v>0.23287898582076288</v>
      </c>
      <c r="H30" s="22">
        <f>H12/'Specification &amp; Data'!B$19</f>
        <v>0.2591138117247791</v>
      </c>
      <c r="I30" s="23">
        <f>I12/'Specification &amp; Data'!B$19</f>
        <v>0.23920979547865837</v>
      </c>
      <c r="J30" s="23">
        <f>J12/'Specification &amp; Data'!B$19</f>
        <v>0.26300125498817528</v>
      </c>
      <c r="K30" s="23">
        <f>K12/'Specification &amp; Data'!B$19</f>
        <v>0.29717653954654999</v>
      </c>
      <c r="L30" s="24">
        <f>L12/'Specification &amp; Data'!B$19</f>
        <v>0.2159251434858325</v>
      </c>
      <c r="M30" s="24">
        <f>M12/'Specification &amp; Data'!B$19</f>
        <v>0.23287898582076288</v>
      </c>
      <c r="N30" s="24">
        <f>N12/'Specification &amp; Data'!B$19</f>
        <v>0.2591138117247791</v>
      </c>
      <c r="O30" s="25">
        <f>O12/'Specification &amp; Data'!B$19</f>
        <v>-0.14076609898156739</v>
      </c>
      <c r="P30" s="25">
        <f>P12/'Specification &amp; Data'!B$19</f>
        <v>-0.13064987382122351</v>
      </c>
      <c r="Q30" s="25">
        <f>Q12/'Specification &amp; Data'!B$19</f>
        <v>-0.11235550657156582</v>
      </c>
    </row>
    <row r="31" spans="2:17">
      <c r="B31" s="15">
        <f t="shared" si="1"/>
        <v>4500</v>
      </c>
      <c r="C31" s="21">
        <f>C13/'Specification &amp; Data'!B$19</f>
        <v>1.1521336347242568</v>
      </c>
      <c r="D31" s="21">
        <f>D13/'Specification &amp; Data'!B$19</f>
        <v>1.1735908414294032</v>
      </c>
      <c r="E31" s="21">
        <f>E13/'Specification &amp; Data'!B$19</f>
        <v>1.2067942929641737</v>
      </c>
      <c r="F31" s="22">
        <f>F13/'Specification &amp; Data'!B$19</f>
        <v>0.22116463472425676</v>
      </c>
      <c r="G31" s="22">
        <f>G13/'Specification &amp; Data'!B$19</f>
        <v>0.24262184142940302</v>
      </c>
      <c r="H31" s="22">
        <f>H13/'Specification &amp; Data'!B$19</f>
        <v>0.27582529296417352</v>
      </c>
      <c r="I31" s="23">
        <f>I13/'Specification &amp; Data'!B$19</f>
        <v>0.24679971762084671</v>
      </c>
      <c r="J31" s="23">
        <f>J13/'Specification &amp; Data'!B$19</f>
        <v>0.27594924364740281</v>
      </c>
      <c r="K31" s="23">
        <f>K13/'Specification &amp; Data'!B$19</f>
        <v>0.31808571116832662</v>
      </c>
      <c r="L31" s="24">
        <f>L13/'Specification &amp; Data'!B$19</f>
        <v>0.22116463472425676</v>
      </c>
      <c r="M31" s="24">
        <f>M13/'Specification &amp; Data'!B$19</f>
        <v>0.24262184142940302</v>
      </c>
      <c r="N31" s="24">
        <f>N13/'Specification &amp; Data'!B$19</f>
        <v>0.27582529296417352</v>
      </c>
      <c r="O31" s="25">
        <f>O13/'Specification &amp; Data'!B$19</f>
        <v>-0.13787703864690726</v>
      </c>
      <c r="P31" s="25">
        <f>P13/'Specification &amp; Data'!B$19</f>
        <v>-0.12411215126317079</v>
      </c>
      <c r="Q31" s="25">
        <f>Q13/'Specification &amp; Data'!B$19</f>
        <v>-9.9841715714553636E-2</v>
      </c>
    </row>
    <row r="32" spans="2:17">
      <c r="B32" s="15">
        <f t="shared" si="1"/>
        <v>5000</v>
      </c>
      <c r="C32" s="21">
        <f>C14/'Specification &amp; Data'!B$19</f>
        <v>1.1579895366966135</v>
      </c>
      <c r="D32" s="21">
        <f>D14/'Specification &amp; Data'!B$19</f>
        <v>1.1844799153449421</v>
      </c>
      <c r="E32" s="21">
        <f>E14/'Specification &amp; Data'!B$19</f>
        <v>1.2254718308199675</v>
      </c>
      <c r="F32" s="22">
        <f>F14/'Specification &amp; Data'!B$19</f>
        <v>0.22702053669661326</v>
      </c>
      <c r="G32" s="22">
        <f>G14/'Specification &amp; Data'!B$19</f>
        <v>0.25351091534494202</v>
      </c>
      <c r="H32" s="22">
        <f>H14/'Specification &amp; Data'!B$19</f>
        <v>0.29450283081996731</v>
      </c>
      <c r="I32" s="23">
        <f>I14/'Specification &amp; Data'!B$19</f>
        <v>0.2550060504969674</v>
      </c>
      <c r="J32" s="23">
        <f>J14/'Specification &amp; Data'!B$19</f>
        <v>0.29004345061352921</v>
      </c>
      <c r="K32" s="23">
        <f>K14/'Specification &amp; Data'!B$19</f>
        <v>0.34096093940650268</v>
      </c>
      <c r="L32" s="24">
        <f>L14/'Specification &amp; Data'!B$19</f>
        <v>0.22702053669661326</v>
      </c>
      <c r="M32" s="24">
        <f>M14/'Specification &amp; Data'!B$19</f>
        <v>0.25351091534494202</v>
      </c>
      <c r="N32" s="24">
        <f>N14/'Specification &amp; Data'!B$19</f>
        <v>0.29450283081996731</v>
      </c>
      <c r="O32" s="25">
        <f>O14/'Specification &amp; Data'!B$19</f>
        <v>-0.13437156757831487</v>
      </c>
      <c r="P32" s="25">
        <f>P14/'Specification &amp; Data'!B$19</f>
        <v>-0.11642821039821924</v>
      </c>
      <c r="Q32" s="25">
        <f>Q14/'Specification &amp; Data'!B$19</f>
        <v>-8.5361868241142044E-2</v>
      </c>
    </row>
    <row r="33" spans="2:17">
      <c r="B33" s="15">
        <f t="shared" si="1"/>
        <v>5500</v>
      </c>
      <c r="C33" s="21">
        <f>C15/'Specification &amp; Data'!B$19</f>
        <v>1.1644618494029022</v>
      </c>
      <c r="D33" s="21">
        <f>D15/'Specification &amp; Data'!B$19</f>
        <v>1.1965152075673799</v>
      </c>
      <c r="E33" s="21">
        <f>E15/'Specification &amp; Data'!B$19</f>
        <v>1.2461154252921607</v>
      </c>
      <c r="F33" s="22">
        <f>F15/'Specification &amp; Data'!B$19</f>
        <v>0.23349284940290208</v>
      </c>
      <c r="G33" s="22">
        <f>G15/'Specification &amp; Data'!B$19</f>
        <v>0.26554620756737984</v>
      </c>
      <c r="H33" s="22">
        <f>H15/'Specification &amp; Data'!B$19</f>
        <v>0.31514642529216047</v>
      </c>
      <c r="I33" s="23">
        <f>I15/'Specification &amp; Data'!B$19</f>
        <v>0.26382879410702026</v>
      </c>
      <c r="J33" s="23">
        <f>J15/'Specification &amp; Data'!B$19</f>
        <v>0.30528387588655448</v>
      </c>
      <c r="K33" s="23">
        <f>K15/'Specification &amp; Data'!B$19</f>
        <v>0.36580222426107811</v>
      </c>
      <c r="L33" s="24">
        <f>L15/'Specification &amp; Data'!B$19</f>
        <v>0.23349284940290208</v>
      </c>
      <c r="M33" s="24">
        <f>M15/'Specification &amp; Data'!B$19</f>
        <v>0.26554620756737984</v>
      </c>
      <c r="N33" s="24">
        <f>N15/'Specification &amp; Data'!B$19</f>
        <v>0.31514642529216047</v>
      </c>
      <c r="O33" s="25">
        <f>O15/'Specification &amp; Data'!B$19</f>
        <v>-0.13024968577579016</v>
      </c>
      <c r="P33" s="25">
        <f>P15/'Specification &amp; Data'!B$19</f>
        <v>-0.10759805122636884</v>
      </c>
      <c r="Q33" s="25">
        <f>Q15/'Specification &amp; Data'!B$19</f>
        <v>-6.8915964151331152E-2</v>
      </c>
    </row>
    <row r="34" spans="2:17">
      <c r="B34" s="15">
        <f t="shared" si="1"/>
        <v>6000</v>
      </c>
      <c r="C34" s="21">
        <f>C16/'Specification &amp; Data'!B$19</f>
        <v>1.1715505728431233</v>
      </c>
      <c r="D34" s="21">
        <f>D16/'Specification &amp; Data'!B$19</f>
        <v>1.2096967180967166</v>
      </c>
      <c r="E34" s="21">
        <f>E16/'Specification &amp; Data'!B$19</f>
        <v>1.2687250763807529</v>
      </c>
      <c r="F34" s="22">
        <f>F16/'Specification &amp; Data'!B$19</f>
        <v>0.24058157284312309</v>
      </c>
      <c r="G34" s="22">
        <f>G16/'Specification &amp; Data'!B$19</f>
        <v>0.27872771809671648</v>
      </c>
      <c r="H34" s="22">
        <f>H16/'Specification &amp; Data'!B$19</f>
        <v>0.337756076380753</v>
      </c>
      <c r="I34" s="23">
        <f>I16/'Specification &amp; Data'!B$19</f>
        <v>0.27326794845100538</v>
      </c>
      <c r="J34" s="23">
        <f>J16/'Specification &amp; Data'!B$19</f>
        <v>0.32167051946647857</v>
      </c>
      <c r="K34" s="23">
        <f>K16/'Specification &amp; Data'!B$19</f>
        <v>0.3926095657320528</v>
      </c>
      <c r="L34" s="24">
        <f>L16/'Specification &amp; Data'!B$19</f>
        <v>0.24058157284312309</v>
      </c>
      <c r="M34" s="24">
        <f>M16/'Specification &amp; Data'!B$19</f>
        <v>0.27872771809671648</v>
      </c>
      <c r="N34" s="24">
        <f>N16/'Specification &amp; Data'!B$19</f>
        <v>0.337756076380753</v>
      </c>
      <c r="O34" s="25">
        <f>O16/'Specification &amp; Data'!B$19</f>
        <v>-0.12551139323933322</v>
      </c>
      <c r="P34" s="25">
        <f>P16/'Specification &amp; Data'!B$19</f>
        <v>-9.7621673747619597E-2</v>
      </c>
      <c r="Q34" s="25">
        <f>Q16/'Specification &amp; Data'!B$19</f>
        <v>-5.0504003445120897E-2</v>
      </c>
    </row>
    <row r="35" spans="2:17">
      <c r="B35" s="15">
        <f t="shared" si="1"/>
        <v>6500</v>
      </c>
      <c r="C35" s="21">
        <f>C17/'Specification &amp; Data'!B$19</f>
        <v>1.1792557070172764</v>
      </c>
      <c r="D35" s="21">
        <f>D17/'Specification &amp; Data'!B$19</f>
        <v>1.2240244469329522</v>
      </c>
      <c r="E35" s="21">
        <f>E17/'Specification &amp; Data'!B$19</f>
        <v>1.2933007840857449</v>
      </c>
      <c r="F35" s="22">
        <f>F17/'Specification &amp; Data'!B$19</f>
        <v>0.24828670701727645</v>
      </c>
      <c r="G35" s="22">
        <f>G17/'Specification &amp; Data'!B$19</f>
        <v>0.29305544693295199</v>
      </c>
      <c r="H35" s="22">
        <f>H17/'Specification &amp; Data'!B$19</f>
        <v>0.36233178408574473</v>
      </c>
      <c r="I35" s="23">
        <f>I17/'Specification &amp; Data'!B$19</f>
        <v>0.28332351352892288</v>
      </c>
      <c r="J35" s="23">
        <f>J17/'Specification &amp; Data'!B$19</f>
        <v>0.33920338135330141</v>
      </c>
      <c r="K35" s="23">
        <f>K17/'Specification &amp; Data'!B$19</f>
        <v>0.42138296381942686</v>
      </c>
      <c r="L35" s="24">
        <f>L17/'Specification &amp; Data'!B$19</f>
        <v>0.24828670701727645</v>
      </c>
      <c r="M35" s="24">
        <f>M17/'Specification &amp; Data'!B$19</f>
        <v>0.29305544693295199</v>
      </c>
      <c r="N35" s="24">
        <f>N17/'Specification &amp; Data'!B$19</f>
        <v>0.36233178408574473</v>
      </c>
      <c r="O35" s="25">
        <f>O17/'Specification &amp; Data'!B$19</f>
        <v>-0.12015668996894403</v>
      </c>
      <c r="P35" s="25">
        <f>P17/'Specification &amp; Data'!B$19</f>
        <v>-8.6499077961971524E-2</v>
      </c>
      <c r="Q35" s="25">
        <f>Q17/'Specification &amp; Data'!B$19</f>
        <v>-3.0125986122511321E-2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2:Z319"/>
  <sheetViews>
    <sheetView topLeftCell="D224" zoomScale="80" zoomScaleNormal="80" workbookViewId="0">
      <selection activeCell="R251" sqref="R251"/>
    </sheetView>
  </sheetViews>
  <sheetFormatPr defaultRowHeight="15"/>
  <cols>
    <col min="1" max="1" width="29.140625" style="15" bestFit="1" customWidth="1"/>
    <col min="2" max="2" width="15" style="15" bestFit="1" customWidth="1"/>
    <col min="3" max="3" width="16.7109375" style="15" bestFit="1" customWidth="1"/>
    <col min="4" max="4" width="8" style="15" bestFit="1" customWidth="1"/>
    <col min="5" max="5" width="11.140625" style="15" customWidth="1"/>
    <col min="6" max="6" width="9.140625" style="15"/>
    <col min="7" max="9" width="12" style="15" customWidth="1"/>
    <col min="10" max="10" width="12.140625" style="15" bestFit="1" customWidth="1"/>
    <col min="11" max="14" width="12" style="15" customWidth="1"/>
    <col min="15" max="15" width="15.140625" style="15" customWidth="1"/>
    <col min="16" max="16" width="15" style="15" customWidth="1"/>
    <col min="17" max="17" width="15.5703125" style="15" customWidth="1"/>
    <col min="18" max="18" width="17.28515625" style="15" bestFit="1" customWidth="1"/>
    <col min="19" max="19" width="15.85546875" style="15" customWidth="1"/>
    <col min="20" max="20" width="20.28515625" style="15" bestFit="1" customWidth="1"/>
    <col min="21" max="21" width="22.28515625" style="15" bestFit="1" customWidth="1"/>
    <col min="22" max="22" width="16.28515625" style="15" bestFit="1" customWidth="1"/>
    <col min="23" max="23" width="25.5703125" style="15" bestFit="1" customWidth="1"/>
    <col min="24" max="24" width="28.7109375" style="15" bestFit="1" customWidth="1"/>
    <col min="25" max="26" width="18.140625" style="15" bestFit="1" customWidth="1"/>
    <col min="27" max="16384" width="9.140625" style="15"/>
  </cols>
  <sheetData>
    <row r="2" spans="1:26" ht="20.25">
      <c r="A2" s="82" t="s">
        <v>191</v>
      </c>
    </row>
    <row r="3" spans="1:26">
      <c r="A3"/>
      <c r="B3"/>
      <c r="C3"/>
      <c r="D3"/>
      <c r="E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ht="18.75">
      <c r="A4" s="85" t="s">
        <v>145</v>
      </c>
      <c r="B4" s="85" t="s">
        <v>194</v>
      </c>
      <c r="C4" s="85" t="s">
        <v>146</v>
      </c>
      <c r="D4" s="85" t="s">
        <v>147</v>
      </c>
      <c r="E4" s="85" t="s">
        <v>148</v>
      </c>
      <c r="G4" s="28" t="s">
        <v>96</v>
      </c>
      <c r="H4" s="28" t="s">
        <v>129</v>
      </c>
      <c r="I4" s="28" t="s">
        <v>130</v>
      </c>
      <c r="J4" s="28" t="s">
        <v>131</v>
      </c>
      <c r="K4" s="28" t="s">
        <v>132</v>
      </c>
      <c r="L4" s="28" t="s">
        <v>133</v>
      </c>
      <c r="M4" s="28" t="s">
        <v>134</v>
      </c>
      <c r="N4" s="29" t="s">
        <v>135</v>
      </c>
      <c r="O4" s="29" t="s">
        <v>136</v>
      </c>
      <c r="P4" s="29" t="s">
        <v>137</v>
      </c>
      <c r="Q4" s="28" t="s">
        <v>138</v>
      </c>
      <c r="R4" s="28" t="s">
        <v>139</v>
      </c>
      <c r="S4" s="28" t="s">
        <v>140</v>
      </c>
      <c r="T4" s="28" t="s">
        <v>141</v>
      </c>
      <c r="U4" s="39" t="s">
        <v>189</v>
      </c>
      <c r="V4" s="28" t="s">
        <v>142</v>
      </c>
      <c r="W4" s="39" t="s">
        <v>195</v>
      </c>
      <c r="X4" s="28" t="s">
        <v>171</v>
      </c>
      <c r="Y4" s="28" t="s">
        <v>143</v>
      </c>
      <c r="Z4" s="28" t="s">
        <v>144</v>
      </c>
    </row>
    <row r="5" spans="1:26">
      <c r="A5" s="15" t="s">
        <v>157</v>
      </c>
      <c r="B5" s="26">
        <v>0.08</v>
      </c>
      <c r="C5" s="26" t="s">
        <v>149</v>
      </c>
      <c r="D5" s="15" t="s">
        <v>160</v>
      </c>
      <c r="E5" s="26">
        <v>60</v>
      </c>
      <c r="G5" s="42">
        <v>1000</v>
      </c>
      <c r="H5" s="42">
        <v>0.68</v>
      </c>
      <c r="I5" s="15">
        <f>Simulation!H5*746/1000</f>
        <v>0.50728000000000006</v>
      </c>
      <c r="J5" s="15">
        <f>60*1000*Simulation!I5/(2*PI()*Simulation!G5)</f>
        <v>4.844167171899401</v>
      </c>
      <c r="K5" s="45">
        <v>709.89369999999997</v>
      </c>
      <c r="L5" s="15">
        <f>IF(Q5&lt;='Specification &amp; Data'!I$7,1,IF(AND(Q5&gt;'Specification &amp; Data'!I$7,Q5&lt;='Specification &amp; Data'!I$8),2,IF(Q5&gt;'Specification &amp; Data'!I$8,3)))</f>
        <v>1</v>
      </c>
      <c r="M5" s="36">
        <v>1</v>
      </c>
      <c r="N5" s="33">
        <v>0</v>
      </c>
      <c r="O5" s="15">
        <v>0</v>
      </c>
      <c r="P5" s="15">
        <f>Simulation!Q5*3.6</f>
        <v>0</v>
      </c>
      <c r="Q5" s="15">
        <v>0</v>
      </c>
      <c r="R5" s="15">
        <f>Simulation!V5/Simulation!Y5</f>
        <v>0.20182618380488107</v>
      </c>
      <c r="S5" s="15">
        <f>'Specification &amp; Data'!B$21*'Specification &amp; Data'!B$11*'Specification &amp; Data'!B$23*(Simulation!Q5^2)/2</f>
        <v>0</v>
      </c>
      <c r="T5" s="15">
        <f>IF(AND(M5=1,L5=1),'Specification &amp; Data'!E$14,IF(AND(M5=1,L5=2),'Specification &amp; Data'!E$15,IF(AND(M5=1,L5=3),'Specification &amp; Data'!E$16,IF(AND(M5=2,L5=1),'Specification &amp; Data'!F$14,IF(AND(M5=2,L5=2),'Specification &amp; Data'!F$15,IF(AND(M5=2,L5=3),'Specification &amp; Data'!F$16,IF(AND(M5=3,L5=1),'Specification &amp; Data'!I$14,IF(AND(M5=3,L5=2),'Specification &amp; Data'!I$15,IF(AND(M5=3,L5=3),'Specification &amp; Data'!I$16)))))))))</f>
        <v>409.43800800000002</v>
      </c>
      <c r="U5" s="27">
        <f>IF(AND(M5=1,L5=1),'Specification &amp; Data'!E$24,IF(AND(M5=1,L5=2),'Specification &amp; Data'!E$25,IF(AND(M5=1,L5=3),'Specification &amp; Data'!E$26,IF(M5=2,0,IF(AND(M5=3,L5=1),'Specification &amp; Data'!I$24,IF(AND(M5=3,L5=2),'Specification &amp; Data'!I$25,IF(AND(M5=3,L5=3),'Specification &amp; Data'!I$26)))))))</f>
        <v>178.61733099000003</v>
      </c>
      <c r="V5" s="15">
        <f>'Specification &amp; Data'!B$46-Simulation!S5-Simulation!T5-Simulation!U5</f>
        <v>119.84607833283445</v>
      </c>
      <c r="W5" s="15">
        <f>Simulation!V5/Simulation!Y5</f>
        <v>0.20182618380488107</v>
      </c>
      <c r="X5" s="15">
        <f>60*Simulation!Q5/(2*'Specification &amp; Data'!B$15*PI())</f>
        <v>0</v>
      </c>
      <c r="Y5" s="15">
        <f>IF(L5=1,'Specification &amp; Data'!B$56,IF(L5=2,'Specification &amp; Data'!B$57,IF(L5=3,'Specification &amp; Data'!B$58)))</f>
        <v>593.80837547172621</v>
      </c>
      <c r="Z5" s="15">
        <f>Simulation!Y5*Simulation!Q5^2/2*1000</f>
        <v>0</v>
      </c>
    </row>
    <row r="6" spans="1:26">
      <c r="A6" s="15" t="s">
        <v>158</v>
      </c>
      <c r="B6" s="26">
        <v>0.02</v>
      </c>
      <c r="C6" s="15" t="s">
        <v>160</v>
      </c>
      <c r="D6" s="15" t="s">
        <v>150</v>
      </c>
      <c r="E6" s="26">
        <v>150.4</v>
      </c>
      <c r="G6" s="42">
        <v>1200</v>
      </c>
      <c r="H6" s="42">
        <v>1.03</v>
      </c>
      <c r="I6" s="38">
        <f>Simulation!H6*746/1000</f>
        <v>0.76837999999999995</v>
      </c>
      <c r="J6" s="38">
        <f>60*1000*Simulation!I6/(2*PI()*Simulation!G6)</f>
        <v>6.1145737586475271</v>
      </c>
      <c r="K6" s="45">
        <v>738.17380000000003</v>
      </c>
      <c r="L6" s="27">
        <f>IF(Q6&lt;='Specification &amp; Data'!I$7,1,IF(AND(Q6&gt;'Specification &amp; Data'!I$7,Q6&lt;='Specification &amp; Data'!I$8),2,IF(Q6&gt;'Specification &amp; Data'!I$8,3)))</f>
        <v>1</v>
      </c>
      <c r="M6" s="36">
        <v>1</v>
      </c>
      <c r="N6" s="33">
        <f>N5+1</f>
        <v>1</v>
      </c>
      <c r="O6" s="15">
        <f>O5+(1/Simulation!Q6)</f>
        <v>1.5739692661133495</v>
      </c>
      <c r="P6" s="27">
        <f>Simulation!Q6*3.6</f>
        <v>2.2872111149219516</v>
      </c>
      <c r="Q6" s="27">
        <f>MIN('Specification &amp; Data'!I$9,SQRT(2*Simulation!R5+Simulation!Q5^2))</f>
        <v>0.6353364208116532</v>
      </c>
      <c r="R6" s="38">
        <f>IF(Q6=Q5,0,IF(Q6&lt;&gt;Q5,Simulation!V6/Simulation!Y6))</f>
        <v>0.20150660688304753</v>
      </c>
      <c r="S6" s="27">
        <f>'Specification &amp; Data'!B$21*'Specification &amp; Data'!B$11*'Specification &amp; Data'!B$23*(Simulation!Q6^2)/2</f>
        <v>0.18976745279228863</v>
      </c>
      <c r="T6" s="27">
        <f>IF(AND(M6=1,L6=1),'Specification &amp; Data'!E$14,IF(AND(M6=1,L6=2),'Specification &amp; Data'!E$15,IF(AND(M6=1,L6=3),'Specification &amp; Data'!E$16,IF(AND(M6=2,L6=1),'Specification &amp; Data'!F$14,IF(AND(M6=2,L6=2),'Specification &amp; Data'!F$15,IF(AND(M6=2,L6=3),'Specification &amp; Data'!F$16,IF(AND(M6=3,L6=1),'Specification &amp; Data'!I$14,IF(AND(M6=3,L6=2),'Specification &amp; Data'!I$15,IF(AND(M6=3,L6=3),'Specification &amp; Data'!I$16)))))))))</f>
        <v>409.43800800000002</v>
      </c>
      <c r="U6" s="27">
        <f>IF(AND(M6=1,L6=1),'Specification &amp; Data'!E$24,IF(AND(M6=1,L6=2),'Specification &amp; Data'!E$25,IF(AND(M6=1,L6=3),'Specification &amp; Data'!E$26,IF(M6=2,0,IF(AND(M6=3,L6=1),'Specification &amp; Data'!I$24,IF(AND(M6=3,L6=2),'Specification &amp; Data'!I$25,IF(AND(M6=3,L6=3),'Specification &amp; Data'!I$26)))))))</f>
        <v>178.61733099000003</v>
      </c>
      <c r="V6" s="27">
        <f>'Specification &amp; Data'!B$46-Simulation!S6-Simulation!T6-Simulation!U6</f>
        <v>119.65631088004221</v>
      </c>
      <c r="W6" s="27">
        <f>Simulation!V6/Simulation!Y6</f>
        <v>0.20150660688304753</v>
      </c>
      <c r="X6" s="27">
        <f>60*Simulation!Q6/(2*'Specification &amp; Data'!B$15*PI())</f>
        <v>23.885889424839483</v>
      </c>
      <c r="Y6" s="27">
        <f>IF(L6=1,'Specification &amp; Data'!B$56,IF(L6=2,'Specification &amp; Data'!B$57,IF(L6=3,'Specification &amp; Data'!B$58)))</f>
        <v>593.80837547172621</v>
      </c>
      <c r="Z6" s="27">
        <f>Simulation!Y6*Simulation!Q6^2/(2*1000)</f>
        <v>0.11984607833283442</v>
      </c>
    </row>
    <row r="7" spans="1:26">
      <c r="A7" s="15" t="s">
        <v>159</v>
      </c>
      <c r="B7" s="26">
        <v>0.02</v>
      </c>
      <c r="C7" s="15" t="s">
        <v>150</v>
      </c>
      <c r="D7" s="15" t="s">
        <v>151</v>
      </c>
      <c r="E7" s="26">
        <v>104</v>
      </c>
      <c r="G7" s="42">
        <v>1400</v>
      </c>
      <c r="H7" s="42">
        <v>1.39</v>
      </c>
      <c r="I7" s="38">
        <f>Simulation!H7*746/1000</f>
        <v>1.0369399999999998</v>
      </c>
      <c r="J7" s="38">
        <f>60*1000*Simulation!I7/(2*PI()*Simulation!G7)</f>
        <v>7.0728911438447115</v>
      </c>
      <c r="K7" s="45">
        <v>698.97720000000004</v>
      </c>
      <c r="L7" s="27">
        <f>IF(Q7&lt;='Specification &amp; Data'!I$7,1,IF(AND(Q7&gt;'Specification &amp; Data'!I$7,Q7&lt;='Specification &amp; Data'!I$8),2,IF(Q7&gt;'Specification &amp; Data'!I$8,3)))</f>
        <v>1</v>
      </c>
      <c r="M7" s="36">
        <v>1</v>
      </c>
      <c r="N7" s="33">
        <f t="shared" ref="N7:N70" si="0">N6+1</f>
        <v>2</v>
      </c>
      <c r="O7" s="27">
        <f>O6+(1/Simulation!Q7)</f>
        <v>2.687374443640091</v>
      </c>
      <c r="P7" s="38">
        <f>Simulation!Q7*3.6</f>
        <v>3.2333242854113955</v>
      </c>
      <c r="Q7" s="38">
        <f>MIN('Specification &amp; Data'!I$9,SQRT(2*Simulation!R6+Simulation!Q6^2))</f>
        <v>0.89814563483649867</v>
      </c>
      <c r="R7" s="38">
        <f>IF(Q7=Q6,0,IF(Q7&lt;&gt;Q6,Simulation!V7/Simulation!Y7))</f>
        <v>0.20118753598777103</v>
      </c>
      <c r="S7" s="27">
        <f>'Specification &amp; Data'!B$21*'Specification &amp; Data'!B$11*'Specification &amp; Data'!B$23*(Simulation!Q7^2)/2</f>
        <v>0.37923442277662717</v>
      </c>
      <c r="T7" s="27">
        <f>IF(AND(M7=1,L7=1),'Specification &amp; Data'!E$14,IF(AND(M7=1,L7=2),'Specification &amp; Data'!E$15,IF(AND(M7=1,L7=3),'Specification &amp; Data'!E$16,IF(AND(M7=2,L7=1),'Specification &amp; Data'!F$14,IF(AND(M7=2,L7=2),'Specification &amp; Data'!F$15,IF(AND(M7=2,L7=3),'Specification &amp; Data'!F$16,IF(AND(M7=3,L7=1),'Specification &amp; Data'!I$14,IF(AND(M7=3,L7=2),'Specification &amp; Data'!I$15,IF(AND(M7=3,L7=3),'Specification &amp; Data'!I$16)))))))))</f>
        <v>409.43800800000002</v>
      </c>
      <c r="U7" s="27">
        <f>IF(AND(M7=1,L7=1),'Specification &amp; Data'!E$24,IF(AND(M7=1,L7=2),'Specification &amp; Data'!E$25,IF(AND(M7=1,L7=3),'Specification &amp; Data'!E$26,IF(M7=2,0,IF(AND(M7=3,L7=1),'Specification &amp; Data'!I$24,IF(AND(M7=3,L7=2),'Specification &amp; Data'!I$25,IF(AND(M7=3,L7=3),'Specification &amp; Data'!I$26)))))))</f>
        <v>178.61733099000003</v>
      </c>
      <c r="V7" s="27">
        <f>'Specification &amp; Data'!B$46-Simulation!S7-Simulation!T7-Simulation!U7</f>
        <v>119.46684391005778</v>
      </c>
      <c r="W7" s="27">
        <f>Simulation!V7/Simulation!Y7</f>
        <v>0.20118753598777103</v>
      </c>
      <c r="X7" s="27">
        <f>60*Simulation!Q7/(2*'Specification &amp; Data'!B$15*PI())</f>
        <v>33.766374189126886</v>
      </c>
      <c r="Y7" s="27">
        <f>IF(L7=1,'Specification &amp; Data'!B$56,IF(L7=2,'Specification &amp; Data'!B$57,IF(L7=3,'Specification &amp; Data'!B$58)))</f>
        <v>593.80837547172621</v>
      </c>
      <c r="Z7" s="38">
        <f>Simulation!Y7*Simulation!Q7^2/(2*1000)</f>
        <v>0.23950238921287667</v>
      </c>
    </row>
    <row r="8" spans="1:26">
      <c r="A8" s="26" t="s">
        <v>152</v>
      </c>
      <c r="B8" s="26"/>
      <c r="C8" s="26"/>
      <c r="D8" s="26"/>
      <c r="E8" s="26">
        <f>SUM(E5:E7)</f>
        <v>314.39999999999998</v>
      </c>
      <c r="G8" s="42">
        <v>1900</v>
      </c>
      <c r="H8" s="42">
        <v>2.92</v>
      </c>
      <c r="I8" s="38">
        <f>Simulation!H8*746/1000</f>
        <v>2.1783200000000003</v>
      </c>
      <c r="J8" s="38">
        <f>60*1000*Simulation!I8/(2*PI()*Simulation!G8)</f>
        <v>10.948117756924342</v>
      </c>
      <c r="K8" s="45">
        <v>671.42499999999995</v>
      </c>
      <c r="L8" s="27">
        <f>IF(Q8&lt;='Specification &amp; Data'!I$7,1,IF(AND(Q8&gt;'Specification &amp; Data'!I$7,Q8&lt;='Specification &amp; Data'!I$8),2,IF(Q8&gt;'Specification &amp; Data'!I$8,3)))</f>
        <v>1</v>
      </c>
      <c r="M8" s="36">
        <v>1</v>
      </c>
      <c r="N8" s="33">
        <f t="shared" si="0"/>
        <v>3</v>
      </c>
      <c r="O8" s="27">
        <f>O7+(1/Simulation!Q8)</f>
        <v>3.5968259528392506</v>
      </c>
      <c r="P8" s="38">
        <f>Simulation!Q8*3.6</f>
        <v>3.9584298487448448</v>
      </c>
      <c r="Q8" s="38">
        <f>MIN('Specification &amp; Data'!I$9,SQRT(2*Simulation!R7+Simulation!Q7^2))</f>
        <v>1.099563846873568</v>
      </c>
      <c r="R8" s="38">
        <f>IF(Q8=Q7,0,IF(Q8&lt;&gt;Q7,Simulation!V8/Simulation!Y8))</f>
        <v>0.20086897031779627</v>
      </c>
      <c r="S8" s="27">
        <f>'Specification &amp; Data'!B$21*'Specification &amp; Data'!B$11*'Specification &amp; Data'!B$23*(Simulation!Q8^2)/2</f>
        <v>0.5684013857454473</v>
      </c>
      <c r="T8" s="27">
        <f>IF(AND(M8=1,L8=1),'Specification &amp; Data'!E$14,IF(AND(M8=1,L8=2),'Specification &amp; Data'!E$15,IF(AND(M8=1,L8=3),'Specification &amp; Data'!E$16,IF(AND(M8=2,L8=1),'Specification &amp; Data'!F$14,IF(AND(M8=2,L8=2),'Specification &amp; Data'!F$15,IF(AND(M8=2,L8=3),'Specification &amp; Data'!F$16,IF(AND(M8=3,L8=1),'Specification &amp; Data'!I$14,IF(AND(M8=3,L8=2),'Specification &amp; Data'!I$15,IF(AND(M8=3,L8=3),'Specification &amp; Data'!I$16)))))))))</f>
        <v>409.43800800000002</v>
      </c>
      <c r="U8" s="27">
        <f>IF(AND(M8=1,L8=1),'Specification &amp; Data'!E$24,IF(AND(M8=1,L8=2),'Specification &amp; Data'!E$25,IF(AND(M8=1,L8=3),'Specification &amp; Data'!E$26,IF(M8=2,0,IF(AND(M8=3,L8=1),'Specification &amp; Data'!I$24,IF(AND(M8=3,L8=2),'Specification &amp; Data'!I$25,IF(AND(M8=3,L8=3),'Specification &amp; Data'!I$26)))))))</f>
        <v>178.61733099000003</v>
      </c>
      <c r="V8" s="27">
        <f>'Specification &amp; Data'!B$46-Simulation!S8-Simulation!T8-Simulation!U8</f>
        <v>119.27767694708899</v>
      </c>
      <c r="W8" s="27">
        <f>Simulation!V8/Simulation!Y8</f>
        <v>0.20086897031779627</v>
      </c>
      <c r="X8" s="27">
        <f>60*Simulation!Q8/(2*'Specification &amp; Data'!B$15*PI())</f>
        <v>41.338823970488562</v>
      </c>
      <c r="Y8" s="27">
        <f>IF(L8=1,'Specification &amp; Data'!B$56,IF(L8=2,'Specification &amp; Data'!B$57,IF(L8=3,'Specification &amp; Data'!B$58)))</f>
        <v>593.80837547172621</v>
      </c>
      <c r="Z8" s="38">
        <f>Simulation!Y8*Simulation!Q8^2/(2*1000)</f>
        <v>0.35896923312293444</v>
      </c>
    </row>
    <row r="9" spans="1:26">
      <c r="G9" s="42">
        <v>2300</v>
      </c>
      <c r="H9" s="42">
        <v>4.24</v>
      </c>
      <c r="I9" s="38">
        <f>Simulation!H9*746/1000</f>
        <v>3.1630400000000001</v>
      </c>
      <c r="J9" s="38">
        <f>60*1000*Simulation!I9/(2*PI()*Simulation!G9)</f>
        <v>13.132524813844922</v>
      </c>
      <c r="K9" s="45">
        <v>537.86</v>
      </c>
      <c r="L9" s="27">
        <f>IF(Q9&lt;='Specification &amp; Data'!I$7,1,IF(AND(Q9&gt;'Specification &amp; Data'!I$7,Q9&lt;='Specification &amp; Data'!I$8),2,IF(Q9&gt;'Specification &amp; Data'!I$8,3)))</f>
        <v>1</v>
      </c>
      <c r="M9" s="36">
        <v>1</v>
      </c>
      <c r="N9" s="33">
        <f t="shared" si="0"/>
        <v>4</v>
      </c>
      <c r="O9" s="27">
        <f>O8+(1/Simulation!Q9)</f>
        <v>4.3847458635645769</v>
      </c>
      <c r="P9" s="38">
        <f>Simulation!Q9*3.6</f>
        <v>4.5689922935009877</v>
      </c>
      <c r="Q9" s="38">
        <f>MIN('Specification &amp; Data'!I$9,SQRT(2*Simulation!R8+Simulation!Q8^2))</f>
        <v>1.2691645259724966</v>
      </c>
      <c r="R9" s="38">
        <f>IF(Q9=Q8,0,IF(Q9&lt;&gt;Q8,Simulation!V9/Simulation!Y9))</f>
        <v>0.20055090907313583</v>
      </c>
      <c r="S9" s="27">
        <f>'Specification &amp; Data'!B$21*'Specification &amp; Data'!B$11*'Specification &amp; Data'!B$23*(Simulation!Q9^2)/2</f>
        <v>0.757268816737799</v>
      </c>
      <c r="T9" s="27">
        <f>IF(AND(M9=1,L9=1),'Specification &amp; Data'!E$14,IF(AND(M9=1,L9=2),'Specification &amp; Data'!E$15,IF(AND(M9=1,L9=3),'Specification &amp; Data'!E$16,IF(AND(M9=2,L9=1),'Specification &amp; Data'!F$14,IF(AND(M9=2,L9=2),'Specification &amp; Data'!F$15,IF(AND(M9=2,L9=3),'Specification &amp; Data'!F$16,IF(AND(M9=3,L9=1),'Specification &amp; Data'!I$14,IF(AND(M9=3,L9=2),'Specification &amp; Data'!I$15,IF(AND(M9=3,L9=3),'Specification &amp; Data'!I$16)))))))))</f>
        <v>409.43800800000002</v>
      </c>
      <c r="U9" s="27">
        <f>IF(AND(M9=1,L9=1),'Specification &amp; Data'!E$24,IF(AND(M9=1,L9=2),'Specification &amp; Data'!E$25,IF(AND(M9=1,L9=3),'Specification &amp; Data'!E$26,IF(M9=2,0,IF(AND(M9=3,L9=1),'Specification &amp; Data'!I$24,IF(AND(M9=3,L9=2),'Specification &amp; Data'!I$25,IF(AND(M9=3,L9=3),'Specification &amp; Data'!I$26)))))))</f>
        <v>178.61733099000003</v>
      </c>
      <c r="V9" s="27">
        <f>'Specification &amp; Data'!B$46-Simulation!S9-Simulation!T9-Simulation!U9</f>
        <v>119.08880951609666</v>
      </c>
      <c r="W9" s="27">
        <f>Simulation!V9/Simulation!Y9</f>
        <v>0.20055090907313583</v>
      </c>
      <c r="X9" s="27">
        <f>60*Simulation!Q9/(2*'Specification &amp; Data'!B$15*PI())</f>
        <v>47.715072733560248</v>
      </c>
      <c r="Y9" s="27">
        <f>IF(L9=1,'Specification &amp; Data'!B$56,IF(L9=2,'Specification &amp; Data'!B$57,IF(L9=3,'Specification &amp; Data'!B$58)))</f>
        <v>593.80837547172621</v>
      </c>
      <c r="Z9" s="38">
        <f>Simulation!Y9*Simulation!Q9^2/(2*1000)</f>
        <v>0.47824691007002351</v>
      </c>
    </row>
    <row r="10" spans="1:26">
      <c r="G10" s="42">
        <v>2500</v>
      </c>
      <c r="H10" s="42">
        <v>5.24</v>
      </c>
      <c r="I10" s="38">
        <f>Simulation!H10*746/1000</f>
        <v>3.9090400000000001</v>
      </c>
      <c r="J10" s="38">
        <f>60*1000*Simulation!I10/(2*PI()*Simulation!G10)</f>
        <v>14.931432929854621</v>
      </c>
      <c r="K10" s="37">
        <v>519.9</v>
      </c>
      <c r="L10" s="27">
        <f>IF(Q10&lt;='Specification &amp; Data'!I$7,1,IF(AND(Q10&gt;'Specification &amp; Data'!I$7,Q10&lt;='Specification &amp; Data'!I$8),2,IF(Q10&gt;'Specification &amp; Data'!I$8,3)))</f>
        <v>1</v>
      </c>
      <c r="M10" s="36">
        <v>1</v>
      </c>
      <c r="N10" s="33">
        <f t="shared" si="0"/>
        <v>5</v>
      </c>
      <c r="O10" s="27">
        <f>O9+(1/Simulation!Q10)</f>
        <v>5.0897617753044599</v>
      </c>
      <c r="P10" s="38">
        <f>Simulation!Q10*3.6</f>
        <v>5.1062677310582822</v>
      </c>
      <c r="Q10" s="38">
        <f>MIN('Specification &amp; Data'!I$9,SQRT(2*Simulation!R9+Simulation!Q9^2))</f>
        <v>1.418407703071745</v>
      </c>
      <c r="R10" s="38">
        <f>IF(Q10=Q9,0,IF(Q10&lt;&gt;Q9,Simulation!V10/Simulation!Y10))</f>
        <v>0.2002333514550694</v>
      </c>
      <c r="S10" s="27">
        <f>'Specification &amp; Data'!B$21*'Specification &amp; Data'!B$11*'Specification &amp; Data'!B$23*(Simulation!Q10^2)/2</f>
        <v>0.94583719004054212</v>
      </c>
      <c r="T10" s="27">
        <f>IF(AND(M10=1,L10=1),'Specification &amp; Data'!E$14,IF(AND(M10=1,L10=2),'Specification &amp; Data'!E$15,IF(AND(M10=1,L10=3),'Specification &amp; Data'!E$16,IF(AND(M10=2,L10=1),'Specification &amp; Data'!F$14,IF(AND(M10=2,L10=2),'Specification &amp; Data'!F$15,IF(AND(M10=2,L10=3),'Specification &amp; Data'!F$16,IF(AND(M10=3,L10=1),'Specification &amp; Data'!I$14,IF(AND(M10=3,L10=2),'Specification &amp; Data'!I$15,IF(AND(M10=3,L10=3),'Specification &amp; Data'!I$16)))))))))</f>
        <v>409.43800800000002</v>
      </c>
      <c r="U10" s="27">
        <f>IF(AND(M10=1,L10=1),'Specification &amp; Data'!E$24,IF(AND(M10=1,L10=2),'Specification &amp; Data'!E$25,IF(AND(M10=1,L10=3),'Specification &amp; Data'!E$26,IF(M10=2,0,IF(AND(M10=3,L10=1),'Specification &amp; Data'!I$24,IF(AND(M10=3,L10=2),'Specification &amp; Data'!I$25,IF(AND(M10=3,L10=3),'Specification &amp; Data'!I$26)))))))</f>
        <v>178.61733099000003</v>
      </c>
      <c r="V10" s="27">
        <f>'Specification &amp; Data'!B$46-Simulation!S10-Simulation!T10-Simulation!U10</f>
        <v>118.90024114279396</v>
      </c>
      <c r="W10" s="27">
        <f>Simulation!V10/Simulation!Y10</f>
        <v>0.2002333514550694</v>
      </c>
      <c r="X10" s="27">
        <f>60*Simulation!Q10/(2*'Specification &amp; Data'!B$15*PI())</f>
        <v>53.325967857517227</v>
      </c>
      <c r="Y10" s="27">
        <f>IF(L10=1,'Specification &amp; Data'!B$56,IF(L10=2,'Specification &amp; Data'!B$57,IF(L10=3,'Specification &amp; Data'!B$58)))</f>
        <v>593.80837547172621</v>
      </c>
      <c r="Z10" s="38">
        <f>Simulation!Y10*Simulation!Q10^2/(2*1000)</f>
        <v>0.5973357195861202</v>
      </c>
    </row>
    <row r="11" spans="1:26">
      <c r="G11" s="42">
        <v>2700</v>
      </c>
      <c r="H11" s="42">
        <v>5.93</v>
      </c>
      <c r="I11" s="38">
        <f>Simulation!H11*746/1000</f>
        <v>4.4237799999999998</v>
      </c>
      <c r="J11" s="38">
        <f>60*1000*Simulation!I11/(2*PI()*Simulation!G11)</f>
        <v>15.645921203356993</v>
      </c>
      <c r="K11" s="37">
        <v>516.02</v>
      </c>
      <c r="L11" s="27">
        <f>IF(Q11&lt;='Specification &amp; Data'!I$7,1,IF(AND(Q11&gt;'Specification &amp; Data'!I$7,Q11&lt;='Specification &amp; Data'!I$8),2,IF(Q11&gt;'Specification &amp; Data'!I$8,3)))</f>
        <v>1</v>
      </c>
      <c r="M11" s="36">
        <v>1</v>
      </c>
      <c r="N11" s="33">
        <f t="shared" si="0"/>
        <v>6</v>
      </c>
      <c r="O11" s="27">
        <f>O10+(1/Simulation!Q11)</f>
        <v>5.7336049564232479</v>
      </c>
      <c r="P11" s="38">
        <f>Simulation!Q11*3.6</f>
        <v>5.5914236658441911</v>
      </c>
      <c r="Q11" s="38">
        <f>MIN('Specification &amp; Data'!I$9,SQRT(2*Simulation!R10+Simulation!Q10^2))</f>
        <v>1.5531732405122753</v>
      </c>
      <c r="R11" s="38">
        <f>IF(Q11=Q10,0,IF(Q11&lt;&gt;Q10,Simulation!V11/Simulation!Y11))</f>
        <v>0.19991629666614119</v>
      </c>
      <c r="S11" s="27">
        <f>'Specification &amp; Data'!B$21*'Specification &amp; Data'!B$11*'Specification &amp; Data'!B$23*(Simulation!Q11^2)/2</f>
        <v>1.1341069791895388</v>
      </c>
      <c r="T11" s="27">
        <f>IF(AND(M11=1,L11=1),'Specification &amp; Data'!E$14,IF(AND(M11=1,L11=2),'Specification &amp; Data'!E$15,IF(AND(M11=1,L11=3),'Specification &amp; Data'!E$16,IF(AND(M11=2,L11=1),'Specification &amp; Data'!F$14,IF(AND(M11=2,L11=2),'Specification &amp; Data'!F$15,IF(AND(M11=2,L11=3),'Specification &amp; Data'!F$16,IF(AND(M11=3,L11=1),'Specification &amp; Data'!I$14,IF(AND(M11=3,L11=2),'Specification &amp; Data'!I$15,IF(AND(M11=3,L11=3),'Specification &amp; Data'!I$16)))))))))</f>
        <v>409.43800800000002</v>
      </c>
      <c r="U11" s="27">
        <f>IF(AND(M11=1,L11=1),'Specification &amp; Data'!E$24,IF(AND(M11=1,L11=2),'Specification &amp; Data'!E$25,IF(AND(M11=1,L11=3),'Specification &amp; Data'!E$26,IF(M11=2,0,IF(AND(M11=3,L11=1),'Specification &amp; Data'!I$24,IF(AND(M11=3,L11=2),'Specification &amp; Data'!I$25,IF(AND(M11=3,L11=3),'Specification &amp; Data'!I$26)))))))</f>
        <v>178.61733099000003</v>
      </c>
      <c r="V11" s="27">
        <f>'Specification &amp; Data'!B$46-Simulation!S11-Simulation!T11-Simulation!U11</f>
        <v>118.71197135364497</v>
      </c>
      <c r="W11" s="27">
        <f>Simulation!V11/Simulation!Y11</f>
        <v>0.19991629666614119</v>
      </c>
      <c r="X11" s="27">
        <f>60*Simulation!Q11/(2*'Specification &amp; Data'!B$15*PI())</f>
        <v>58.39256662336674</v>
      </c>
      <c r="Y11" s="27">
        <f>IF(L11=1,'Specification &amp; Data'!B$56,IF(L11=2,'Specification &amp; Data'!B$57,IF(L11=3,'Specification &amp; Data'!B$58)))</f>
        <v>593.80837547172621</v>
      </c>
      <c r="Z11" s="38">
        <f>Simulation!Y11*Simulation!Q11^2/(2*1000)</f>
        <v>0.71623596072891405</v>
      </c>
    </row>
    <row r="12" spans="1:26">
      <c r="G12" s="42">
        <v>3000</v>
      </c>
      <c r="H12" s="42">
        <v>7.17</v>
      </c>
      <c r="I12" s="38">
        <f>Simulation!H12*746/1000</f>
        <v>5.3488199999999999</v>
      </c>
      <c r="J12" s="38">
        <f>60*1000*Simulation!I12/(2*PI()*Simulation!G12)</f>
        <v>17.025822854175832</v>
      </c>
      <c r="K12" s="37">
        <v>504.2</v>
      </c>
      <c r="L12" s="27">
        <f>IF(Q12&lt;='Specification &amp; Data'!I$7,1,IF(AND(Q12&gt;'Specification &amp; Data'!I$7,Q12&lt;='Specification &amp; Data'!I$8),2,IF(Q12&gt;'Specification &amp; Data'!I$8,3)))</f>
        <v>1</v>
      </c>
      <c r="M12" s="36">
        <v>1</v>
      </c>
      <c r="N12" s="33">
        <f t="shared" si="0"/>
        <v>7</v>
      </c>
      <c r="O12" s="27">
        <f>O11+(1/Simulation!Q12)</f>
        <v>6.3299237062167943</v>
      </c>
      <c r="P12" s="38">
        <f>Simulation!Q12*3.6</f>
        <v>6.0370397564161262</v>
      </c>
      <c r="Q12" s="38">
        <f>MIN('Specification &amp; Data'!I$9,SQRT(2*Simulation!R11+Simulation!Q11^2))</f>
        <v>1.6769554878933683</v>
      </c>
      <c r="R12" s="38">
        <f>IF(Q12=Q11,0,IF(Q12&lt;&gt;Q11,Simulation!V12/Simulation!Y12))</f>
        <v>0.19959974391015825</v>
      </c>
      <c r="S12" s="27">
        <f>'Specification &amp; Data'!B$21*'Specification &amp; Data'!B$11*'Specification &amp; Data'!B$23*(Simulation!Q12^2)/2</f>
        <v>1.322078656970842</v>
      </c>
      <c r="T12" s="27">
        <f>IF(AND(M12=1,L12=1),'Specification &amp; Data'!E$14,IF(AND(M12=1,L12=2),'Specification &amp; Data'!E$15,IF(AND(M12=1,L12=3),'Specification &amp; Data'!E$16,IF(AND(M12=2,L12=1),'Specification &amp; Data'!F$14,IF(AND(M12=2,L12=2),'Specification &amp; Data'!F$15,IF(AND(M12=2,L12=3),'Specification &amp; Data'!F$16,IF(AND(M12=3,L12=1),'Specification &amp; Data'!I$14,IF(AND(M12=3,L12=2),'Specification &amp; Data'!I$15,IF(AND(M12=3,L12=3),'Specification &amp; Data'!I$16)))))))))</f>
        <v>409.43800800000002</v>
      </c>
      <c r="U12" s="27">
        <f>IF(AND(M12=1,L12=1),'Specification &amp; Data'!E$24,IF(AND(M12=1,L12=2),'Specification &amp; Data'!E$25,IF(AND(M12=1,L12=3),'Specification &amp; Data'!E$26,IF(M12=2,0,IF(AND(M12=3,L12=1),'Specification &amp; Data'!I$24,IF(AND(M12=3,L12=2),'Specification &amp; Data'!I$25,IF(AND(M12=3,L12=3),'Specification &amp; Data'!I$26)))))))</f>
        <v>178.61733099000003</v>
      </c>
      <c r="V12" s="27">
        <f>'Specification &amp; Data'!B$46-Simulation!S12-Simulation!T12-Simulation!U12</f>
        <v>118.52399967586365</v>
      </c>
      <c r="W12" s="27">
        <f>Simulation!V12/Simulation!Y12</f>
        <v>0.19959974391015825</v>
      </c>
      <c r="X12" s="27">
        <f>60*Simulation!Q12/(2*'Specification &amp; Data'!B$15*PI())</f>
        <v>63.046241396057624</v>
      </c>
      <c r="Y12" s="27">
        <f>IF(L12=1,'Specification &amp; Data'!B$56,IF(L12=2,'Specification &amp; Data'!B$57,IF(L12=3,'Specification &amp; Data'!B$58)))</f>
        <v>593.80837547172621</v>
      </c>
      <c r="Z12" s="38">
        <f>Simulation!Y12*Simulation!Q12^2/(2*1000)</f>
        <v>0.83494793208255924</v>
      </c>
    </row>
    <row r="13" spans="1:26">
      <c r="G13" s="42">
        <v>3200</v>
      </c>
      <c r="H13" s="42">
        <v>8.0299999999999994</v>
      </c>
      <c r="I13" s="38">
        <f>Simulation!H13*746/1000</f>
        <v>5.9903799999999991</v>
      </c>
      <c r="J13" s="38">
        <f>60*1000*Simulation!I13/(2*PI()*Simulation!G13)</f>
        <v>17.87622352497802</v>
      </c>
      <c r="K13" s="37">
        <v>498.7</v>
      </c>
      <c r="L13" s="27">
        <f>IF(Q13&lt;='Specification &amp; Data'!I$7,1,IF(AND(Q13&gt;'Specification &amp; Data'!I$7,Q13&lt;='Specification &amp; Data'!I$8),2,IF(Q13&gt;'Specification &amp; Data'!I$8,3)))</f>
        <v>1</v>
      </c>
      <c r="M13" s="36">
        <v>1</v>
      </c>
      <c r="N13" s="33">
        <f t="shared" si="0"/>
        <v>8</v>
      </c>
      <c r="O13" s="27">
        <f>O12+(1/Simulation!Q13)</f>
        <v>6.8879494116925732</v>
      </c>
      <c r="P13" s="38">
        <f>Simulation!Q13*3.6</f>
        <v>6.4513157094270461</v>
      </c>
      <c r="Q13" s="38">
        <f>MIN('Specification &amp; Data'!I$9,SQRT(2*Simulation!R12+Simulation!Q12^2))</f>
        <v>1.7920321415075127</v>
      </c>
      <c r="R13" s="38">
        <f>IF(Q13=Q12,0,IF(Q13&lt;&gt;Q12,Simulation!V13/Simulation!Y13))</f>
        <v>0.19928369239218838</v>
      </c>
      <c r="S13" s="27">
        <f>'Specification &amp; Data'!B$21*'Specification &amp; Data'!B$11*'Specification &amp; Data'!B$23*(Simulation!Q13^2)/2</f>
        <v>1.5097526954218818</v>
      </c>
      <c r="T13" s="27">
        <f>IF(AND(M13=1,L13=1),'Specification &amp; Data'!E$14,IF(AND(M13=1,L13=2),'Specification &amp; Data'!E$15,IF(AND(M13=1,L13=3),'Specification &amp; Data'!E$16,IF(AND(M13=2,L13=1),'Specification &amp; Data'!F$14,IF(AND(M13=2,L13=2),'Specification &amp; Data'!F$15,IF(AND(M13=2,L13=3),'Specification &amp; Data'!F$16,IF(AND(M13=3,L13=1),'Specification &amp; Data'!I$14,IF(AND(M13=3,L13=2),'Specification &amp; Data'!I$15,IF(AND(M13=3,L13=3),'Specification &amp; Data'!I$16)))))))))</f>
        <v>409.43800800000002</v>
      </c>
      <c r="U13" s="27">
        <f>IF(AND(M13=1,L13=1),'Specification &amp; Data'!E$24,IF(AND(M13=1,L13=2),'Specification &amp; Data'!E$25,IF(AND(M13=1,L13=3),'Specification &amp; Data'!E$26,IF(M13=2,0,IF(AND(M13=3,L13=1),'Specification &amp; Data'!I$24,IF(AND(M13=3,L13=2),'Specification &amp; Data'!I$25,IF(AND(M13=3,L13=3),'Specification &amp; Data'!I$26)))))))</f>
        <v>178.61733099000003</v>
      </c>
      <c r="V13" s="27">
        <f>'Specification &amp; Data'!B$46-Simulation!S13-Simulation!T13-Simulation!U13</f>
        <v>118.33632563741259</v>
      </c>
      <c r="W13" s="27">
        <f>Simulation!V13/Simulation!Y13</f>
        <v>0.19928369239218838</v>
      </c>
      <c r="X13" s="27">
        <f>60*Simulation!Q13/(2*'Specification &amp; Data'!B$15*PI())</f>
        <v>67.372623661529659</v>
      </c>
      <c r="Y13" s="27">
        <f>IF(L13=1,'Specification &amp; Data'!B$56,IF(L13=2,'Specification &amp; Data'!B$57,IF(L13=3,'Specification &amp; Data'!B$58)))</f>
        <v>593.80837547172621</v>
      </c>
      <c r="Z13" s="38">
        <f>Simulation!Y13*Simulation!Q13^2/(2*1000)</f>
        <v>0.95347193175842304</v>
      </c>
    </row>
    <row r="14" spans="1:26">
      <c r="G14" s="42">
        <v>3400</v>
      </c>
      <c r="H14" s="42">
        <v>8.9600000000000009</v>
      </c>
      <c r="I14" s="38">
        <f>Simulation!H14*746/1000</f>
        <v>6.6841600000000003</v>
      </c>
      <c r="J14" s="38">
        <f>60*1000*Simulation!I14/(2*PI()*Simulation!G14)</f>
        <v>18.773243019125704</v>
      </c>
      <c r="K14" s="37">
        <v>493.2</v>
      </c>
      <c r="L14" s="27">
        <f>IF(Q14&lt;='Specification &amp; Data'!I$7,1,IF(AND(Q14&gt;'Specification &amp; Data'!I$7,Q14&lt;='Specification &amp; Data'!I$8),2,IF(Q14&gt;'Specification &amp; Data'!I$8,3)))</f>
        <v>1</v>
      </c>
      <c r="M14" s="36">
        <v>1</v>
      </c>
      <c r="N14" s="33">
        <f t="shared" si="0"/>
        <v>9</v>
      </c>
      <c r="O14" s="27">
        <f>O13+(1/Simulation!Q14)</f>
        <v>7.414269095291675</v>
      </c>
      <c r="P14" s="38">
        <f>Simulation!Q14*3.6</f>
        <v>6.8399493923205092</v>
      </c>
      <c r="Q14" s="38">
        <f>MIN('Specification &amp; Data'!I$9,SQRT(2*Simulation!R13+Simulation!Q13^2))</f>
        <v>1.8999859423112526</v>
      </c>
      <c r="R14" s="38">
        <f>IF(Q14=Q13,0,IF(Q14&lt;&gt;Q13,Simulation!V14/Simulation!Y14))</f>
        <v>0.19896814131855814</v>
      </c>
      <c r="S14" s="27">
        <f>'Specification &amp; Data'!B$21*'Specification &amp; Data'!B$11*'Specification &amp; Data'!B$23*(Simulation!Q14^2)/2</f>
        <v>1.6971295658326524</v>
      </c>
      <c r="T14" s="27">
        <f>IF(AND(M14=1,L14=1),'Specification &amp; Data'!E$14,IF(AND(M14=1,L14=2),'Specification &amp; Data'!E$15,IF(AND(M14=1,L14=3),'Specification &amp; Data'!E$16,IF(AND(M14=2,L14=1),'Specification &amp; Data'!F$14,IF(AND(M14=2,L14=2),'Specification &amp; Data'!F$15,IF(AND(M14=2,L14=3),'Specification &amp; Data'!F$16,IF(AND(M14=3,L14=1),'Specification &amp; Data'!I$14,IF(AND(M14=3,L14=2),'Specification &amp; Data'!I$15,IF(AND(M14=3,L14=3),'Specification &amp; Data'!I$16)))))))))</f>
        <v>409.43800800000002</v>
      </c>
      <c r="U14" s="27">
        <f>IF(AND(M14=1,L14=1),'Specification &amp; Data'!E$24,IF(AND(M14=1,L14=2),'Specification &amp; Data'!E$25,IF(AND(M14=1,L14=3),'Specification &amp; Data'!E$26,IF(M14=2,0,IF(AND(M14=3,L14=1),'Specification &amp; Data'!I$24,IF(AND(M14=3,L14=2),'Specification &amp; Data'!I$25,IF(AND(M14=3,L14=3),'Specification &amp; Data'!I$26)))))))</f>
        <v>178.61733099000003</v>
      </c>
      <c r="V14" s="27">
        <f>'Specification &amp; Data'!B$46-Simulation!S14-Simulation!T14-Simulation!U14</f>
        <v>118.14894876700185</v>
      </c>
      <c r="W14" s="27">
        <f>Simulation!V14/Simulation!Y14</f>
        <v>0.19896814131855814</v>
      </c>
      <c r="X14" s="27">
        <f>60*Simulation!Q14/(2*'Specification &amp; Data'!B$15*PI())</f>
        <v>71.431217604082335</v>
      </c>
      <c r="Y14" s="27">
        <f>IF(L14=1,'Specification &amp; Data'!B$56,IF(L14=2,'Specification &amp; Data'!B$57,IF(L14=3,'Specification &amp; Data'!B$58)))</f>
        <v>593.80837547172621</v>
      </c>
      <c r="Z14" s="38">
        <f>Simulation!Y14*Simulation!Q14^2/(2*1000)</f>
        <v>1.0718082573958354</v>
      </c>
    </row>
    <row r="15" spans="1:26">
      <c r="G15" s="42">
        <v>3600</v>
      </c>
      <c r="H15" s="42">
        <v>9.64</v>
      </c>
      <c r="I15" s="38">
        <f>Simulation!H15*746/1000</f>
        <v>7.1914400000000009</v>
      </c>
      <c r="J15" s="38">
        <f>60*1000*Simulation!I15/(2*PI()*Simulation!G15)</f>
        <v>19.075887065813003</v>
      </c>
      <c r="K15" s="37">
        <v>487.6</v>
      </c>
      <c r="L15" s="27">
        <f>IF(Q15&lt;='Specification &amp; Data'!I$7,1,IF(AND(Q15&gt;'Specification &amp; Data'!I$7,Q15&lt;='Specification &amp; Data'!I$8),2,IF(Q15&gt;'Specification &amp; Data'!I$8,3)))</f>
        <v>1</v>
      </c>
      <c r="M15" s="36">
        <v>1</v>
      </c>
      <c r="N15" s="33">
        <f t="shared" si="0"/>
        <v>10</v>
      </c>
      <c r="O15" s="27">
        <f>O14+(1/Simulation!Q15)</f>
        <v>7.9137771433194679</v>
      </c>
      <c r="P15" s="38">
        <f>Simulation!Q15*3.6</f>
        <v>7.2070910853466197</v>
      </c>
      <c r="Q15" s="38">
        <f>MIN('Specification &amp; Data'!I$9,SQRT(2*Simulation!R14+Simulation!Q14^2))</f>
        <v>2.0019697459296166</v>
      </c>
      <c r="R15" s="38">
        <f>IF(Q15=Q14,0,IF(Q15&lt;&gt;Q14,Simulation!V15/Simulation!Y15))</f>
        <v>0.19865308989685043</v>
      </c>
      <c r="S15" s="27">
        <f>'Specification &amp; Data'!B$21*'Specification &amp; Data'!B$11*'Specification &amp; Data'!B$23*(Simulation!Q15^2)/2</f>
        <v>1.8842097387468946</v>
      </c>
      <c r="T15" s="27">
        <f>IF(AND(M15=1,L15=1),'Specification &amp; Data'!E$14,IF(AND(M15=1,L15=2),'Specification &amp; Data'!E$15,IF(AND(M15=1,L15=3),'Specification &amp; Data'!E$16,IF(AND(M15=2,L15=1),'Specification &amp; Data'!F$14,IF(AND(M15=2,L15=2),'Specification &amp; Data'!F$15,IF(AND(M15=2,L15=3),'Specification &amp; Data'!F$16,IF(AND(M15=3,L15=1),'Specification &amp; Data'!I$14,IF(AND(M15=3,L15=2),'Specification &amp; Data'!I$15,IF(AND(M15=3,L15=3),'Specification &amp; Data'!I$16)))))))))</f>
        <v>409.43800800000002</v>
      </c>
      <c r="U15" s="27">
        <f>IF(AND(M15=1,L15=1),'Specification &amp; Data'!E$24,IF(AND(M15=1,L15=2),'Specification &amp; Data'!E$25,IF(AND(M15=1,L15=3),'Specification &amp; Data'!E$26,IF(M15=2,0,IF(AND(M15=3,L15=1),'Specification &amp; Data'!I$24,IF(AND(M15=3,L15=2),'Specification &amp; Data'!I$25,IF(AND(M15=3,L15=3),'Specification &amp; Data'!I$26)))))))</f>
        <v>178.61733099000003</v>
      </c>
      <c r="V15" s="27">
        <f>'Specification &amp; Data'!B$46-Simulation!S15-Simulation!T15-Simulation!U15</f>
        <v>117.96186859408755</v>
      </c>
      <c r="W15" s="27">
        <f>Simulation!V15/Simulation!Y15</f>
        <v>0.19865308989685043</v>
      </c>
      <c r="X15" s="27">
        <f>60*Simulation!Q15/(2*'Specification &amp; Data'!B$15*PI())</f>
        <v>75.265365587037238</v>
      </c>
      <c r="Y15" s="27">
        <f>IF(L15=1,'Specification &amp; Data'!B$56,IF(L15=2,'Specification &amp; Data'!B$57,IF(L15=3,'Specification &amp; Data'!B$58)))</f>
        <v>593.80837547172621</v>
      </c>
      <c r="Z15" s="38">
        <f>Simulation!Y15*Simulation!Q15^2/(2*1000)</f>
        <v>1.189957206162837</v>
      </c>
    </row>
    <row r="16" spans="1:26">
      <c r="G16" s="42">
        <v>3800</v>
      </c>
      <c r="H16" s="42">
        <v>10.07</v>
      </c>
      <c r="I16" s="38">
        <f>Simulation!H16*746/1000</f>
        <v>7.5122200000000001</v>
      </c>
      <c r="J16" s="38">
        <f>60*1000*Simulation!I16/(2*PI()*Simulation!G16)</f>
        <v>18.878004419902073</v>
      </c>
      <c r="K16" s="37">
        <v>488.4</v>
      </c>
      <c r="L16" s="27">
        <f>IF(Q16&lt;='Specification &amp; Data'!I$7,1,IF(AND(Q16&gt;'Specification &amp; Data'!I$7,Q16&lt;='Specification &amp; Data'!I$8),2,IF(Q16&gt;'Specification &amp; Data'!I$8,3)))</f>
        <v>1</v>
      </c>
      <c r="M16" s="36">
        <v>1</v>
      </c>
      <c r="N16" s="33">
        <f t="shared" si="0"/>
        <v>11</v>
      </c>
      <c r="O16" s="27">
        <f>O15+(1/Simulation!Q16)</f>
        <v>8.3902275750464277</v>
      </c>
      <c r="P16" s="38">
        <f>Simulation!Q16*3.6</f>
        <v>7.5558751976597058</v>
      </c>
      <c r="Q16" s="38">
        <f>MIN('Specification &amp; Data'!I$9,SQRT(2*Simulation!R15+Simulation!Q15^2))</f>
        <v>2.0988542215721404</v>
      </c>
      <c r="R16" s="38">
        <f>IF(Q16=Q15,0,IF(Q16&lt;&gt;Q15,Simulation!V16/Simulation!Y16))</f>
        <v>0.19833853733590354</v>
      </c>
      <c r="S16" s="27">
        <f>'Specification &amp; Data'!B$21*'Specification &amp; Data'!B$11*'Specification &amp; Data'!B$23*(Simulation!Q16^2)/2</f>
        <v>2.0709936839632794</v>
      </c>
      <c r="T16" s="27">
        <f>IF(AND(M16=1,L16=1),'Specification &amp; Data'!E$14,IF(AND(M16=1,L16=2),'Specification &amp; Data'!E$15,IF(AND(M16=1,L16=3),'Specification &amp; Data'!E$16,IF(AND(M16=2,L16=1),'Specification &amp; Data'!F$14,IF(AND(M16=2,L16=2),'Specification &amp; Data'!F$15,IF(AND(M16=2,L16=3),'Specification &amp; Data'!F$16,IF(AND(M16=3,L16=1),'Specification &amp; Data'!I$14,IF(AND(M16=3,L16=2),'Specification &amp; Data'!I$15,IF(AND(M16=3,L16=3),'Specification &amp; Data'!I$16)))))))))</f>
        <v>409.43800800000002</v>
      </c>
      <c r="U16" s="27">
        <f>IF(AND(M16=1,L16=1),'Specification &amp; Data'!E$24,IF(AND(M16=1,L16=2),'Specification &amp; Data'!E$25,IF(AND(M16=1,L16=3),'Specification &amp; Data'!E$26,IF(M16=2,0,IF(AND(M16=3,L16=1),'Specification &amp; Data'!I$24,IF(AND(M16=3,L16=2),'Specification &amp; Data'!I$25,IF(AND(M16=3,L16=3),'Specification &amp; Data'!I$26)))))))</f>
        <v>178.61733099000003</v>
      </c>
      <c r="V16" s="27">
        <f>'Specification &amp; Data'!B$46-Simulation!S16-Simulation!T16-Simulation!U16</f>
        <v>117.7750846488712</v>
      </c>
      <c r="W16" s="27">
        <f>Simulation!V16/Simulation!Y16</f>
        <v>0.19833853733590354</v>
      </c>
      <c r="X16" s="27">
        <f>60*Simulation!Q16/(2*'Specification &amp; Data'!B$15*PI())</f>
        <v>78.907800990353934</v>
      </c>
      <c r="Y16" s="27">
        <f>IF(L16=1,'Specification &amp; Data'!B$56,IF(L16=2,'Specification &amp; Data'!B$57,IF(L16=3,'Specification &amp; Data'!B$58)))</f>
        <v>593.80837547172621</v>
      </c>
      <c r="Z16" s="38">
        <f>Simulation!Y16*Simulation!Q16^2/(2*1000)</f>
        <v>1.3079190747569249</v>
      </c>
    </row>
    <row r="17" spans="1:26">
      <c r="G17" s="42">
        <v>3900</v>
      </c>
      <c r="H17" s="42">
        <v>10.28</v>
      </c>
      <c r="I17" s="38">
        <f>Simulation!H17*746/1000</f>
        <v>7.6688799999999988</v>
      </c>
      <c r="J17" s="38">
        <f>60*1000*Simulation!I17/(2*PI()*Simulation!G17)</f>
        <v>18.777540922747292</v>
      </c>
      <c r="K17" s="37">
        <v>488.4</v>
      </c>
      <c r="L17" s="27">
        <f>IF(Q17&lt;='Specification &amp; Data'!I$7,1,IF(AND(Q17&gt;'Specification &amp; Data'!I$7,Q17&lt;='Specification &amp; Data'!I$8),2,IF(Q17&gt;'Specification &amp; Data'!I$8,3)))</f>
        <v>1</v>
      </c>
      <c r="M17" s="36">
        <v>1</v>
      </c>
      <c r="N17" s="33">
        <f t="shared" si="0"/>
        <v>12</v>
      </c>
      <c r="O17" s="27">
        <f>O16+(1/Simulation!Q17)</f>
        <v>8.8465743402385542</v>
      </c>
      <c r="P17" s="38">
        <f>Simulation!Q17*3.6</f>
        <v>7.8887378515422677</v>
      </c>
      <c r="Q17" s="38">
        <f>MIN('Specification &amp; Data'!I$9,SQRT(2*Simulation!R16+Simulation!Q16^2))</f>
        <v>2.191316069872852</v>
      </c>
      <c r="R17" s="38">
        <f>IF(Q17=Q16,0,IF(Q17&lt;&gt;Q16,Simulation!V17/Simulation!Y17))</f>
        <v>0.19802448284580781</v>
      </c>
      <c r="S17" s="27">
        <f>'Specification &amp; Data'!B$21*'Specification &amp; Data'!B$11*'Specification &amp; Data'!B$23*(Simulation!Q17^2)/2</f>
        <v>2.2574818705365836</v>
      </c>
      <c r="T17" s="27">
        <f>IF(AND(M17=1,L17=1),'Specification &amp; Data'!E$14,IF(AND(M17=1,L17=2),'Specification &amp; Data'!E$15,IF(AND(M17=1,L17=3),'Specification &amp; Data'!E$16,IF(AND(M17=2,L17=1),'Specification &amp; Data'!F$14,IF(AND(M17=2,L17=2),'Specification &amp; Data'!F$15,IF(AND(M17=2,L17=3),'Specification &amp; Data'!F$16,IF(AND(M17=3,L17=1),'Specification &amp; Data'!I$14,IF(AND(M17=3,L17=2),'Specification &amp; Data'!I$15,IF(AND(M17=3,L17=3),'Specification &amp; Data'!I$16)))))))))</f>
        <v>409.43800800000002</v>
      </c>
      <c r="U17" s="27">
        <f>IF(AND(M17=1,L17=1),'Specification &amp; Data'!E$24,IF(AND(M17=1,L17=2),'Specification &amp; Data'!E$25,IF(AND(M17=1,L17=3),'Specification &amp; Data'!E$26,IF(M17=2,0,IF(AND(M17=3,L17=1),'Specification &amp; Data'!I$24,IF(AND(M17=3,L17=2),'Specification &amp; Data'!I$25,IF(AND(M17=3,L17=3),'Specification &amp; Data'!I$26)))))))</f>
        <v>178.61733099000003</v>
      </c>
      <c r="V17" s="27">
        <f>'Specification &amp; Data'!B$46-Simulation!S17-Simulation!T17-Simulation!U17</f>
        <v>117.58859646229786</v>
      </c>
      <c r="W17" s="27">
        <f>Simulation!V17/Simulation!Y17</f>
        <v>0.19802448284580781</v>
      </c>
      <c r="X17" s="27">
        <f>60*Simulation!Q17/(2*'Specification &amp; Data'!B$15*PI())</f>
        <v>82.383964818181767</v>
      </c>
      <c r="Y17" s="27">
        <f>IF(L17=1,'Specification &amp; Data'!B$56,IF(L17=2,'Specification &amp; Data'!B$57,IF(L17=3,'Specification &amp; Data'!B$58)))</f>
        <v>593.80837547172621</v>
      </c>
      <c r="Z17" s="38">
        <f>Simulation!Y17*Simulation!Q17^2/(2*1000)</f>
        <v>1.4256941594057957</v>
      </c>
    </row>
    <row r="18" spans="1:26">
      <c r="G18" s="42">
        <v>4000</v>
      </c>
      <c r="H18" s="42">
        <v>10.86</v>
      </c>
      <c r="I18" s="38">
        <f>Simulation!H18*746/1000</f>
        <v>8.1015599999999992</v>
      </c>
      <c r="J18" s="38">
        <f>60*1000*Simulation!I18/(2*PI()*Simulation!G18)</f>
        <v>19.341049811333633</v>
      </c>
      <c r="K18" s="37">
        <v>482.7</v>
      </c>
      <c r="L18" s="27">
        <f>IF(Q18&lt;='Specification &amp; Data'!I$7,1,IF(AND(Q18&gt;'Specification &amp; Data'!I$7,Q18&lt;='Specification &amp; Data'!I$8),2,IF(Q18&gt;'Specification &amp; Data'!I$8,3)))</f>
        <v>1</v>
      </c>
      <c r="M18" s="36">
        <v>1</v>
      </c>
      <c r="N18" s="33">
        <f t="shared" si="0"/>
        <v>13</v>
      </c>
      <c r="O18" s="27">
        <f>O17+(1/Simulation!Q18)</f>
        <v>9.2851912894378952</v>
      </c>
      <c r="P18" s="38">
        <f>Simulation!Q18*3.6</f>
        <v>8.2076171624728609</v>
      </c>
      <c r="Q18" s="38">
        <f>MIN('Specification &amp; Data'!I$9,SQRT(2*Simulation!R17+Simulation!Q17^2))</f>
        <v>2.2798936562424612</v>
      </c>
      <c r="R18" s="38">
        <f>IF(Q18=Q17,0,IF(Q18&lt;&gt;Q17,Simulation!V18/Simulation!Y18))</f>
        <v>0.19771092563790499</v>
      </c>
      <c r="S18" s="27">
        <f>'Specification &amp; Data'!B$21*'Specification &amp; Data'!B$11*'Specification &amp; Data'!B$23*(Simulation!Q18^2)/2</f>
        <v>2.4436747667788716</v>
      </c>
      <c r="T18" s="27">
        <f>IF(AND(M18=1,L18=1),'Specification &amp; Data'!E$14,IF(AND(M18=1,L18=2),'Specification &amp; Data'!E$15,IF(AND(M18=1,L18=3),'Specification &amp; Data'!E$16,IF(AND(M18=2,L18=1),'Specification &amp; Data'!F$14,IF(AND(M18=2,L18=2),'Specification &amp; Data'!F$15,IF(AND(M18=2,L18=3),'Specification &amp; Data'!F$16,IF(AND(M18=3,L18=1),'Specification &amp; Data'!I$14,IF(AND(M18=3,L18=2),'Specification &amp; Data'!I$15,IF(AND(M18=3,L18=3),'Specification &amp; Data'!I$16)))))))))</f>
        <v>409.43800800000002</v>
      </c>
      <c r="U18" s="27">
        <f>IF(AND(M18=1,L18=1),'Specification &amp; Data'!E$24,IF(AND(M18=1,L18=2),'Specification &amp; Data'!E$25,IF(AND(M18=1,L18=3),'Specification &amp; Data'!E$26,IF(M18=2,0,IF(AND(M18=3,L18=1),'Specification &amp; Data'!I$24,IF(AND(M18=3,L18=2),'Specification &amp; Data'!I$25,IF(AND(M18=3,L18=3),'Specification &amp; Data'!I$26)))))))</f>
        <v>178.61733099000003</v>
      </c>
      <c r="V18" s="27">
        <f>'Specification &amp; Data'!B$46-Simulation!S18-Simulation!T18-Simulation!U18</f>
        <v>117.40240356605563</v>
      </c>
      <c r="W18" s="27">
        <f>Simulation!V18/Simulation!Y18</f>
        <v>0.19771092563790499</v>
      </c>
      <c r="X18" s="27">
        <f>60*Simulation!Q18/(2*'Specification &amp; Data'!B$15*PI())</f>
        <v>85.714097271222542</v>
      </c>
      <c r="Y18" s="27">
        <f>IF(L18=1,'Specification &amp; Data'!B$56,IF(L18=2,'Specification &amp; Data'!B$57,IF(L18=3,'Specification &amp; Data'!B$58)))</f>
        <v>593.80837547172621</v>
      </c>
      <c r="Z18" s="38">
        <f>Simulation!Y18*Simulation!Q18^2/(2*1000)</f>
        <v>1.5432827558680935</v>
      </c>
    </row>
    <row r="19" spans="1:26">
      <c r="G19" s="42">
        <v>4200</v>
      </c>
      <c r="H19" s="42">
        <v>12.04</v>
      </c>
      <c r="I19" s="38">
        <f>Simulation!H19*746/1000</f>
        <v>8.98184</v>
      </c>
      <c r="J19" s="38">
        <f>60*1000*Simulation!I19/(2*PI()*Simulation!G19)</f>
        <v>20.421489058007275</v>
      </c>
      <c r="K19" s="37">
        <v>479.7</v>
      </c>
      <c r="L19" s="27">
        <f>IF(Q19&lt;='Specification &amp; Data'!I$7,1,IF(AND(Q19&gt;'Specification &amp; Data'!I$7,Q19&lt;='Specification &amp; Data'!I$8),2,IF(Q19&gt;'Specification &amp; Data'!I$8,3)))</f>
        <v>1</v>
      </c>
      <c r="M19" s="36">
        <v>1</v>
      </c>
      <c r="N19" s="33">
        <f t="shared" si="0"/>
        <v>14</v>
      </c>
      <c r="O19" s="27">
        <f>O18+(1/Simulation!Q19)</f>
        <v>9.7080200394773932</v>
      </c>
      <c r="P19" s="38">
        <f>Simulation!Q19*3.6</f>
        <v>8.5140851932696524</v>
      </c>
      <c r="Q19" s="38">
        <f>MIN('Specification &amp; Data'!I$9,SQRT(2*Simulation!R18+Simulation!Q18^2))</f>
        <v>2.3650236647971257</v>
      </c>
      <c r="R19" s="38">
        <f>IF(Q19=Q18,0,IF(Q19&lt;&gt;Q18,Simulation!V19/Simulation!Y19))</f>
        <v>0.19739786492478484</v>
      </c>
      <c r="S19" s="27">
        <f>'Specification &amp; Data'!B$21*'Specification &amp; Data'!B$11*'Specification &amp; Data'!B$23*(Simulation!Q19^2)/2</f>
        <v>2.6295728402606704</v>
      </c>
      <c r="T19" s="27">
        <f>IF(AND(M19=1,L19=1),'Specification &amp; Data'!E$14,IF(AND(M19=1,L19=2),'Specification &amp; Data'!E$15,IF(AND(M19=1,L19=3),'Specification &amp; Data'!E$16,IF(AND(M19=2,L19=1),'Specification &amp; Data'!F$14,IF(AND(M19=2,L19=2),'Specification &amp; Data'!F$15,IF(AND(M19=2,L19=3),'Specification &amp; Data'!F$16,IF(AND(M19=3,L19=1),'Specification &amp; Data'!I$14,IF(AND(M19=3,L19=2),'Specification &amp; Data'!I$15,IF(AND(M19=3,L19=3),'Specification &amp; Data'!I$16)))))))))</f>
        <v>409.43800800000002</v>
      </c>
      <c r="U19" s="27">
        <f>IF(AND(M19=1,L19=1),'Specification &amp; Data'!E$24,IF(AND(M19=1,L19=2),'Specification &amp; Data'!E$25,IF(AND(M19=1,L19=3),'Specification &amp; Data'!E$26,IF(M19=2,0,IF(AND(M19=3,L19=1),'Specification &amp; Data'!I$24,IF(AND(M19=3,L19=2),'Specification &amp; Data'!I$25,IF(AND(M19=3,L19=3),'Specification &amp; Data'!I$26)))))))</f>
        <v>178.61733099000003</v>
      </c>
      <c r="V19" s="27">
        <f>'Specification &amp; Data'!B$46-Simulation!S19-Simulation!T19-Simulation!U19</f>
        <v>117.21650549257373</v>
      </c>
      <c r="W19" s="27">
        <f>Simulation!V19/Simulation!Y19</f>
        <v>0.19739786492478484</v>
      </c>
      <c r="X19" s="27">
        <f>60*Simulation!Q19/(2*'Specification &amp; Data'!B$15*PI())</f>
        <v>88.91461577522179</v>
      </c>
      <c r="Y19" s="27">
        <f>IF(L19=1,'Specification &amp; Data'!B$56,IF(L19=2,'Specification &amp; Data'!B$57,IF(L19=3,'Specification &amp; Data'!B$58)))</f>
        <v>593.80837547172621</v>
      </c>
      <c r="Z19" s="38">
        <f>Simulation!Y19*Simulation!Q19^2/(2*1000)</f>
        <v>1.6606851594341492</v>
      </c>
    </row>
    <row r="20" spans="1:26">
      <c r="G20" s="42">
        <v>4300</v>
      </c>
      <c r="H20" s="42">
        <v>12.63</v>
      </c>
      <c r="I20" s="38">
        <f>Simulation!H20*746/1000</f>
        <v>9.4219800000000014</v>
      </c>
      <c r="J20" s="38">
        <f>60*1000*Simulation!I20/(2*PI()*Simulation!G20)</f>
        <v>20.924018940181064</v>
      </c>
      <c r="K20" s="37">
        <v>491.4</v>
      </c>
      <c r="L20" s="27">
        <f>IF(Q20&lt;='Specification &amp; Data'!I$7,1,IF(AND(Q20&gt;'Specification &amp; Data'!I$7,Q20&lt;='Specification &amp; Data'!I$8),2,IF(Q20&gt;'Specification &amp; Data'!I$8,3)))</f>
        <v>1</v>
      </c>
      <c r="M20" s="36">
        <v>1</v>
      </c>
      <c r="N20" s="33">
        <f t="shared" si="0"/>
        <v>15</v>
      </c>
      <c r="O20" s="27">
        <f>O19+(1/Simulation!Q20)</f>
        <v>10.116672664776249</v>
      </c>
      <c r="P20" s="38">
        <f>Simulation!Q20*3.6</f>
        <v>8.8094380829371826</v>
      </c>
      <c r="Q20" s="38">
        <f>MIN('Specification &amp; Data'!I$9,SQRT(2*Simulation!R19+Simulation!Q19^2))</f>
        <v>2.4470661341492175</v>
      </c>
      <c r="R20" s="38">
        <f>IF(Q20=Q19,0,IF(Q20&lt;&gt;Q19,Simulation!V20/Simulation!Y20))</f>
        <v>0.1970852999202849</v>
      </c>
      <c r="S20" s="27">
        <f>'Specification &amp; Data'!B$21*'Specification &amp; Data'!B$11*'Specification &amp; Data'!B$23*(Simulation!Q20^2)/2</f>
        <v>2.8151765578121424</v>
      </c>
      <c r="T20" s="27">
        <f>IF(AND(M20=1,L20=1),'Specification &amp; Data'!E$14,IF(AND(M20=1,L20=2),'Specification &amp; Data'!E$15,IF(AND(M20=1,L20=3),'Specification &amp; Data'!E$16,IF(AND(M20=2,L20=1),'Specification &amp; Data'!F$14,IF(AND(M20=2,L20=2),'Specification &amp; Data'!F$15,IF(AND(M20=2,L20=3),'Specification &amp; Data'!F$16,IF(AND(M20=3,L20=1),'Specification &amp; Data'!I$14,IF(AND(M20=3,L20=2),'Specification &amp; Data'!I$15,IF(AND(M20=3,L20=3),'Specification &amp; Data'!I$16)))))))))</f>
        <v>409.43800800000002</v>
      </c>
      <c r="U20" s="27">
        <f>IF(AND(M20=1,L20=1),'Specification &amp; Data'!E$24,IF(AND(M20=1,L20=2),'Specification &amp; Data'!E$25,IF(AND(M20=1,L20=3),'Specification &amp; Data'!E$26,IF(M20=2,0,IF(AND(M20=3,L20=1),'Specification &amp; Data'!I$24,IF(AND(M20=3,L20=2),'Specification &amp; Data'!I$25,IF(AND(M20=3,L20=3),'Specification &amp; Data'!I$26)))))))</f>
        <v>178.61733099000003</v>
      </c>
      <c r="V20" s="27">
        <f>'Specification &amp; Data'!B$46-Simulation!S20-Simulation!T20-Simulation!U20</f>
        <v>117.0309017750223</v>
      </c>
      <c r="W20" s="27">
        <f>Simulation!V20/Simulation!Y20</f>
        <v>0.1970852999202849</v>
      </c>
      <c r="X20" s="27">
        <f>60*Simulation!Q20/(2*'Specification &amp; Data'!B$15*PI())</f>
        <v>91.999056217942453</v>
      </c>
      <c r="Y20" s="27">
        <f>IF(L20=1,'Specification &amp; Data'!B$56,IF(L20=2,'Specification &amp; Data'!B$57,IF(L20=3,'Specification &amp; Data'!B$58)))</f>
        <v>593.80837547172621</v>
      </c>
      <c r="Z20" s="38">
        <f>Simulation!Y20*Simulation!Q20^2/(2*1000)</f>
        <v>1.7779016649267225</v>
      </c>
    </row>
    <row r="21" spans="1:26">
      <c r="G21" s="42">
        <v>4400</v>
      </c>
      <c r="H21" s="42">
        <v>13.22</v>
      </c>
      <c r="I21" s="38">
        <f>Simulation!H21*746/1000</f>
        <v>9.8621200000000009</v>
      </c>
      <c r="J21" s="38">
        <f>60*1000*Simulation!I21/(2*PI()*Simulation!G21)</f>
        <v>21.403706554983312</v>
      </c>
      <c r="K21" s="37">
        <v>483.6</v>
      </c>
      <c r="L21" s="27">
        <f>IF(Q21&lt;='Specification &amp; Data'!I$7,1,IF(AND(Q21&gt;'Specification &amp; Data'!I$7,Q21&lt;='Specification &amp; Data'!I$8),2,IF(Q21&gt;'Specification &amp; Data'!I$8,3)))</f>
        <v>1</v>
      </c>
      <c r="M21" s="36">
        <v>1</v>
      </c>
      <c r="N21" s="33">
        <f t="shared" si="0"/>
        <v>16</v>
      </c>
      <c r="O21" s="27">
        <f>O20+(1/Simulation!Q21)</f>
        <v>10.51250501208871</v>
      </c>
      <c r="P21" s="38">
        <f>Simulation!Q21*3.6</f>
        <v>9.0947594971520687</v>
      </c>
      <c r="Q21" s="38">
        <f>MIN('Specification &amp; Data'!I$9,SQRT(2*Simulation!R20+Simulation!Q20^2))</f>
        <v>2.526322082542241</v>
      </c>
      <c r="R21" s="38">
        <f>IF(Q21=Q20,0,IF(Q21&lt;&gt;Q20,Simulation!V21/Simulation!Y21))</f>
        <v>0.1967732298394867</v>
      </c>
      <c r="S21" s="27">
        <f>'Specification &amp; Data'!B$21*'Specification &amp; Data'!B$11*'Specification &amp; Data'!B$23*(Simulation!Q21^2)/2</f>
        <v>3.0004863855242601</v>
      </c>
      <c r="T21" s="27">
        <f>IF(AND(M21=1,L21=1),'Specification &amp; Data'!E$14,IF(AND(M21=1,L21=2),'Specification &amp; Data'!E$15,IF(AND(M21=1,L21=3),'Specification &amp; Data'!E$16,IF(AND(M21=2,L21=1),'Specification &amp; Data'!F$14,IF(AND(M21=2,L21=2),'Specification &amp; Data'!F$15,IF(AND(M21=2,L21=3),'Specification &amp; Data'!F$16,IF(AND(M21=3,L21=1),'Specification &amp; Data'!I$14,IF(AND(M21=3,L21=2),'Specification &amp; Data'!I$15,IF(AND(M21=3,L21=3),'Specification &amp; Data'!I$16)))))))))</f>
        <v>409.43800800000002</v>
      </c>
      <c r="U21" s="27">
        <f>IF(AND(M21=1,L21=1),'Specification &amp; Data'!E$24,IF(AND(M21=1,L21=2),'Specification &amp; Data'!E$25,IF(AND(M21=1,L21=3),'Specification &amp; Data'!E$26,IF(M21=2,0,IF(AND(M21=3,L21=1),'Specification &amp; Data'!I$24,IF(AND(M21=3,L21=2),'Specification &amp; Data'!I$25,IF(AND(M21=3,L21=3),'Specification &amp; Data'!I$26)))))))</f>
        <v>178.61733099000003</v>
      </c>
      <c r="V21" s="27">
        <f>'Specification &amp; Data'!B$46-Simulation!S21-Simulation!T21-Simulation!U21</f>
        <v>116.8455919473102</v>
      </c>
      <c r="W21" s="27">
        <f>Simulation!V21/Simulation!Y21</f>
        <v>0.1967732298394867</v>
      </c>
      <c r="X21" s="27">
        <f>60*Simulation!Q21/(2*'Specification &amp; Data'!B$15*PI())</f>
        <v>94.978735577671387</v>
      </c>
      <c r="Y21" s="27">
        <f>IF(L21=1,'Specification &amp; Data'!B$56,IF(L21=2,'Specification &amp; Data'!B$57,IF(L21=3,'Specification &amp; Data'!B$58)))</f>
        <v>593.80837547172621</v>
      </c>
      <c r="Z21" s="38">
        <f>Simulation!Y21*Simulation!Q21^2/(2*1000)</f>
        <v>1.8949325667017449</v>
      </c>
    </row>
    <row r="22" spans="1:26">
      <c r="G22" s="42">
        <v>4500</v>
      </c>
      <c r="H22" s="42">
        <v>13.81</v>
      </c>
      <c r="I22" s="38">
        <f>Simulation!H22*746/1000</f>
        <v>10.30226</v>
      </c>
      <c r="J22" s="38">
        <f>60*1000*Simulation!I22/(2*PI()*Simulation!G22)</f>
        <v>21.862074720238795</v>
      </c>
      <c r="K22" s="37">
        <v>483.6</v>
      </c>
      <c r="L22" s="27">
        <f>IF(Q22&lt;='Specification &amp; Data'!I$7,1,IF(AND(Q22&gt;'Specification &amp; Data'!I$7,Q22&lt;='Specification &amp; Data'!I$8),2,IF(Q22&gt;'Specification &amp; Data'!I$8,3)))</f>
        <v>1</v>
      </c>
      <c r="M22" s="36">
        <v>1</v>
      </c>
      <c r="N22" s="33">
        <f t="shared" si="0"/>
        <v>17</v>
      </c>
      <c r="O22" s="27">
        <f>O21+(1/Simulation!Q22)</f>
        <v>10.896670296925555</v>
      </c>
      <c r="P22" s="38">
        <f>Simulation!Q22*3.6</f>
        <v>9.3709664618158381</v>
      </c>
      <c r="Q22" s="38">
        <f>MIN('Specification &amp; Data'!I$9,SQRT(2*Simulation!R21+Simulation!Q21^2))</f>
        <v>2.6030462393932883</v>
      </c>
      <c r="R22" s="38">
        <f>IF(Q22=Q21,0,IF(Q22&lt;&gt;Q21,Simulation!V22/Simulation!Y22))</f>
        <v>0.19646165389871495</v>
      </c>
      <c r="S22" s="27">
        <f>'Specification &amp; Data'!B$21*'Specification &amp; Data'!B$11*'Specification &amp; Data'!B$23*(Simulation!Q22^2)/2</f>
        <v>3.1855027887499747</v>
      </c>
      <c r="T22" s="27">
        <f>IF(AND(M22=1,L22=1),'Specification &amp; Data'!E$14,IF(AND(M22=1,L22=2),'Specification &amp; Data'!E$15,IF(AND(M22=1,L22=3),'Specification &amp; Data'!E$16,IF(AND(M22=2,L22=1),'Specification &amp; Data'!F$14,IF(AND(M22=2,L22=2),'Specification &amp; Data'!F$15,IF(AND(M22=2,L22=3),'Specification &amp; Data'!F$16,IF(AND(M22=3,L22=1),'Specification &amp; Data'!I$14,IF(AND(M22=3,L22=2),'Specification &amp; Data'!I$15,IF(AND(M22=3,L22=3),'Specification &amp; Data'!I$16)))))))))</f>
        <v>409.43800800000002</v>
      </c>
      <c r="U22" s="27">
        <f>IF(AND(M22=1,L22=1),'Specification &amp; Data'!E$24,IF(AND(M22=1,L22=2),'Specification &amp; Data'!E$25,IF(AND(M22=1,L22=3),'Specification &amp; Data'!E$26,IF(M22=2,0,IF(AND(M22=3,L22=1),'Specification &amp; Data'!I$24,IF(AND(M22=3,L22=2),'Specification &amp; Data'!I$25,IF(AND(M22=3,L22=3),'Specification &amp; Data'!I$26)))))))</f>
        <v>178.61733099000003</v>
      </c>
      <c r="V22" s="27">
        <f>'Specification &amp; Data'!B$46-Simulation!S22-Simulation!T22-Simulation!U22</f>
        <v>116.66057554408445</v>
      </c>
      <c r="W22" s="27">
        <f>Simulation!V22/Simulation!Y22</f>
        <v>0.19646165389871495</v>
      </c>
      <c r="X22" s="27">
        <f>60*Simulation!Q22/(2*'Specification &amp; Data'!B$15*PI())</f>
        <v>97.863230573908112</v>
      </c>
      <c r="Y22" s="27">
        <f>IF(L22=1,'Specification &amp; Data'!B$56,IF(L22=2,'Specification &amp; Data'!B$57,IF(L22=3,'Specification &amp; Data'!B$58)))</f>
        <v>593.80837547172621</v>
      </c>
      <c r="Z22" s="38">
        <f>Simulation!Y22*Simulation!Q22^2/(2*1000)</f>
        <v>2.0117781586490553</v>
      </c>
    </row>
    <row r="23" spans="1:26">
      <c r="G23" s="42">
        <v>4600</v>
      </c>
      <c r="H23" s="42">
        <v>14.1</v>
      </c>
      <c r="I23" s="38">
        <f>Simulation!H23*746/1000</f>
        <v>10.518600000000001</v>
      </c>
      <c r="J23" s="38">
        <f>60*1000*Simulation!I23/(2*PI()*Simulation!G23)</f>
        <v>21.835919796605356</v>
      </c>
      <c r="K23" s="37">
        <v>483.6</v>
      </c>
      <c r="L23" s="27">
        <f>IF(Q23&lt;='Specification &amp; Data'!I$7,1,IF(AND(Q23&gt;'Specification &amp; Data'!I$7,Q23&lt;='Specification &amp; Data'!I$8),2,IF(Q23&gt;'Specification &amp; Data'!I$8,3)))</f>
        <v>1</v>
      </c>
      <c r="M23" s="36">
        <v>1</v>
      </c>
      <c r="N23" s="33">
        <f t="shared" si="0"/>
        <v>18</v>
      </c>
      <c r="O23" s="27">
        <f>O22+(1/Simulation!Q23)</f>
        <v>11.270159098454965</v>
      </c>
      <c r="P23" s="38">
        <f>Simulation!Q23*3.6</f>
        <v>9.6388432136606479</v>
      </c>
      <c r="Q23" s="38">
        <f>MIN('Specification &amp; Data'!I$9,SQRT(2*Simulation!R22+Simulation!Q22^2))</f>
        <v>2.6774564482390688</v>
      </c>
      <c r="R23" s="38">
        <f>IF(Q23=Q22,0,IF(Q23&lt;&gt;Q22,Simulation!V23/Simulation!Y23))</f>
        <v>0.19615057131553534</v>
      </c>
      <c r="S23" s="27">
        <f>'Specification &amp; Data'!B$21*'Specification &amp; Data'!B$11*'Specification &amp; Data'!B$23*(Simulation!Q23^2)/2</f>
        <v>3.3702262321053835</v>
      </c>
      <c r="T23" s="27">
        <f>IF(AND(M23=1,L23=1),'Specification &amp; Data'!E$14,IF(AND(M23=1,L23=2),'Specification &amp; Data'!E$15,IF(AND(M23=1,L23=3),'Specification &amp; Data'!E$16,IF(AND(M23=2,L23=1),'Specification &amp; Data'!F$14,IF(AND(M23=2,L23=2),'Specification &amp; Data'!F$15,IF(AND(M23=2,L23=3),'Specification &amp; Data'!F$16,IF(AND(M23=3,L23=1),'Specification &amp; Data'!I$14,IF(AND(M23=3,L23=2),'Specification &amp; Data'!I$15,IF(AND(M23=3,L23=3),'Specification &amp; Data'!I$16)))))))))</f>
        <v>409.43800800000002</v>
      </c>
      <c r="U23" s="27">
        <f>IF(AND(M23=1,L23=1),'Specification &amp; Data'!E$24,IF(AND(M23=1,L23=2),'Specification &amp; Data'!E$25,IF(AND(M23=1,L23=3),'Specification &amp; Data'!E$26,IF(M23=2,0,IF(AND(M23=3,L23=1),'Specification &amp; Data'!I$24,IF(AND(M23=3,L23=2),'Specification &amp; Data'!I$25,IF(AND(M23=3,L23=3),'Specification &amp; Data'!I$26)))))))</f>
        <v>178.61733099000003</v>
      </c>
      <c r="V23" s="27">
        <f>'Specification &amp; Data'!B$46-Simulation!S23-Simulation!T23-Simulation!U23</f>
        <v>116.47585210072901</v>
      </c>
      <c r="W23" s="27">
        <f>Simulation!V23/Simulation!Y23</f>
        <v>0.19615057131553534</v>
      </c>
      <c r="X23" s="27">
        <f>60*Simulation!Q23/(2*'Specification &amp; Data'!B$15*PI())</f>
        <v>100.66073117728753</v>
      </c>
      <c r="Y23" s="27">
        <f>IF(L23=1,'Specification &amp; Data'!B$56,IF(L23=2,'Specification &amp; Data'!B$57,IF(L23=3,'Specification &amp; Data'!B$58)))</f>
        <v>593.80837547172621</v>
      </c>
      <c r="Z23" s="38">
        <f>Simulation!Y23*Simulation!Q23^2/(2*1000)</f>
        <v>2.1284387341931397</v>
      </c>
    </row>
    <row r="24" spans="1:26">
      <c r="A24" s="27"/>
      <c r="B24" s="27"/>
      <c r="C24" s="27"/>
      <c r="D24" s="27"/>
      <c r="G24" s="42">
        <v>4800</v>
      </c>
      <c r="H24" s="42">
        <v>14.68</v>
      </c>
      <c r="I24" s="38">
        <f>Simulation!H24*746/1000</f>
        <v>10.951280000000001</v>
      </c>
      <c r="J24" s="38">
        <f>60*1000*Simulation!I24/(2*PI()*Simulation!G24)</f>
        <v>21.786879314792646</v>
      </c>
      <c r="K24" s="37">
        <v>483.6</v>
      </c>
      <c r="L24" s="27">
        <f>IF(Q24&lt;='Specification &amp; Data'!I$7,1,IF(AND(Q24&gt;'Specification &amp; Data'!I$7,Q24&lt;='Specification &amp; Data'!I$8),2,IF(Q24&gt;'Specification &amp; Data'!I$8,3)))</f>
        <v>1</v>
      </c>
      <c r="M24" s="36">
        <v>1</v>
      </c>
      <c r="N24" s="33">
        <f t="shared" si="0"/>
        <v>19</v>
      </c>
      <c r="O24" s="27">
        <f>O23+(1/Simulation!Q24)</f>
        <v>11.63382974673268</v>
      </c>
      <c r="P24" s="38">
        <f>Simulation!Q24*3.6</f>
        <v>9.8990666886343686</v>
      </c>
      <c r="Q24" s="38">
        <f>MIN('Specification &amp; Data'!I$9,SQRT(2*Simulation!R23+Simulation!Q23^2))</f>
        <v>2.7497407468428801</v>
      </c>
      <c r="R24" s="38">
        <f>IF(Q24=Q23,0,IF(Q24&lt;&gt;Q23,Simulation!V24/Simulation!Y24))</f>
        <v>0.19583998130875241</v>
      </c>
      <c r="S24" s="27">
        <f>'Specification &amp; Data'!B$21*'Specification &amp; Data'!B$11*'Specification &amp; Data'!B$23*(Simulation!Q24^2)/2</f>
        <v>3.554657179470901</v>
      </c>
      <c r="T24" s="27">
        <f>IF(AND(M24=1,L24=1),'Specification &amp; Data'!E$14,IF(AND(M24=1,L24=2),'Specification &amp; Data'!E$15,IF(AND(M24=1,L24=3),'Specification &amp; Data'!E$16,IF(AND(M24=2,L24=1),'Specification &amp; Data'!F$14,IF(AND(M24=2,L24=2),'Specification &amp; Data'!F$15,IF(AND(M24=2,L24=3),'Specification &amp; Data'!F$16,IF(AND(M24=3,L24=1),'Specification &amp; Data'!I$14,IF(AND(M24=3,L24=2),'Specification &amp; Data'!I$15,IF(AND(M24=3,L24=3),'Specification &amp; Data'!I$16)))))))))</f>
        <v>409.43800800000002</v>
      </c>
      <c r="U24" s="27">
        <f>IF(AND(M24=1,L24=1),'Specification &amp; Data'!E$24,IF(AND(M24=1,L24=2),'Specification &amp; Data'!E$25,IF(AND(M24=1,L24=3),'Specification &amp; Data'!E$26,IF(M24=2,0,IF(AND(M24=3,L24=1),'Specification &amp; Data'!I$24,IF(AND(M24=3,L24=2),'Specification &amp; Data'!I$25,IF(AND(M24=3,L24=3),'Specification &amp; Data'!I$26)))))))</f>
        <v>178.61733099000003</v>
      </c>
      <c r="V24" s="27">
        <f>'Specification &amp; Data'!B$46-Simulation!S24-Simulation!T24-Simulation!U24</f>
        <v>116.2914211533635</v>
      </c>
      <c r="W24" s="27">
        <f>Simulation!V24/Simulation!Y24</f>
        <v>0.19583998130875241</v>
      </c>
      <c r="X24" s="27">
        <f>60*Simulation!Q24/(2*'Specification &amp; Data'!B$15*PI())</f>
        <v>103.37830679084513</v>
      </c>
      <c r="Y24" s="27">
        <f>IF(L24=1,'Specification &amp; Data'!B$56,IF(L24=2,'Specification &amp; Data'!B$57,IF(L24=3,'Specification &amp; Data'!B$58)))</f>
        <v>593.80837547172621</v>
      </c>
      <c r="Z24" s="38">
        <f>Simulation!Y24*Simulation!Q24^2/(2*1000)</f>
        <v>2.2449145862938686</v>
      </c>
    </row>
    <row r="25" spans="1:26">
      <c r="A25" s="27"/>
      <c r="B25" s="27"/>
      <c r="C25" s="27"/>
      <c r="D25" s="27"/>
      <c r="G25" s="42">
        <v>4900</v>
      </c>
      <c r="H25" s="42">
        <v>14.97</v>
      </c>
      <c r="I25" s="38">
        <f>Simulation!H25*746/1000</f>
        <v>11.167620000000001</v>
      </c>
      <c r="J25" s="38">
        <f>60*1000*Simulation!I25/(2*PI()*Simulation!G25)</f>
        <v>21.763860313125459</v>
      </c>
      <c r="K25" s="37">
        <v>483.6</v>
      </c>
      <c r="L25" s="27">
        <f>IF(Q25&lt;='Specification &amp; Data'!I$7,1,IF(AND(Q25&gt;'Specification &amp; Data'!I$7,Q25&lt;='Specification &amp; Data'!I$8),2,IF(Q25&gt;'Specification &amp; Data'!I$8,3)))</f>
        <v>1</v>
      </c>
      <c r="M25" s="36">
        <v>1</v>
      </c>
      <c r="N25" s="33">
        <f t="shared" si="0"/>
        <v>20</v>
      </c>
      <c r="O25" s="27">
        <f>O24+(1/Simulation!Q25)</f>
        <v>11.988431780303211</v>
      </c>
      <c r="P25" s="38">
        <f>Simulation!Q25*3.6</f>
        <v>10.152226042674259</v>
      </c>
      <c r="Q25" s="38">
        <f>MIN('Specification &amp; Data'!I$9,SQRT(2*Simulation!R24+Simulation!Q24^2))</f>
        <v>2.8200627896317387</v>
      </c>
      <c r="R25" s="38">
        <f>IF(Q25=Q24,0,IF(Q25&lt;&gt;Q24,Simulation!V25/Simulation!Y25))</f>
        <v>0.19552988309840777</v>
      </c>
      <c r="S25" s="27">
        <f>'Specification &amp; Data'!B$21*'Specification &amp; Data'!B$11*'Specification &amp; Data'!B$23*(Simulation!Q25^2)/2</f>
        <v>3.7387960939924199</v>
      </c>
      <c r="T25" s="27">
        <f>IF(AND(M25=1,L25=1),'Specification &amp; Data'!E$14,IF(AND(M25=1,L25=2),'Specification &amp; Data'!E$15,IF(AND(M25=1,L25=3),'Specification &amp; Data'!E$16,IF(AND(M25=2,L25=1),'Specification &amp; Data'!F$14,IF(AND(M25=2,L25=2),'Specification &amp; Data'!F$15,IF(AND(M25=2,L25=3),'Specification &amp; Data'!F$16,IF(AND(M25=3,L25=1),'Specification &amp; Data'!I$14,IF(AND(M25=3,L25=2),'Specification &amp; Data'!I$15,IF(AND(M25=3,L25=3),'Specification &amp; Data'!I$16)))))))))</f>
        <v>409.43800800000002</v>
      </c>
      <c r="U25" s="27">
        <f>IF(AND(M25=1,L25=1),'Specification &amp; Data'!E$24,IF(AND(M25=1,L25=2),'Specification &amp; Data'!E$25,IF(AND(M25=1,L25=3),'Specification &amp; Data'!E$26,IF(M25=2,0,IF(AND(M25=3,L25=1),'Specification &amp; Data'!I$24,IF(AND(M25=3,L25=2),'Specification &amp; Data'!I$25,IF(AND(M25=3,L25=3),'Specification &amp; Data'!I$26)))))))</f>
        <v>178.61733099000003</v>
      </c>
      <c r="V25" s="27">
        <f>'Specification &amp; Data'!B$46-Simulation!S25-Simulation!T25-Simulation!U25</f>
        <v>116.10728223884206</v>
      </c>
      <c r="W25" s="27">
        <f>Simulation!V25/Simulation!Y25</f>
        <v>0.19552988309840777</v>
      </c>
      <c r="X25" s="27">
        <f>60*Simulation!Q25/(2*'Specification &amp; Data'!B$15*PI())</f>
        <v>106.02211011009707</v>
      </c>
      <c r="Y25" s="27">
        <f>IF(L25=1,'Specification &amp; Data'!B$56,IF(L25=2,'Specification &amp; Data'!B$57,IF(L25=3,'Specification &amp; Data'!B$58)))</f>
        <v>593.80837547172621</v>
      </c>
      <c r="Z25" s="38">
        <f>Simulation!Y25*Simulation!Q25^2/(2*1000)</f>
        <v>2.3612060074472319</v>
      </c>
    </row>
    <row r="26" spans="1:26">
      <c r="A26" s="27"/>
      <c r="B26" s="27"/>
      <c r="C26" s="27"/>
      <c r="D26" s="27"/>
      <c r="G26" s="42">
        <v>5000</v>
      </c>
      <c r="H26" s="42">
        <v>15.26</v>
      </c>
      <c r="I26" s="38">
        <f>Simulation!H26*746/1000</f>
        <v>11.383959999999998</v>
      </c>
      <c r="J26" s="38">
        <f>60*1000*Simulation!I26/(2*PI()*Simulation!G26)</f>
        <v>21.741762071524949</v>
      </c>
      <c r="K26" s="37">
        <v>470.6</v>
      </c>
      <c r="L26" s="27">
        <f>IF(Q26&lt;='Specification &amp; Data'!I$7,1,IF(AND(Q26&gt;'Specification &amp; Data'!I$7,Q26&lt;='Specification &amp; Data'!I$8),2,IF(Q26&gt;'Specification &amp; Data'!I$8,3)))</f>
        <v>1</v>
      </c>
      <c r="M26" s="36">
        <v>1</v>
      </c>
      <c r="N26" s="33">
        <f t="shared" si="0"/>
        <v>21</v>
      </c>
      <c r="O26" s="27">
        <f>O25+(1/Simulation!Q26)</f>
        <v>12.334624312510991</v>
      </c>
      <c r="P26" s="38">
        <f>Simulation!Q26*3.6</f>
        <v>10.398837828885696</v>
      </c>
      <c r="Q26" s="38">
        <f>MIN('Specification &amp; Data'!I$9,SQRT(2*Simulation!R25+Simulation!Q25^2))</f>
        <v>2.88856606357936</v>
      </c>
      <c r="R26" s="38">
        <f>IF(Q26=Q25,0,IF(Q26&lt;&gt;Q25,Simulation!V26/Simulation!Y26))</f>
        <v>0.19522027590577767</v>
      </c>
      <c r="S26" s="27">
        <f>'Specification &amp; Data'!B$21*'Specification &amp; Data'!B$11*'Specification &amp; Data'!B$23*(Simulation!Q26^2)/2</f>
        <v>3.9226434380824746</v>
      </c>
      <c r="T26" s="27">
        <f>IF(AND(M26=1,L26=1),'Specification &amp; Data'!E$14,IF(AND(M26=1,L26=2),'Specification &amp; Data'!E$15,IF(AND(M26=1,L26=3),'Specification &amp; Data'!E$16,IF(AND(M26=2,L26=1),'Specification &amp; Data'!F$14,IF(AND(M26=2,L26=2),'Specification &amp; Data'!F$15,IF(AND(M26=2,L26=3),'Specification &amp; Data'!F$16,IF(AND(M26=3,L26=1),'Specification &amp; Data'!I$14,IF(AND(M26=3,L26=2),'Specification &amp; Data'!I$15,IF(AND(M26=3,L26=3),'Specification &amp; Data'!I$16)))))))))</f>
        <v>409.43800800000002</v>
      </c>
      <c r="U26" s="27">
        <f>IF(AND(M26=1,L26=1),'Specification &amp; Data'!E$24,IF(AND(M26=1,L26=2),'Specification &amp; Data'!E$25,IF(AND(M26=1,L26=3),'Specification &amp; Data'!E$26,IF(M26=2,0,IF(AND(M26=3,L26=1),'Specification &amp; Data'!I$24,IF(AND(M26=3,L26=2),'Specification &amp; Data'!I$25,IF(AND(M26=3,L26=3),'Specification &amp; Data'!I$26)))))))</f>
        <v>178.61733099000003</v>
      </c>
      <c r="V26" s="27">
        <f>'Specification &amp; Data'!B$46-Simulation!S26-Simulation!T26-Simulation!U26</f>
        <v>115.92343489475201</v>
      </c>
      <c r="W26" s="27">
        <f>Simulation!V26/Simulation!Y26</f>
        <v>0.19522027590577767</v>
      </c>
      <c r="X26" s="27">
        <f>60*Simulation!Q26/(2*'Specification &amp; Data'!B$15*PI())</f>
        <v>108.59753562192594</v>
      </c>
      <c r="Y26" s="27">
        <f>IF(L26=1,'Specification &amp; Data'!B$56,IF(L26=2,'Specification &amp; Data'!B$57,IF(L26=3,'Specification &amp; Data'!B$58)))</f>
        <v>593.80837547172621</v>
      </c>
      <c r="Z26" s="38">
        <f>Simulation!Y26*Simulation!Q26^2/(2*1000)</f>
        <v>2.4773132896860734</v>
      </c>
    </row>
    <row r="27" spans="1:26">
      <c r="A27" s="27"/>
      <c r="B27" s="27"/>
      <c r="C27" s="27"/>
      <c r="D27" s="27"/>
      <c r="G27" s="42">
        <v>5200</v>
      </c>
      <c r="H27" s="42">
        <v>15.92</v>
      </c>
      <c r="I27" s="38">
        <f>Simulation!H27*746/1000</f>
        <v>11.87632</v>
      </c>
      <c r="J27" s="38">
        <f>60*1000*Simulation!I27/(2*PI()*Simulation!G27)</f>
        <v>21.809711927782367</v>
      </c>
      <c r="K27" s="37">
        <v>470.6</v>
      </c>
      <c r="L27" s="27">
        <f>IF(Q27&lt;='Specification &amp; Data'!I$7,1,IF(AND(Q27&gt;'Specification &amp; Data'!I$7,Q27&lt;='Specification &amp; Data'!I$8),2,IF(Q27&gt;'Specification &amp; Data'!I$8,3)))</f>
        <v>1</v>
      </c>
      <c r="M27" s="36">
        <v>1</v>
      </c>
      <c r="N27" s="33">
        <f t="shared" si="0"/>
        <v>22</v>
      </c>
      <c r="O27" s="27">
        <f>O26+(1/Simulation!Q27)</f>
        <v>12.672990594993271</v>
      </c>
      <c r="P27" s="38">
        <f>Simulation!Q27*3.6</f>
        <v>10.639357957270821</v>
      </c>
      <c r="Q27" s="38">
        <f>MIN('Specification &amp; Data'!I$9,SQRT(2*Simulation!R26+Simulation!Q26^2))</f>
        <v>2.9553772103530056</v>
      </c>
      <c r="R27" s="38">
        <f>IF(Q27=Q26,0,IF(Q27&lt;&gt;Q26,Simulation!V27/Simulation!Y27))</f>
        <v>0.19491115895337166</v>
      </c>
      <c r="S27" s="27">
        <f>'Specification &amp; Data'!B$21*'Specification &amp; Data'!B$11*'Specification &amp; Data'!B$23*(Simulation!Q27^2)/2</f>
        <v>4.1061996734214059</v>
      </c>
      <c r="T27" s="27">
        <f>IF(AND(M27=1,L27=1),'Specification &amp; Data'!E$14,IF(AND(M27=1,L27=2),'Specification &amp; Data'!E$15,IF(AND(M27=1,L27=3),'Specification &amp; Data'!E$16,IF(AND(M27=2,L27=1),'Specification &amp; Data'!F$14,IF(AND(M27=2,L27=2),'Specification &amp; Data'!F$15,IF(AND(M27=2,L27=3),'Specification &amp; Data'!F$16,IF(AND(M27=3,L27=1),'Specification &amp; Data'!I$14,IF(AND(M27=3,L27=2),'Specification &amp; Data'!I$15,IF(AND(M27=3,L27=3),'Specification &amp; Data'!I$16)))))))))</f>
        <v>409.43800800000002</v>
      </c>
      <c r="U27" s="27">
        <f>IF(AND(M27=1,L27=1),'Specification &amp; Data'!E$24,IF(AND(M27=1,L27=2),'Specification &amp; Data'!E$25,IF(AND(M27=1,L27=3),'Specification &amp; Data'!E$26,IF(M27=2,0,IF(AND(M27=3,L27=1),'Specification &amp; Data'!I$24,IF(AND(M27=3,L27=2),'Specification &amp; Data'!I$25,IF(AND(M27=3,L27=3),'Specification &amp; Data'!I$26)))))))</f>
        <v>178.61733099000003</v>
      </c>
      <c r="V27" s="27">
        <f>'Specification &amp; Data'!B$46-Simulation!S27-Simulation!T27-Simulation!U27</f>
        <v>115.73987865941302</v>
      </c>
      <c r="W27" s="27">
        <f>Simulation!V27/Simulation!Y27</f>
        <v>0.19491115895337166</v>
      </c>
      <c r="X27" s="27">
        <f>60*Simulation!Q27/(2*'Specification &amp; Data'!B$15*PI())</f>
        <v>111.10934450287016</v>
      </c>
      <c r="Y27" s="27">
        <f>IF(L27=1,'Specification &amp; Data'!B$56,IF(L27=2,'Specification &amp; Data'!B$57,IF(L27=3,'Specification &amp; Data'!B$58)))</f>
        <v>593.80837547172621</v>
      </c>
      <c r="Z27" s="38">
        <f>Simulation!Y27*Simulation!Q27^2/(2*1000)</f>
        <v>2.5932367245808257</v>
      </c>
    </row>
    <row r="28" spans="1:26">
      <c r="A28" s="27" t="s">
        <v>170</v>
      </c>
      <c r="B28" s="27"/>
      <c r="C28" s="27"/>
      <c r="D28" s="27"/>
      <c r="G28" s="42">
        <v>5300</v>
      </c>
      <c r="H28" s="42">
        <v>16.25</v>
      </c>
      <c r="I28" s="38">
        <f>Simulation!H28*746/1000</f>
        <v>12.1225</v>
      </c>
      <c r="J28" s="38">
        <f>60*1000*Simulation!I28/(2*PI()*Simulation!G28)</f>
        <v>21.841763746771711</v>
      </c>
      <c r="K28" s="37">
        <v>470.6</v>
      </c>
      <c r="L28" s="27">
        <f>IF(Q28&lt;='Specification &amp; Data'!I$7,1,IF(AND(Q28&gt;'Specification &amp; Data'!I$7,Q28&lt;='Specification &amp; Data'!I$8),2,IF(Q28&gt;'Specification &amp; Data'!I$8,3)))</f>
        <v>1</v>
      </c>
      <c r="M28" s="36">
        <v>1</v>
      </c>
      <c r="N28" s="33">
        <f t="shared" si="0"/>
        <v>23</v>
      </c>
      <c r="O28" s="27">
        <f>O27+(1/Simulation!Q28)</f>
        <v>13.004049698396306</v>
      </c>
      <c r="P28" s="38">
        <f>Simulation!Q28*3.6</f>
        <v>10.874191233513107</v>
      </c>
      <c r="Q28" s="38">
        <f>MIN('Specification &amp; Data'!I$9,SQRT(2*Simulation!R27+Simulation!Q27^2))</f>
        <v>3.020608675975863</v>
      </c>
      <c r="R28" s="38">
        <f>IF(Q28=Q27,0,IF(Q28&lt;&gt;Q27,Simulation!V28/Simulation!Y28))</f>
        <v>0.19460253146493059</v>
      </c>
      <c r="S28" s="27">
        <f>'Specification &amp; Data'!B$21*'Specification &amp; Data'!B$11*'Specification &amp; Data'!B$23*(Simulation!Q28^2)/2</f>
        <v>4.289465260958516</v>
      </c>
      <c r="T28" s="27">
        <f>IF(AND(M28=1,L28=1),'Specification &amp; Data'!E$14,IF(AND(M28=1,L28=2),'Specification &amp; Data'!E$15,IF(AND(M28=1,L28=3),'Specification &amp; Data'!E$16,IF(AND(M28=2,L28=1),'Specification &amp; Data'!F$14,IF(AND(M28=2,L28=2),'Specification &amp; Data'!F$15,IF(AND(M28=2,L28=3),'Specification &amp; Data'!F$16,IF(AND(M28=3,L28=1),'Specification &amp; Data'!I$14,IF(AND(M28=3,L28=2),'Specification &amp; Data'!I$15,IF(AND(M28=3,L28=3),'Specification &amp; Data'!I$16)))))))))</f>
        <v>409.43800800000002</v>
      </c>
      <c r="U28" s="27">
        <f>IF(AND(M28=1,L28=1),'Specification &amp; Data'!E$24,IF(AND(M28=1,L28=2),'Specification &amp; Data'!E$25,IF(AND(M28=1,L28=3),'Specification &amp; Data'!E$26,IF(M28=2,0,IF(AND(M28=3,L28=1),'Specification &amp; Data'!I$24,IF(AND(M28=3,L28=2),'Specification &amp; Data'!I$25,IF(AND(M28=3,L28=3),'Specification &amp; Data'!I$26)))))))</f>
        <v>178.61733099000003</v>
      </c>
      <c r="V28" s="27">
        <f>'Specification &amp; Data'!B$46-Simulation!S28-Simulation!T28-Simulation!U28</f>
        <v>115.55661307187592</v>
      </c>
      <c r="W28" s="27">
        <f>Simulation!V28/Simulation!Y28</f>
        <v>0.19460253146493059</v>
      </c>
      <c r="X28" s="27">
        <f>60*Simulation!Q28/(2*'Specification &amp; Data'!B$15*PI())</f>
        <v>113.56176423491901</v>
      </c>
      <c r="Y28" s="27">
        <f>IF(L28=1,'Specification &amp; Data'!B$56,IF(L28=2,'Specification &amp; Data'!B$57,IF(L28=3,'Specification &amp; Data'!B$58)))</f>
        <v>593.80837547172621</v>
      </c>
      <c r="Z28" s="38">
        <f>Simulation!Y28*Simulation!Q28^2/(2*1000)</f>
        <v>2.7089766032402385</v>
      </c>
    </row>
    <row r="29" spans="1:26">
      <c r="A29" s="27" t="s">
        <v>168</v>
      </c>
      <c r="B29" s="33"/>
      <c r="C29" s="30"/>
      <c r="D29" s="27"/>
      <c r="G29" s="42">
        <v>5400</v>
      </c>
      <c r="H29" s="42">
        <v>16.579999999999998</v>
      </c>
      <c r="I29" s="38">
        <f>Simulation!H29*746/1000</f>
        <v>12.368679999999998</v>
      </c>
      <c r="J29" s="38">
        <f>60*1000*Simulation!I29/(2*PI()*Simulation!G29)</f>
        <v>21.872628461354036</v>
      </c>
      <c r="K29" s="37">
        <v>470.6</v>
      </c>
      <c r="L29" s="27">
        <f>IF(Q29&lt;='Specification &amp; Data'!I$7,1,IF(AND(Q29&gt;'Specification &amp; Data'!I$7,Q29&lt;='Specification &amp; Data'!I$8),2,IF(Q29&gt;'Specification &amp; Data'!I$8,3)))</f>
        <v>1</v>
      </c>
      <c r="M29" s="36">
        <v>1</v>
      </c>
      <c r="N29" s="33">
        <f t="shared" si="0"/>
        <v>24</v>
      </c>
      <c r="O29" s="27">
        <f>O28+(1/Simulation!Q29)</f>
        <v>13.328265978368163</v>
      </c>
      <c r="P29" s="38">
        <f>Simulation!Q29*3.6</f>
        <v>11.103699050252771</v>
      </c>
      <c r="Q29" s="38">
        <f>MIN('Specification &amp; Data'!I$9,SQRT(2*Simulation!R28+Simulation!Q28^2))</f>
        <v>3.0843608472924364</v>
      </c>
      <c r="R29" s="38">
        <f>IF(Q29=Q28,0,IF(Q29&lt;&gt;Q28,Simulation!V29/Simulation!Y29))</f>
        <v>0.19429439266542425</v>
      </c>
      <c r="S29" s="27">
        <f>'Specification &amp; Data'!B$21*'Specification &amp; Data'!B$11*'Specification &amp; Data'!B$23*(Simulation!Q29^2)/2</f>
        <v>4.4724406609132261</v>
      </c>
      <c r="T29" s="27">
        <f>IF(AND(M29=1,L29=1),'Specification &amp; Data'!E$14,IF(AND(M29=1,L29=2),'Specification &amp; Data'!E$15,IF(AND(M29=1,L29=3),'Specification &amp; Data'!E$16,IF(AND(M29=2,L29=1),'Specification &amp; Data'!F$14,IF(AND(M29=2,L29=2),'Specification &amp; Data'!F$15,IF(AND(M29=2,L29=3),'Specification &amp; Data'!F$16,IF(AND(M29=3,L29=1),'Specification &amp; Data'!I$14,IF(AND(M29=3,L29=2),'Specification &amp; Data'!I$15,IF(AND(M29=3,L29=3),'Specification &amp; Data'!I$16)))))))))</f>
        <v>409.43800800000002</v>
      </c>
      <c r="U29" s="27">
        <f>IF(AND(M29=1,L29=1),'Specification &amp; Data'!E$24,IF(AND(M29=1,L29=2),'Specification &amp; Data'!E$25,IF(AND(M29=1,L29=3),'Specification &amp; Data'!E$26,IF(M29=2,0,IF(AND(M29=3,L29=1),'Specification &amp; Data'!I$24,IF(AND(M29=3,L29=2),'Specification &amp; Data'!I$25,IF(AND(M29=3,L29=3),'Specification &amp; Data'!I$26)))))))</f>
        <v>178.61733099000003</v>
      </c>
      <c r="V29" s="27">
        <f>'Specification &amp; Data'!B$46-Simulation!S29-Simulation!T29-Simulation!U29</f>
        <v>115.37363767192124</v>
      </c>
      <c r="W29" s="27">
        <f>Simulation!V29/Simulation!Y29</f>
        <v>0.19429439266542425</v>
      </c>
      <c r="X29" s="27">
        <f>60*Simulation!Q29/(2*'Specification &amp; Data'!B$15*PI())</f>
        <v>115.95856892733019</v>
      </c>
      <c r="Y29" s="27">
        <f>IF(L29=1,'Specification &amp; Data'!B$56,IF(L29=2,'Specification &amp; Data'!B$57,IF(L29=3,'Specification &amp; Data'!B$58)))</f>
        <v>593.80837547172621</v>
      </c>
      <c r="Z29" s="38">
        <f>Simulation!Y29*Simulation!Q29^2/(2*1000)</f>
        <v>2.8245332163121142</v>
      </c>
    </row>
    <row r="30" spans="1:26">
      <c r="A30" s="27" t="s">
        <v>166</v>
      </c>
      <c r="B30" s="36"/>
      <c r="C30" s="27"/>
      <c r="D30" s="27"/>
      <c r="G30" s="42">
        <v>5500</v>
      </c>
      <c r="H30" s="42">
        <v>16.940000000000001</v>
      </c>
      <c r="I30" s="38">
        <f>Simulation!H30*746/1000</f>
        <v>12.637240000000002</v>
      </c>
      <c r="J30" s="38">
        <f>60*1000*Simulation!I30/(2*PI()*Simulation!G30)</f>
        <v>21.941227778603171</v>
      </c>
      <c r="K30" s="37">
        <v>443.8</v>
      </c>
      <c r="L30" s="27">
        <f>IF(Q30&lt;='Specification &amp; Data'!I$7,1,IF(AND(Q30&gt;'Specification &amp; Data'!I$7,Q30&lt;='Specification &amp; Data'!I$8),2,IF(Q30&gt;'Specification &amp; Data'!I$8,3)))</f>
        <v>1</v>
      </c>
      <c r="M30" s="36">
        <v>1</v>
      </c>
      <c r="N30" s="33">
        <f t="shared" si="0"/>
        <v>25</v>
      </c>
      <c r="O30" s="27">
        <f>O29+(1/Simulation!Q30)</f>
        <v>13.646056819311351</v>
      </c>
      <c r="P30" s="38">
        <f>Simulation!Q30*3.6</f>
        <v>11.328205650343399</v>
      </c>
      <c r="Q30" s="38">
        <f>MIN('Specification &amp; Data'!I$9,SQRT(2*Simulation!R29+Simulation!Q29^2))</f>
        <v>3.1467237917620552</v>
      </c>
      <c r="R30" s="38">
        <f>IF(Q30=Q29,0,IF(Q30&lt;&gt;Q29,Simulation!V30/Simulation!Y30))</f>
        <v>0.19398674178104941</v>
      </c>
      <c r="S30" s="27">
        <f>'Specification &amp; Data'!B$21*'Specification &amp; Data'!B$11*'Specification &amp; Data'!B$23*(Simulation!Q30^2)/2</f>
        <v>4.6551263327762378</v>
      </c>
      <c r="T30" s="27">
        <f>IF(AND(M30=1,L30=1),'Specification &amp; Data'!E$14,IF(AND(M30=1,L30=2),'Specification &amp; Data'!E$15,IF(AND(M30=1,L30=3),'Specification &amp; Data'!E$16,IF(AND(M30=2,L30=1),'Specification &amp; Data'!F$14,IF(AND(M30=2,L30=2),'Specification &amp; Data'!F$15,IF(AND(M30=2,L30=3),'Specification &amp; Data'!F$16,IF(AND(M30=3,L30=1),'Specification &amp; Data'!I$14,IF(AND(M30=3,L30=2),'Specification &amp; Data'!I$15,IF(AND(M30=3,L30=3),'Specification &amp; Data'!I$16)))))))))</f>
        <v>409.43800800000002</v>
      </c>
      <c r="U30" s="27">
        <f>IF(AND(M30=1,L30=1),'Specification &amp; Data'!E$24,IF(AND(M30=1,L30=2),'Specification &amp; Data'!E$25,IF(AND(M30=1,L30=3),'Specification &amp; Data'!E$26,IF(M30=2,0,IF(AND(M30=3,L30=1),'Specification &amp; Data'!I$24,IF(AND(M30=3,L30=2),'Specification &amp; Data'!I$25,IF(AND(M30=3,L30=3),'Specification &amp; Data'!I$26)))))))</f>
        <v>178.61733099000003</v>
      </c>
      <c r="V30" s="27">
        <f>'Specification &amp; Data'!B$46-Simulation!S30-Simulation!T30-Simulation!U30</f>
        <v>115.19095200005819</v>
      </c>
      <c r="W30" s="27">
        <f>Simulation!V30/Simulation!Y30</f>
        <v>0.19398674178104941</v>
      </c>
      <c r="X30" s="27">
        <f>60*Simulation!Q30/(2*'Specification &amp; Data'!B$15*PI())</f>
        <v>118.3031447253078</v>
      </c>
      <c r="Y30" s="27">
        <f>IF(L30=1,'Specification &amp; Data'!B$56,IF(L30=2,'Specification &amp; Data'!B$57,IF(L30=3,'Specification &amp; Data'!B$58)))</f>
        <v>593.80837547172621</v>
      </c>
      <c r="Z30" s="38">
        <f>Simulation!Y30*Simulation!Q30^2/(2*1000)</f>
        <v>2.9399068539840361</v>
      </c>
    </row>
    <row r="31" spans="1:26">
      <c r="A31" s="27" t="s">
        <v>167</v>
      </c>
      <c r="B31" s="35"/>
      <c r="C31" s="27"/>
      <c r="D31" s="27"/>
      <c r="G31" s="42">
        <v>5600</v>
      </c>
      <c r="H31" s="42">
        <v>17.05</v>
      </c>
      <c r="I31" s="38">
        <f>Simulation!H31*746/1000</f>
        <v>12.7193</v>
      </c>
      <c r="J31" s="38">
        <f>60*1000*Simulation!I31/(2*PI()*Simulation!G31)</f>
        <v>21.689351439307977</v>
      </c>
      <c r="K31" s="37">
        <v>443.8</v>
      </c>
      <c r="L31" s="27">
        <f>IF(Q31&lt;='Specification &amp; Data'!I$7,1,IF(AND(Q31&gt;'Specification &amp; Data'!I$7,Q31&lt;='Specification &amp; Data'!I$8),2,IF(Q31&gt;'Specification &amp; Data'!I$8,3)))</f>
        <v>1</v>
      </c>
      <c r="M31" s="36">
        <v>1</v>
      </c>
      <c r="N31" s="33">
        <f t="shared" si="0"/>
        <v>26</v>
      </c>
      <c r="O31" s="27">
        <f>O30+(1/Simulation!Q31)</f>
        <v>13.95779902398141</v>
      </c>
      <c r="P31" s="38">
        <f>Simulation!Q31*3.6</f>
        <v>11.548003273442424</v>
      </c>
      <c r="Q31" s="38">
        <f>MIN('Specification &amp; Data'!I$9,SQRT(2*Simulation!R30+Simulation!Q30^2))</f>
        <v>3.2077786870673397</v>
      </c>
      <c r="R31" s="38">
        <f>IF(Q31=Q30,0,IF(Q31&lt;&gt;Q30,Simulation!V31/Simulation!Y31))</f>
        <v>0.19367957803922858</v>
      </c>
      <c r="S31" s="27">
        <f>'Specification &amp; Data'!B$21*'Specification &amp; Data'!B$11*'Specification &amp; Data'!B$23*(Simulation!Q31^2)/2</f>
        <v>4.8375227353106798</v>
      </c>
      <c r="T31" s="27">
        <f>IF(AND(M31=1,L31=1),'Specification &amp; Data'!E$14,IF(AND(M31=1,L31=2),'Specification &amp; Data'!E$15,IF(AND(M31=1,L31=3),'Specification &amp; Data'!E$16,IF(AND(M31=2,L31=1),'Specification &amp; Data'!F$14,IF(AND(M31=2,L31=2),'Specification &amp; Data'!F$15,IF(AND(M31=2,L31=3),'Specification &amp; Data'!F$16,IF(AND(M31=3,L31=1),'Specification &amp; Data'!I$14,IF(AND(M31=3,L31=2),'Specification &amp; Data'!I$15,IF(AND(M31=3,L31=3),'Specification &amp; Data'!I$16)))))))))</f>
        <v>409.43800800000002</v>
      </c>
      <c r="U31" s="27">
        <f>IF(AND(M31=1,L31=1),'Specification &amp; Data'!E$24,IF(AND(M31=1,L31=2),'Specification &amp; Data'!E$25,IF(AND(M31=1,L31=3),'Specification &amp; Data'!E$26,IF(M31=2,0,IF(AND(M31=3,L31=1),'Specification &amp; Data'!I$24,IF(AND(M31=3,L31=2),'Specification &amp; Data'!I$25,IF(AND(M31=3,L31=3),'Specification &amp; Data'!I$26)))))))</f>
        <v>178.61733099000003</v>
      </c>
      <c r="V31" s="27">
        <f>'Specification &amp; Data'!B$46-Simulation!S31-Simulation!T31-Simulation!U31</f>
        <v>115.00855559752375</v>
      </c>
      <c r="W31" s="27">
        <f>Simulation!V31/Simulation!Y31</f>
        <v>0.19367957803922858</v>
      </c>
      <c r="X31" s="27">
        <f>60*Simulation!Q31/(2*'Specification &amp; Data'!B$15*PI())</f>
        <v>120.59854355707022</v>
      </c>
      <c r="Y31" s="27">
        <f>IF(L31=1,'Specification &amp; Data'!B$56,IF(L31=2,'Specification &amp; Data'!B$57,IF(L31=3,'Specification &amp; Data'!B$58)))</f>
        <v>593.80837547172621</v>
      </c>
      <c r="Z31" s="38">
        <f>Simulation!Y31*Simulation!Q31^2/(2*1000)</f>
        <v>3.0550978059840941</v>
      </c>
    </row>
    <row r="32" spans="1:26">
      <c r="A32" s="27" t="s">
        <v>169</v>
      </c>
      <c r="B32" s="31"/>
      <c r="C32" s="27"/>
      <c r="D32" s="27"/>
      <c r="G32" s="42">
        <v>5700</v>
      </c>
      <c r="H32" s="42">
        <v>17.11</v>
      </c>
      <c r="I32" s="38">
        <f>Simulation!H32*746/1000</f>
        <v>12.764059999999999</v>
      </c>
      <c r="J32" s="38">
        <f>60*1000*Simulation!I32/(2*PI()*Simulation!G32)</f>
        <v>21.383823609700396</v>
      </c>
      <c r="K32" s="37">
        <v>443.8</v>
      </c>
      <c r="L32" s="27">
        <f>IF(Q32&lt;='Specification &amp; Data'!I$7,1,IF(AND(Q32&gt;'Specification &amp; Data'!I$7,Q32&lt;='Specification &amp; Data'!I$8),2,IF(Q32&gt;'Specification &amp; Data'!I$8,3)))</f>
        <v>1</v>
      </c>
      <c r="M32" s="36">
        <v>1</v>
      </c>
      <c r="N32" s="33">
        <f t="shared" si="0"/>
        <v>27</v>
      </c>
      <c r="O32" s="27">
        <f>O31+(1/Simulation!Q32)</f>
        <v>14.263834127521241</v>
      </c>
      <c r="P32" s="38">
        <f>Simulation!Q32*3.6</f>
        <v>11.763356420095997</v>
      </c>
      <c r="Q32" s="38">
        <f>MIN('Specification &amp; Data'!I$9,SQRT(2*Simulation!R31+Simulation!Q31^2))</f>
        <v>3.2675990055822215</v>
      </c>
      <c r="R32" s="38">
        <f>IF(Q32=Q31,0,IF(Q32&lt;&gt;Q31,Simulation!V32/Simulation!Y32))</f>
        <v>0.19337290066860729</v>
      </c>
      <c r="S32" s="27">
        <f>'Specification &amp; Data'!B$21*'Specification &amp; Data'!B$11*'Specification &amp; Data'!B$23*(Simulation!Q32^2)/2</f>
        <v>5.019630326553262</v>
      </c>
      <c r="T32" s="27">
        <f>IF(AND(M32=1,L32=1),'Specification &amp; Data'!E$14,IF(AND(M32=1,L32=2),'Specification &amp; Data'!E$15,IF(AND(M32=1,L32=3),'Specification &amp; Data'!E$16,IF(AND(M32=2,L32=1),'Specification &amp; Data'!F$14,IF(AND(M32=2,L32=2),'Specification &amp; Data'!F$15,IF(AND(M32=2,L32=3),'Specification &amp; Data'!F$16,IF(AND(M32=3,L32=1),'Specification &amp; Data'!I$14,IF(AND(M32=3,L32=2),'Specification &amp; Data'!I$15,IF(AND(M32=3,L32=3),'Specification &amp; Data'!I$16)))))))))</f>
        <v>409.43800800000002</v>
      </c>
      <c r="U32" s="27">
        <f>IF(AND(M32=1,L32=1),'Specification &amp; Data'!E$24,IF(AND(M32=1,L32=2),'Specification &amp; Data'!E$25,IF(AND(M32=1,L32=3),'Specification &amp; Data'!E$26,IF(M32=2,0,IF(AND(M32=3,L32=1),'Specification &amp; Data'!I$24,IF(AND(M32=3,L32=2),'Specification &amp; Data'!I$25,IF(AND(M32=3,L32=3),'Specification &amp; Data'!I$26)))))))</f>
        <v>178.61733099000003</v>
      </c>
      <c r="V32" s="27">
        <f>'Specification &amp; Data'!B$46-Simulation!S32-Simulation!T32-Simulation!U32</f>
        <v>114.82644800628117</v>
      </c>
      <c r="W32" s="27">
        <f>Simulation!V32/Simulation!Y32</f>
        <v>0.19337290066860729</v>
      </c>
      <c r="X32" s="27">
        <f>60*Simulation!Q32/(2*'Specification &amp; Data'!B$15*PI())</f>
        <v>122.84752766470211</v>
      </c>
      <c r="Y32" s="27">
        <f>IF(L32=1,'Specification &amp; Data'!B$56,IF(L32=2,'Specification &amp; Data'!B$57,IF(L32=3,'Specification &amp; Data'!B$58)))</f>
        <v>593.80837547172621</v>
      </c>
      <c r="Z32" s="38">
        <f>Simulation!Y32*Simulation!Q32^2/(2*1000)</f>
        <v>3.1701063615816181</v>
      </c>
    </row>
    <row r="33" spans="1:26">
      <c r="A33" s="27"/>
      <c r="B33" s="27"/>
      <c r="C33" s="27"/>
      <c r="D33" s="27"/>
      <c r="G33" s="42">
        <v>5800</v>
      </c>
      <c r="H33" s="42">
        <v>17.18</v>
      </c>
      <c r="I33" s="38">
        <f>Simulation!H33*746/1000</f>
        <v>12.816280000000001</v>
      </c>
      <c r="J33" s="38">
        <f>60*1000*Simulation!I33/(2*PI()*Simulation!G33)</f>
        <v>21.101113593618585</v>
      </c>
      <c r="K33" s="37">
        <v>443.8</v>
      </c>
      <c r="L33" s="27">
        <f>IF(Q33&lt;='Specification &amp; Data'!I$7,1,IF(AND(Q33&gt;'Specification &amp; Data'!I$7,Q33&lt;='Specification &amp; Data'!I$8),2,IF(Q33&gt;'Specification &amp; Data'!I$8,3)))</f>
        <v>1</v>
      </c>
      <c r="M33" s="36">
        <v>1</v>
      </c>
      <c r="N33" s="33">
        <f t="shared" si="0"/>
        <v>28</v>
      </c>
      <c r="O33" s="27">
        <f>O32+(1/Simulation!Q33)</f>
        <v>14.56447284922776</v>
      </c>
      <c r="P33" s="38">
        <f>Simulation!Q33*3.6</f>
        <v>11.974505411562685</v>
      </c>
      <c r="Q33" s="38">
        <f>MIN('Specification &amp; Data'!I$9,SQRT(2*Simulation!R32+Simulation!Q32^2))</f>
        <v>3.3262515032118567</v>
      </c>
      <c r="R33" s="38">
        <f>IF(Q33=Q32,0,IF(Q33&lt;&gt;Q32,Simulation!V33/Simulation!Y33))</f>
        <v>0.19306670889905245</v>
      </c>
      <c r="S33" s="27">
        <f>'Specification &amp; Data'!B$21*'Specification &amp; Data'!B$11*'Specification &amp; Data'!B$23*(Simulation!Q33^2)/2</f>
        <v>5.201449563815431</v>
      </c>
      <c r="T33" s="27">
        <f>IF(AND(M33=1,L33=1),'Specification &amp; Data'!E$14,IF(AND(M33=1,L33=2),'Specification &amp; Data'!E$15,IF(AND(M33=1,L33=3),'Specification &amp; Data'!E$16,IF(AND(M33=2,L33=1),'Specification &amp; Data'!F$14,IF(AND(M33=2,L33=2),'Specification &amp; Data'!F$15,IF(AND(M33=2,L33=3),'Specification &amp; Data'!F$16,IF(AND(M33=3,L33=1),'Specification &amp; Data'!I$14,IF(AND(M33=3,L33=2),'Specification &amp; Data'!I$15,IF(AND(M33=3,L33=3),'Specification &amp; Data'!I$16)))))))))</f>
        <v>409.43800800000002</v>
      </c>
      <c r="U33" s="27">
        <f>IF(AND(M33=1,L33=1),'Specification &amp; Data'!E$24,IF(AND(M33=1,L33=2),'Specification &amp; Data'!E$25,IF(AND(M33=1,L33=3),'Specification &amp; Data'!E$26,IF(M33=2,0,IF(AND(M33=3,L33=1),'Specification &amp; Data'!I$24,IF(AND(M33=3,L33=2),'Specification &amp; Data'!I$25,IF(AND(M33=3,L33=3),'Specification &amp; Data'!I$26)))))))</f>
        <v>178.61733099000003</v>
      </c>
      <c r="V33" s="27">
        <f>'Specification &amp; Data'!B$46-Simulation!S33-Simulation!T33-Simulation!U33</f>
        <v>114.64462876901899</v>
      </c>
      <c r="W33" s="27">
        <f>Simulation!V33/Simulation!Y33</f>
        <v>0.19306670889905245</v>
      </c>
      <c r="X33" s="27">
        <f>60*Simulation!Q33/(2*'Specification &amp; Data'!B$15*PI())</f>
        <v>125.05260678023961</v>
      </c>
      <c r="Y33" s="27">
        <f>IF(L33=1,'Specification &amp; Data'!B$56,IF(L33=2,'Specification &amp; Data'!B$57,IF(L33=3,'Specification &amp; Data'!B$58)))</f>
        <v>593.80837547172621</v>
      </c>
      <c r="Z33" s="38">
        <f>Simulation!Y33*Simulation!Q33^2/(2*1000)</f>
        <v>3.2849328095878985</v>
      </c>
    </row>
    <row r="34" spans="1:26">
      <c r="A34" s="30" t="s">
        <v>153</v>
      </c>
      <c r="B34" s="30" t="s">
        <v>154</v>
      </c>
      <c r="C34" s="30" t="s">
        <v>155</v>
      </c>
      <c r="D34" s="30" t="s">
        <v>156</v>
      </c>
      <c r="G34" s="42">
        <v>5900</v>
      </c>
      <c r="H34" s="42">
        <v>17.239999999999998</v>
      </c>
      <c r="I34" s="38">
        <f>Simulation!H34*746/1000</f>
        <v>12.861039999999999</v>
      </c>
      <c r="J34" s="38">
        <f>60*1000*Simulation!I34/(2*PI()*Simulation!G34)</f>
        <v>20.815912772568705</v>
      </c>
      <c r="K34" s="37">
        <v>469.1</v>
      </c>
      <c r="L34" s="27">
        <f>IF(Q34&lt;='Specification &amp; Data'!I$7,1,IF(AND(Q34&gt;'Specification &amp; Data'!I$7,Q34&lt;='Specification &amp; Data'!I$8),2,IF(Q34&gt;'Specification &amp; Data'!I$8,3)))</f>
        <v>1</v>
      </c>
      <c r="M34" s="36">
        <v>1</v>
      </c>
      <c r="N34" s="33">
        <f t="shared" si="0"/>
        <v>29</v>
      </c>
      <c r="O34" s="27">
        <f>O33+(1/Simulation!Q34)</f>
        <v>14.859998847097268</v>
      </c>
      <c r="P34" s="38">
        <f>Simulation!Q34*3.6</f>
        <v>12.181669382568526</v>
      </c>
      <c r="Q34" s="38">
        <f>MIN('Specification &amp; Data'!I$9,SQRT(2*Simulation!R33+Simulation!Q33^2))</f>
        <v>3.3837970507134791</v>
      </c>
      <c r="R34" s="38">
        <f>IF(Q34=Q33,0,IF(Q34&lt;&gt;Q33,Simulation!V34/Simulation!Y34))</f>
        <v>0.19276100196165061</v>
      </c>
      <c r="S34" s="27">
        <f>'Specification &amp; Data'!B$21*'Specification &amp; Data'!B$11*'Specification &amp; Data'!B$23*(Simulation!Q34^2)/2</f>
        <v>5.382980903684512</v>
      </c>
      <c r="T34" s="27">
        <f>IF(AND(M34=1,L34=1),'Specification &amp; Data'!E$14,IF(AND(M34=1,L34=2),'Specification &amp; Data'!E$15,IF(AND(M34=1,L34=3),'Specification &amp; Data'!E$16,IF(AND(M34=2,L34=1),'Specification &amp; Data'!F$14,IF(AND(M34=2,L34=2),'Specification &amp; Data'!F$15,IF(AND(M34=2,L34=3),'Specification &amp; Data'!F$16,IF(AND(M34=3,L34=1),'Specification &amp; Data'!I$14,IF(AND(M34=3,L34=2),'Specification &amp; Data'!I$15,IF(AND(M34=3,L34=3),'Specification &amp; Data'!I$16)))))))))</f>
        <v>409.43800800000002</v>
      </c>
      <c r="U34" s="27">
        <f>IF(AND(M34=1,L34=1),'Specification &amp; Data'!E$24,IF(AND(M34=1,L34=2),'Specification &amp; Data'!E$25,IF(AND(M34=1,L34=3),'Specification &amp; Data'!E$26,IF(M34=2,0,IF(AND(M34=3,L34=1),'Specification &amp; Data'!I$24,IF(AND(M34=3,L34=2),'Specification &amp; Data'!I$25,IF(AND(M34=3,L34=3),'Specification &amp; Data'!I$26)))))))</f>
        <v>178.61733099000003</v>
      </c>
      <c r="V34" s="27">
        <f>'Specification &amp; Data'!B$46-Simulation!S34-Simulation!T34-Simulation!U34</f>
        <v>114.46309742914997</v>
      </c>
      <c r="W34" s="27">
        <f>Simulation!V34/Simulation!Y34</f>
        <v>0.19276100196165061</v>
      </c>
      <c r="X34" s="27">
        <f>60*Simulation!Q34/(2*'Specification &amp; Data'!B$15*PI())</f>
        <v>127.21606937972292</v>
      </c>
      <c r="Y34" s="27">
        <f>IF(L34=1,'Specification &amp; Data'!B$56,IF(L34=2,'Specification &amp; Data'!B$57,IF(L34=3,'Specification &amp; Data'!B$58)))</f>
        <v>593.80837547172621</v>
      </c>
      <c r="Z34" s="38">
        <f>Simulation!Y34*Simulation!Q34^2/(2*1000)</f>
        <v>3.3995774383569173</v>
      </c>
    </row>
    <row r="35" spans="1:26">
      <c r="A35" s="33" t="s">
        <v>165</v>
      </c>
      <c r="B35" s="36">
        <v>60</v>
      </c>
      <c r="C35" s="34"/>
      <c r="D35" s="34"/>
      <c r="G35" s="42">
        <v>6000</v>
      </c>
      <c r="H35" s="42">
        <v>17.32</v>
      </c>
      <c r="I35" s="38">
        <f>Simulation!H35*746/1000</f>
        <v>12.920719999999999</v>
      </c>
      <c r="J35" s="38">
        <f>60*1000*Simulation!I35/(2*PI()*Simulation!G35)</f>
        <v>20.563964563063138</v>
      </c>
      <c r="K35" s="37">
        <v>469.1</v>
      </c>
      <c r="L35" s="27">
        <f>IF(Q35&lt;='Specification &amp; Data'!I$7,1,IF(AND(Q35&gt;'Specification &amp; Data'!I$7,Q35&lt;='Specification &amp; Data'!I$8),2,IF(Q35&gt;'Specification &amp; Data'!I$8,3)))</f>
        <v>1</v>
      </c>
      <c r="M35" s="36">
        <v>1</v>
      </c>
      <c r="N35" s="33">
        <f t="shared" si="0"/>
        <v>30</v>
      </c>
      <c r="O35" s="27">
        <f>O34+(1/Simulation!Q35)</f>
        <v>15.150671904116287</v>
      </c>
      <c r="P35" s="38">
        <f>Simulation!Q35*3.6</f>
        <v>12.385048813672613</v>
      </c>
      <c r="Q35" s="38">
        <f>MIN('Specification &amp; Data'!I$9,SQRT(2*Simulation!R34+Simulation!Q34^2))</f>
        <v>3.4402913371312813</v>
      </c>
      <c r="R35" s="38">
        <f>IF(Q35=Q34,0,IF(Q35&lt;&gt;Q34,Simulation!V35/Simulation!Y35))</f>
        <v>0.19245577908870534</v>
      </c>
      <c r="S35" s="27">
        <f>'Specification &amp; Data'!B$21*'Specification &amp; Data'!B$11*'Specification &amp; Data'!B$23*(Simulation!Q35^2)/2</f>
        <v>5.5642248020248566</v>
      </c>
      <c r="T35" s="27">
        <f>IF(AND(M35=1,L35=1),'Specification &amp; Data'!E$14,IF(AND(M35=1,L35=2),'Specification &amp; Data'!E$15,IF(AND(M35=1,L35=3),'Specification &amp; Data'!E$16,IF(AND(M35=2,L35=1),'Specification &amp; Data'!F$14,IF(AND(M35=2,L35=2),'Specification &amp; Data'!F$15,IF(AND(M35=2,L35=3),'Specification &amp; Data'!F$16,IF(AND(M35=3,L35=1),'Specification &amp; Data'!I$14,IF(AND(M35=3,L35=2),'Specification &amp; Data'!I$15,IF(AND(M35=3,L35=3),'Specification &amp; Data'!I$16)))))))))</f>
        <v>409.43800800000002</v>
      </c>
      <c r="U35" s="27">
        <f>IF(AND(M35=1,L35=1),'Specification &amp; Data'!E$24,IF(AND(M35=1,L35=2),'Specification &amp; Data'!E$25,IF(AND(M35=1,L35=3),'Specification &amp; Data'!E$26,IF(M35=2,0,IF(AND(M35=3,L35=1),'Specification &amp; Data'!I$24,IF(AND(M35=3,L35=2),'Specification &amp; Data'!I$25,IF(AND(M35=3,L35=3),'Specification &amp; Data'!I$26)))))))</f>
        <v>178.61733099000003</v>
      </c>
      <c r="V35" s="27">
        <f>'Specification &amp; Data'!B$46-Simulation!S35-Simulation!T35-Simulation!U35</f>
        <v>114.28185353080954</v>
      </c>
      <c r="W35" s="27">
        <f>Simulation!V35/Simulation!Y35</f>
        <v>0.19245577908870534</v>
      </c>
      <c r="X35" s="27">
        <f>60*Simulation!Q35/(2*'Specification &amp; Data'!B$15*PI())</f>
        <v>129.34000912929201</v>
      </c>
      <c r="Y35" s="27">
        <f>IF(L35=1,'Specification &amp; Data'!B$56,IF(L35=2,'Specification &amp; Data'!B$57,IF(L35=3,'Specification &amp; Data'!B$58)))</f>
        <v>593.80837547172621</v>
      </c>
      <c r="Z35" s="38">
        <f>Simulation!Y35*Simulation!Q35^2/(2*1000)</f>
        <v>3.5140405357860667</v>
      </c>
    </row>
    <row r="36" spans="1:26">
      <c r="A36" s="31" t="s">
        <v>161</v>
      </c>
      <c r="B36" s="31">
        <v>4.7</v>
      </c>
      <c r="C36" s="31">
        <v>6</v>
      </c>
      <c r="D36" s="32">
        <f>3.14/2</f>
        <v>1.57</v>
      </c>
      <c r="G36" s="42">
        <v>6100</v>
      </c>
      <c r="H36" s="42">
        <v>17.37</v>
      </c>
      <c r="I36" s="38">
        <f>Simulation!H36*746/1000</f>
        <v>12.958020000000001</v>
      </c>
      <c r="J36" s="38">
        <f>60*1000*Simulation!I36/(2*PI()*Simulation!G36)</f>
        <v>20.285241990330903</v>
      </c>
      <c r="K36" s="37">
        <v>469.1</v>
      </c>
      <c r="L36" s="27">
        <f>IF(Q36&lt;='Specification &amp; Data'!I$7,1,IF(AND(Q36&gt;'Specification &amp; Data'!I$7,Q36&lt;='Specification &amp; Data'!I$8),2,IF(Q36&gt;'Specification &amp; Data'!I$8,3)))</f>
        <v>1</v>
      </c>
      <c r="M36" s="36">
        <v>1</v>
      </c>
      <c r="N36" s="33">
        <f t="shared" si="0"/>
        <v>31</v>
      </c>
      <c r="O36" s="27">
        <f>O35+(1/Simulation!Q36)</f>
        <v>15.436730647989583</v>
      </c>
      <c r="P36" s="38">
        <f>Simulation!Q36*3.6</f>
        <v>12.584827686982157</v>
      </c>
      <c r="Q36" s="38">
        <f>MIN('Specification &amp; Data'!I$9,SQRT(2*Simulation!R35+Simulation!Q35^2))</f>
        <v>3.4957854686061545</v>
      </c>
      <c r="R36" s="38">
        <f>IF(Q36=Q35,0,IF(Q36&lt;&gt;Q35,Simulation!V36/Simulation!Y36))</f>
        <v>0.19215103951373663</v>
      </c>
      <c r="S36" s="27">
        <f>'Specification &amp; Data'!B$21*'Specification &amp; Data'!B$11*'Specification &amp; Data'!B$23*(Simulation!Q36^2)/2</f>
        <v>5.7451817139789929</v>
      </c>
      <c r="T36" s="27">
        <f>IF(AND(M36=1,L36=1),'Specification &amp; Data'!E$14,IF(AND(M36=1,L36=2),'Specification &amp; Data'!E$15,IF(AND(M36=1,L36=3),'Specification &amp; Data'!E$16,IF(AND(M36=2,L36=1),'Specification &amp; Data'!F$14,IF(AND(M36=2,L36=2),'Specification &amp; Data'!F$15,IF(AND(M36=2,L36=3),'Specification &amp; Data'!F$16,IF(AND(M36=3,L36=1),'Specification &amp; Data'!I$14,IF(AND(M36=3,L36=2),'Specification &amp; Data'!I$15,IF(AND(M36=3,L36=3),'Specification &amp; Data'!I$16)))))))))</f>
        <v>409.43800800000002</v>
      </c>
      <c r="U36" s="27">
        <f>IF(AND(M36=1,L36=1),'Specification &amp; Data'!E$24,IF(AND(M36=1,L36=2),'Specification &amp; Data'!E$25,IF(AND(M36=1,L36=3),'Specification &amp; Data'!E$26,IF(M36=2,0,IF(AND(M36=3,L36=1),'Specification &amp; Data'!I$24,IF(AND(M36=3,L36=2),'Specification &amp; Data'!I$25,IF(AND(M36=3,L36=3),'Specification &amp; Data'!I$26)))))))</f>
        <v>178.61733099000003</v>
      </c>
      <c r="V36" s="27">
        <f>'Specification &amp; Data'!B$46-Simulation!S36-Simulation!T36-Simulation!U36</f>
        <v>114.10089661885542</v>
      </c>
      <c r="W36" s="27">
        <f>Simulation!V36/Simulation!Y36</f>
        <v>0.19215103951373663</v>
      </c>
      <c r="X36" s="27">
        <f>60*Simulation!Q36/(2*'Specification &amp; Data'!B$15*PI())</f>
        <v>131.42634739783162</v>
      </c>
      <c r="Y36" s="27">
        <f>IF(L36=1,'Specification &amp; Data'!B$56,IF(L36=2,'Specification &amp; Data'!B$57,IF(L36=3,'Specification &amp; Data'!B$58)))</f>
        <v>593.80837547172621</v>
      </c>
      <c r="Z36" s="38">
        <f>Simulation!Y36*Simulation!Q36^2/(2*1000)</f>
        <v>3.6283223893168768</v>
      </c>
    </row>
    <row r="37" spans="1:26">
      <c r="A37" s="33" t="s">
        <v>162</v>
      </c>
      <c r="B37" s="33">
        <v>108</v>
      </c>
      <c r="C37" s="34"/>
      <c r="D37" s="34"/>
      <c r="G37" s="42">
        <v>6200</v>
      </c>
      <c r="H37" s="42">
        <v>17.440000000000001</v>
      </c>
      <c r="I37" s="38">
        <f>Simulation!H37*746/1000</f>
        <v>13.010240000000001</v>
      </c>
      <c r="J37" s="38">
        <f>60*1000*Simulation!I37/(2*PI()*Simulation!G37)</f>
        <v>20.038490388502264</v>
      </c>
      <c r="K37" s="37">
        <v>469.1</v>
      </c>
      <c r="L37" s="27">
        <f>IF(Q37&lt;='Specification &amp; Data'!I$7,1,IF(AND(Q37&gt;'Specification &amp; Data'!I$7,Q37&lt;='Specification &amp; Data'!I$8),2,IF(Q37&gt;'Specification &amp; Data'!I$8,3)))</f>
        <v>1</v>
      </c>
      <c r="M37" s="36">
        <v>1</v>
      </c>
      <c r="N37" s="33">
        <f t="shared" si="0"/>
        <v>32</v>
      </c>
      <c r="O37" s="27">
        <f>O36+(1/Simulation!Q37)</f>
        <v>15.718394885168149</v>
      </c>
      <c r="P37" s="38">
        <f>Simulation!Q37*3.6</f>
        <v>12.78117533152678</v>
      </c>
      <c r="Q37" s="38">
        <f>MIN('Specification &amp; Data'!I$9,SQRT(2*Simulation!R36+Simulation!Q36^2))</f>
        <v>3.5503264809796611</v>
      </c>
      <c r="R37" s="38">
        <f>IF(Q37=Q36,0,IF(Q37&lt;&gt;Q36,Simulation!V37/Simulation!Y37))</f>
        <v>0.19184678247147754</v>
      </c>
      <c r="S37" s="27">
        <f>'Specification &amp; Data'!B$21*'Specification &amp; Data'!B$11*'Specification &amp; Data'!B$23*(Simulation!Q37^2)/2</f>
        <v>5.925852093968758</v>
      </c>
      <c r="T37" s="27">
        <f>IF(AND(M37=1,L37=1),'Specification &amp; Data'!E$14,IF(AND(M37=1,L37=2),'Specification &amp; Data'!E$15,IF(AND(M37=1,L37=3),'Specification &amp; Data'!E$16,IF(AND(M37=2,L37=1),'Specification &amp; Data'!F$14,IF(AND(M37=2,L37=2),'Specification &amp; Data'!F$15,IF(AND(M37=2,L37=3),'Specification &amp; Data'!F$16,IF(AND(M37=3,L37=1),'Specification &amp; Data'!I$14,IF(AND(M37=3,L37=2),'Specification &amp; Data'!I$15,IF(AND(M37=3,L37=3),'Specification &amp; Data'!I$16)))))))))</f>
        <v>409.43800800000002</v>
      </c>
      <c r="U37" s="27">
        <f>IF(AND(M37=1,L37=1),'Specification &amp; Data'!E$24,IF(AND(M37=1,L37=2),'Specification &amp; Data'!E$25,IF(AND(M37=1,L37=3),'Specification &amp; Data'!E$26,IF(M37=2,0,IF(AND(M37=3,L37=1),'Specification &amp; Data'!I$24,IF(AND(M37=3,L37=2),'Specification &amp; Data'!I$25,IF(AND(M37=3,L37=3),'Specification &amp; Data'!I$26)))))))</f>
        <v>178.61733099000003</v>
      </c>
      <c r="V37" s="27">
        <f>'Specification &amp; Data'!B$46-Simulation!S37-Simulation!T37-Simulation!U37</f>
        <v>113.92022623886572</v>
      </c>
      <c r="W37" s="27">
        <f>Simulation!V37/Simulation!Y37</f>
        <v>0.19184678247147754</v>
      </c>
      <c r="X37" s="27">
        <f>60*Simulation!Q37/(2*'Specification &amp; Data'!B$15*PI())</f>
        <v>133.47685252865361</v>
      </c>
      <c r="Y37" s="27">
        <f>IF(L37=1,'Specification &amp; Data'!B$56,IF(L37=2,'Specification &amp; Data'!B$57,IF(L37=3,'Specification &amp; Data'!B$58)))</f>
        <v>593.80837547172621</v>
      </c>
      <c r="Z37" s="38">
        <f>Simulation!Y37*Simulation!Q37^2/(2*1000)</f>
        <v>3.742423285935732</v>
      </c>
    </row>
    <row r="38" spans="1:26">
      <c r="A38" s="31" t="s">
        <v>163</v>
      </c>
      <c r="B38" s="31">
        <v>37.700000000000003</v>
      </c>
      <c r="C38" s="31">
        <v>12</v>
      </c>
      <c r="D38" s="32">
        <v>3.14</v>
      </c>
      <c r="G38" s="42">
        <v>4800</v>
      </c>
      <c r="H38" s="42">
        <v>14.68</v>
      </c>
      <c r="I38" s="38">
        <f>Simulation!H38*746/1000</f>
        <v>10.951280000000001</v>
      </c>
      <c r="J38" s="38">
        <f>60*1000*Simulation!I38/(2*PI()*Simulation!G38)</f>
        <v>21.786879314792646</v>
      </c>
      <c r="K38" s="37">
        <v>483</v>
      </c>
      <c r="L38" s="27">
        <f>IF(Q38&lt;='Specification &amp; Data'!I$7,1,IF(AND(Q38&gt;'Specification &amp; Data'!I$7,Q38&lt;='Specification &amp; Data'!I$8),2,IF(Q38&gt;'Specification &amp; Data'!I$8,3)))</f>
        <v>1</v>
      </c>
      <c r="M38" s="36">
        <v>1</v>
      </c>
      <c r="N38" s="33">
        <f t="shared" si="0"/>
        <v>33</v>
      </c>
      <c r="O38" s="27">
        <f>O37+(1/Simulation!Q38)</f>
        <v>15.995867613983272</v>
      </c>
      <c r="P38" s="38">
        <f>Simulation!Q38*3.6</f>
        <v>12.974248011229376</v>
      </c>
      <c r="Q38" s="38">
        <f>MIN('Specification &amp; Data'!I$9,SQRT(2*Simulation!R37+Simulation!Q37^2))</f>
        <v>3.6039577808970487</v>
      </c>
      <c r="R38" s="38">
        <f>IF(Q38=Q37,0,IF(Q38&lt;&gt;Q37,Simulation!V38/Simulation!Y38))</f>
        <v>0.19154300719787282</v>
      </c>
      <c r="S38" s="27">
        <f>'Specification &amp; Data'!B$21*'Specification &amp; Data'!B$11*'Specification &amp; Data'!B$23*(Simulation!Q38^2)/2</f>
        <v>6.1062363956964516</v>
      </c>
      <c r="T38" s="27">
        <f>IF(AND(M38=1,L38=1),'Specification &amp; Data'!E$14,IF(AND(M38=1,L38=2),'Specification &amp; Data'!E$15,IF(AND(M38=1,L38=3),'Specification &amp; Data'!E$16,IF(AND(M38=2,L38=1),'Specification &amp; Data'!F$14,IF(AND(M38=2,L38=2),'Specification &amp; Data'!F$15,IF(AND(M38=2,L38=3),'Specification &amp; Data'!F$16,IF(AND(M38=3,L38=1),'Specification &amp; Data'!I$14,IF(AND(M38=3,L38=2),'Specification &amp; Data'!I$15,IF(AND(M38=3,L38=3),'Specification &amp; Data'!I$16)))))))))</f>
        <v>409.43800800000002</v>
      </c>
      <c r="U38" s="27">
        <f>IF(AND(M38=1,L38=1),'Specification &amp; Data'!E$24,IF(AND(M38=1,L38=2),'Specification &amp; Data'!E$25,IF(AND(M38=1,L38=3),'Specification &amp; Data'!E$26,IF(M38=2,0,IF(AND(M38=3,L38=1),'Specification &amp; Data'!I$24,IF(AND(M38=3,L38=2),'Specification &amp; Data'!I$25,IF(AND(M38=3,L38=3),'Specification &amp; Data'!I$26)))))))</f>
        <v>178.61733099000003</v>
      </c>
      <c r="V38" s="27">
        <f>'Specification &amp; Data'!B$46-Simulation!S38-Simulation!T38-Simulation!U38</f>
        <v>113.73984193713801</v>
      </c>
      <c r="W38" s="27">
        <f>Simulation!V38/Simulation!Y38</f>
        <v>0.19154300719787282</v>
      </c>
      <c r="X38" s="27">
        <f>60*Simulation!Q38/(2*'Specification &amp; Data'!B$15*PI())</f>
        <v>135.4931564230543</v>
      </c>
      <c r="Y38" s="27">
        <f>IF(L38=1,'Specification &amp; Data'!B$56,IF(L38=2,'Specification &amp; Data'!B$57,IF(L38=3,'Specification &amp; Data'!B$58)))</f>
        <v>593.80837547172621</v>
      </c>
      <c r="Z38" s="38">
        <f>Simulation!Y38*Simulation!Q38^2/(2*1000)</f>
        <v>3.8563435121745977</v>
      </c>
    </row>
    <row r="39" spans="1:26">
      <c r="A39" s="33" t="s">
        <v>164</v>
      </c>
      <c r="B39" s="35">
        <v>104</v>
      </c>
      <c r="C39" s="34"/>
      <c r="D39" s="34"/>
      <c r="G39" s="42">
        <v>4900</v>
      </c>
      <c r="H39" s="42">
        <v>14.97</v>
      </c>
      <c r="I39" s="38">
        <f>Simulation!H39*746/1000</f>
        <v>11.167620000000001</v>
      </c>
      <c r="J39" s="38">
        <f>60*1000*Simulation!I39/(2*PI()*Simulation!G39)</f>
        <v>21.763860313125459</v>
      </c>
      <c r="K39" s="37">
        <v>483</v>
      </c>
      <c r="L39" s="27">
        <f>IF(Q39&lt;='Specification &amp; Data'!I$7,1,IF(AND(Q39&gt;'Specification &amp; Data'!I$7,Q39&lt;='Specification &amp; Data'!I$8),2,IF(Q39&gt;'Specification &amp; Data'!I$8,3)))</f>
        <v>1</v>
      </c>
      <c r="M39" s="36">
        <v>1</v>
      </c>
      <c r="N39" s="33">
        <f t="shared" si="0"/>
        <v>34</v>
      </c>
      <c r="O39" s="27">
        <f>O38+(1/Simulation!Q39)</f>
        <v>16.269336769205932</v>
      </c>
      <c r="P39" s="38">
        <f>Simulation!Q39*3.6</f>
        <v>13.164190298057008</v>
      </c>
      <c r="Q39" s="38">
        <f>MIN('Specification &amp; Data'!I$9,SQRT(2*Simulation!R38+Simulation!Q38^2))</f>
        <v>3.6567195272380579</v>
      </c>
      <c r="R39" s="38">
        <f>IF(Q39=Q38,0,IF(Q39&lt;&gt;Q38,Simulation!V39/Simulation!Y39))</f>
        <v>0.19123971293007724</v>
      </c>
      <c r="S39" s="27">
        <f>'Specification &amp; Data'!B$21*'Specification &amp; Data'!B$11*'Specification &amp; Data'!B$23*(Simulation!Q39^2)/2</f>
        <v>6.2863350721459659</v>
      </c>
      <c r="T39" s="27">
        <f>IF(AND(M39=1,L39=1),'Specification &amp; Data'!E$14,IF(AND(M39=1,L39=2),'Specification &amp; Data'!E$15,IF(AND(M39=1,L39=3),'Specification &amp; Data'!E$16,IF(AND(M39=2,L39=1),'Specification &amp; Data'!F$14,IF(AND(M39=2,L39=2),'Specification &amp; Data'!F$15,IF(AND(M39=2,L39=3),'Specification &amp; Data'!F$16,IF(AND(M39=3,L39=1),'Specification &amp; Data'!I$14,IF(AND(M39=3,L39=2),'Specification &amp; Data'!I$15,IF(AND(M39=3,L39=3),'Specification &amp; Data'!I$16)))))))))</f>
        <v>409.43800800000002</v>
      </c>
      <c r="U39" s="27">
        <f>IF(AND(M39=1,L39=1),'Specification &amp; Data'!E$24,IF(AND(M39=1,L39=2),'Specification &amp; Data'!E$25,IF(AND(M39=1,L39=3),'Specification &amp; Data'!E$26,IF(M39=2,0,IF(AND(M39=3,L39=1),'Specification &amp; Data'!I$24,IF(AND(M39=3,L39=2),'Specification &amp; Data'!I$25,IF(AND(M39=3,L39=3),'Specification &amp; Data'!I$26)))))))</f>
        <v>178.61733099000003</v>
      </c>
      <c r="V39" s="27">
        <f>'Specification &amp; Data'!B$46-Simulation!S39-Simulation!T39-Simulation!U39</f>
        <v>113.55974326068844</v>
      </c>
      <c r="W39" s="27">
        <f>Simulation!V39/Simulation!Y39</f>
        <v>0.19123971293007724</v>
      </c>
      <c r="X39" s="27">
        <f>60*Simulation!Q39/(2*'Specification &amp; Data'!B$15*PI())</f>
        <v>137.47676888045564</v>
      </c>
      <c r="Y39" s="27">
        <f>IF(L39=1,'Specification &amp; Data'!B$56,IF(L39=2,'Specification &amp; Data'!B$57,IF(L39=3,'Specification &amp; Data'!B$58)))</f>
        <v>593.80837547172621</v>
      </c>
      <c r="Z39" s="38">
        <f>Simulation!Y39*Simulation!Q39^2/(2*1000)</f>
        <v>3.9700833541117357</v>
      </c>
    </row>
    <row r="40" spans="1:26">
      <c r="G40" s="42">
        <v>5000</v>
      </c>
      <c r="H40" s="42">
        <v>15.26</v>
      </c>
      <c r="I40" s="38">
        <f>Simulation!H40*746/1000</f>
        <v>11.383959999999998</v>
      </c>
      <c r="J40" s="38">
        <f>60*1000*Simulation!I40/(2*PI()*Simulation!G40)</f>
        <v>21.741762071524949</v>
      </c>
      <c r="K40" s="37">
        <v>470.5</v>
      </c>
      <c r="L40" s="27">
        <f>IF(Q40&lt;='Specification &amp; Data'!I$7,1,IF(AND(Q40&gt;'Specification &amp; Data'!I$7,Q40&lt;='Specification &amp; Data'!I$8),2,IF(Q40&gt;'Specification &amp; Data'!I$8,3)))</f>
        <v>1</v>
      </c>
      <c r="M40" s="36">
        <v>1</v>
      </c>
      <c r="N40" s="33">
        <f t="shared" si="0"/>
        <v>35</v>
      </c>
      <c r="O40" s="27">
        <f>O39+(1/Simulation!Q40)</f>
        <v>16.538976740560109</v>
      </c>
      <c r="P40" s="38">
        <f>Simulation!Q40*3.6</f>
        <v>13.351136264850489</v>
      </c>
      <c r="Q40" s="38">
        <f>MIN('Specification &amp; Data'!I$9,SQRT(2*Simulation!R39+Simulation!Q39^2))</f>
        <v>3.7086489624584691</v>
      </c>
      <c r="R40" s="38">
        <f>IF(Q40=Q39,0,IF(Q40&lt;&gt;Q39,Simulation!V40/Simulation!Y40))</f>
        <v>0.19093689890645377</v>
      </c>
      <c r="S40" s="27">
        <f>'Specification &amp; Data'!B$21*'Specification &amp; Data'!B$11*'Specification &amp; Data'!B$23*(Simulation!Q40^2)/2</f>
        <v>6.466148575583925</v>
      </c>
      <c r="T40" s="27">
        <f>IF(AND(M40=1,L40=1),'Specification &amp; Data'!E$14,IF(AND(M40=1,L40=2),'Specification &amp; Data'!E$15,IF(AND(M40=1,L40=3),'Specification &amp; Data'!E$16,IF(AND(M40=2,L40=1),'Specification &amp; Data'!F$14,IF(AND(M40=2,L40=2),'Specification &amp; Data'!F$15,IF(AND(M40=2,L40=3),'Specification &amp; Data'!F$16,IF(AND(M40=3,L40=1),'Specification &amp; Data'!I$14,IF(AND(M40=3,L40=2),'Specification &amp; Data'!I$15,IF(AND(M40=3,L40=3),'Specification &amp; Data'!I$16)))))))))</f>
        <v>409.43800800000002</v>
      </c>
      <c r="U40" s="27">
        <f>IF(AND(M40=1,L40=1),'Specification &amp; Data'!E$24,IF(AND(M40=1,L40=2),'Specification &amp; Data'!E$25,IF(AND(M40=1,L40=3),'Specification &amp; Data'!E$26,IF(M40=2,0,IF(AND(M40=3,L40=1),'Specification &amp; Data'!I$24,IF(AND(M40=3,L40=2),'Specification &amp; Data'!I$25,IF(AND(M40=3,L40=3),'Specification &amp; Data'!I$26)))))))</f>
        <v>178.61733099000003</v>
      </c>
      <c r="V40" s="27">
        <f>'Specification &amp; Data'!B$46-Simulation!S40-Simulation!T40-Simulation!U40</f>
        <v>113.37992975725052</v>
      </c>
      <c r="W40" s="27">
        <f>Simulation!V40/Simulation!Y40</f>
        <v>0.19093689890645377</v>
      </c>
      <c r="X40" s="27">
        <f>60*Simulation!Q40/(2*'Specification &amp; Data'!B$15*PI())</f>
        <v>139.42909005540812</v>
      </c>
      <c r="Y40" s="27">
        <f>IF(L40=1,'Specification &amp; Data'!B$56,IF(L40=2,'Specification &amp; Data'!B$57,IF(L40=3,'Specification &amp; Data'!B$58)))</f>
        <v>593.80837547172621</v>
      </c>
      <c r="Z40" s="38">
        <f>Simulation!Y40*Simulation!Q40^2/(2*1000)</f>
        <v>4.0836430973724243</v>
      </c>
    </row>
    <row r="41" spans="1:26">
      <c r="G41" s="42">
        <v>5100</v>
      </c>
      <c r="H41" s="42">
        <v>15.59</v>
      </c>
      <c r="I41" s="38">
        <f>Simulation!H41*746/1000</f>
        <v>11.630139999999999</v>
      </c>
      <c r="J41" s="38">
        <f>60*1000*Simulation!I41/(2*PI()*Simulation!G41)</f>
        <v>21.776403174715004</v>
      </c>
      <c r="K41" s="37">
        <v>470.5</v>
      </c>
      <c r="L41" s="27">
        <f>IF(Q41&lt;='Specification &amp; Data'!I$7,1,IF(AND(Q41&gt;'Specification &amp; Data'!I$7,Q41&lt;='Specification &amp; Data'!I$8),2,IF(Q41&gt;'Specification &amp; Data'!I$8,3)))</f>
        <v>1</v>
      </c>
      <c r="M41" s="36">
        <v>1</v>
      </c>
      <c r="N41" s="33">
        <f t="shared" si="0"/>
        <v>36</v>
      </c>
      <c r="O41" s="27">
        <f>O40+(1/Simulation!Q41)</f>
        <v>16.804949699982746</v>
      </c>
      <c r="P41" s="38">
        <f>Simulation!Q41*3.6</f>
        <v>13.535210525967491</v>
      </c>
      <c r="Q41" s="38">
        <f>MIN('Specification &amp; Data'!I$9,SQRT(2*Simulation!R40+Simulation!Q40^2))</f>
        <v>3.7597807016576361</v>
      </c>
      <c r="R41" s="38">
        <f>IF(Q41=Q40,0,IF(Q41&lt;&gt;Q40,Simulation!V41/Simulation!Y41))</f>
        <v>0.19063456436657089</v>
      </c>
      <c r="S41" s="27">
        <f>'Specification &amp; Data'!B$21*'Specification &amp; Data'!B$11*'Specification &amp; Data'!B$23*(Simulation!Q41^2)/2</f>
        <v>6.6456773575608254</v>
      </c>
      <c r="T41" s="27">
        <f>IF(AND(M41=1,L41=1),'Specification &amp; Data'!E$14,IF(AND(M41=1,L41=2),'Specification &amp; Data'!E$15,IF(AND(M41=1,L41=3),'Specification &amp; Data'!E$16,IF(AND(M41=2,L41=1),'Specification &amp; Data'!F$14,IF(AND(M41=2,L41=2),'Specification &amp; Data'!F$15,IF(AND(M41=2,L41=3),'Specification &amp; Data'!F$16,IF(AND(M41=3,L41=1),'Specification &amp; Data'!I$14,IF(AND(M41=3,L41=2),'Specification &amp; Data'!I$15,IF(AND(M41=3,L41=3),'Specification &amp; Data'!I$16)))))))))</f>
        <v>409.43800800000002</v>
      </c>
      <c r="U41" s="27">
        <f>IF(AND(M41=1,L41=1),'Specification &amp; Data'!E$24,IF(AND(M41=1,L41=2),'Specification &amp; Data'!E$25,IF(AND(M41=1,L41=3),'Specification &amp; Data'!E$26,IF(M41=2,0,IF(AND(M41=3,L41=1),'Specification &amp; Data'!I$24,IF(AND(M41=3,L41=2),'Specification &amp; Data'!I$25,IF(AND(M41=3,L41=3),'Specification &amp; Data'!I$26)))))))</f>
        <v>178.61733099000003</v>
      </c>
      <c r="V41" s="27">
        <f>'Specification &amp; Data'!B$46-Simulation!S41-Simulation!T41-Simulation!U41</f>
        <v>113.20040097527368</v>
      </c>
      <c r="W41" s="27">
        <f>Simulation!V41/Simulation!Y41</f>
        <v>0.19063456436657089</v>
      </c>
      <c r="X41" s="27">
        <f>60*Simulation!Q41/(2*'Specification &amp; Data'!B$15*PI())</f>
        <v>141.3514213252742</v>
      </c>
      <c r="Y41" s="27">
        <f>IF(L41=1,'Specification &amp; Data'!B$56,IF(L41=2,'Specification &amp; Data'!B$57,IF(L41=3,'Specification &amp; Data'!B$58)))</f>
        <v>593.80837547172621</v>
      </c>
      <c r="Z41" s="38">
        <f>Simulation!Y41*Simulation!Q41^2/(2*1000)</f>
        <v>4.1970230271296742</v>
      </c>
    </row>
    <row r="42" spans="1:26">
      <c r="G42" s="42">
        <v>5100</v>
      </c>
      <c r="H42" s="42">
        <v>15.59</v>
      </c>
      <c r="I42" s="38">
        <f>Simulation!H42*746/1000</f>
        <v>11.630139999999999</v>
      </c>
      <c r="J42" s="38">
        <f>60*1000*Simulation!I42/(2*PI()*Simulation!G42)</f>
        <v>21.776403174715004</v>
      </c>
      <c r="K42" s="37">
        <v>470.5</v>
      </c>
      <c r="L42" s="27">
        <f>IF(Q42&lt;='Specification &amp; Data'!I$7,1,IF(AND(Q42&gt;'Specification &amp; Data'!I$7,Q42&lt;='Specification &amp; Data'!I$8),2,IF(Q42&gt;'Specification &amp; Data'!I$8,3)))</f>
        <v>1</v>
      </c>
      <c r="M42" s="36">
        <v>1</v>
      </c>
      <c r="N42" s="33">
        <f t="shared" si="0"/>
        <v>37</v>
      </c>
      <c r="O42" s="27">
        <f>O41+(1/Simulation!Q42)</f>
        <v>17.067406766266725</v>
      </c>
      <c r="P42" s="38">
        <f>Simulation!Q42*3.6</f>
        <v>13.716529148827798</v>
      </c>
      <c r="Q42" s="38">
        <f>MIN('Specification &amp; Data'!I$9,SQRT(2*Simulation!R41+Simulation!Q41^2))</f>
        <v>3.8101469857854995</v>
      </c>
      <c r="R42" s="38">
        <f>IF(Q42=Q41,0,IF(Q42&lt;&gt;Q41,Simulation!V42/Simulation!Y42))</f>
        <v>0.19033270855120116</v>
      </c>
      <c r="S42" s="27">
        <f>'Specification &amp; Data'!B$21*'Specification &amp; Data'!B$11*'Specification &amp; Data'!B$23*(Simulation!Q42^2)/2</f>
        <v>6.824921868912166</v>
      </c>
      <c r="T42" s="27">
        <f>IF(AND(M42=1,L42=1),'Specification &amp; Data'!E$14,IF(AND(M42=1,L42=2),'Specification &amp; Data'!E$15,IF(AND(M42=1,L42=3),'Specification &amp; Data'!E$16,IF(AND(M42=2,L42=1),'Specification &amp; Data'!F$14,IF(AND(M42=2,L42=2),'Specification &amp; Data'!F$15,IF(AND(M42=2,L42=3),'Specification &amp; Data'!F$16,IF(AND(M42=3,L42=1),'Specification &amp; Data'!I$14,IF(AND(M42=3,L42=2),'Specification &amp; Data'!I$15,IF(AND(M42=3,L42=3),'Specification &amp; Data'!I$16)))))))))</f>
        <v>409.43800800000002</v>
      </c>
      <c r="U42" s="27">
        <f>IF(AND(M42=1,L42=1),'Specification &amp; Data'!E$24,IF(AND(M42=1,L42=2),'Specification &amp; Data'!E$25,IF(AND(M42=1,L42=3),'Specification &amp; Data'!E$26,IF(M42=2,0,IF(AND(M42=3,L42=1),'Specification &amp; Data'!I$24,IF(AND(M42=3,L42=2),'Specification &amp; Data'!I$25,IF(AND(M42=3,L42=3),'Specification &amp; Data'!I$26)))))))</f>
        <v>178.61733099000003</v>
      </c>
      <c r="V42" s="27">
        <f>'Specification &amp; Data'!B$46-Simulation!S42-Simulation!T42-Simulation!U42</f>
        <v>113.0211564639223</v>
      </c>
      <c r="W42" s="27">
        <f>Simulation!V42/Simulation!Y42</f>
        <v>0.19033270855120116</v>
      </c>
      <c r="X42" s="27">
        <f>60*Simulation!Q42/(2*'Specification &amp; Data'!B$15*PI())</f>
        <v>143.24497480971206</v>
      </c>
      <c r="Y42" s="27">
        <f>IF(L42=1,'Specification &amp; Data'!B$56,IF(L42=2,'Specification &amp; Data'!B$57,IF(L42=3,'Specification &amp; Data'!B$58)))</f>
        <v>593.80837547172621</v>
      </c>
      <c r="Z42" s="38">
        <f>Simulation!Y42*Simulation!Q42^2/(2*1000)</f>
        <v>4.3102234281049476</v>
      </c>
    </row>
    <row r="43" spans="1:26">
      <c r="G43" s="42">
        <v>5200</v>
      </c>
      <c r="H43" s="42">
        <v>15.92</v>
      </c>
      <c r="I43" s="38">
        <f>Simulation!H43*746/1000</f>
        <v>11.87632</v>
      </c>
      <c r="J43" s="38">
        <f>60*1000*Simulation!I43/(2*PI()*Simulation!G43)</f>
        <v>21.809711927782367</v>
      </c>
      <c r="K43" s="37">
        <v>470.5</v>
      </c>
      <c r="L43" s="27">
        <f>IF(Q43&lt;='Specification &amp; Data'!I$7,1,IF(AND(Q43&gt;'Specification &amp; Data'!I$7,Q43&lt;='Specification &amp; Data'!I$8),2,IF(Q43&gt;'Specification &amp; Data'!I$8,3)))</f>
        <v>1</v>
      </c>
      <c r="M43" s="36">
        <v>1</v>
      </c>
      <c r="N43" s="33">
        <f t="shared" si="0"/>
        <v>38</v>
      </c>
      <c r="O43" s="27">
        <f>O42+(1/Simulation!Q43)</f>
        <v>17.326489030790366</v>
      </c>
      <c r="P43" s="38">
        <f>Simulation!Q43*3.6</f>
        <v>13.895200455419483</v>
      </c>
      <c r="Q43" s="38">
        <f>MIN('Specification &amp; Data'!I$9,SQRT(2*Simulation!R42+Simulation!Q42^2))</f>
        <v>3.8597779042831895</v>
      </c>
      <c r="R43" s="38">
        <f>IF(Q43=Q42,0,IF(Q43&lt;&gt;Q42,Simulation!V43/Simulation!Y43))</f>
        <v>0.19003133070231967</v>
      </c>
      <c r="S43" s="27">
        <f>'Specification &amp; Data'!B$21*'Specification &amp; Data'!B$11*'Specification &amp; Data'!B$23*(Simulation!Q43^2)/2</f>
        <v>7.0038825597595791</v>
      </c>
      <c r="T43" s="27">
        <f>IF(AND(M43=1,L43=1),'Specification &amp; Data'!E$14,IF(AND(M43=1,L43=2),'Specification &amp; Data'!E$15,IF(AND(M43=1,L43=3),'Specification &amp; Data'!E$16,IF(AND(M43=2,L43=1),'Specification &amp; Data'!F$14,IF(AND(M43=2,L43=2),'Specification &amp; Data'!F$15,IF(AND(M43=2,L43=3),'Specification &amp; Data'!F$16,IF(AND(M43=3,L43=1),'Specification &amp; Data'!I$14,IF(AND(M43=3,L43=2),'Specification &amp; Data'!I$15,IF(AND(M43=3,L43=3),'Specification &amp; Data'!I$16)))))))))</f>
        <v>409.43800800000002</v>
      </c>
      <c r="U43" s="27">
        <f>IF(AND(M43=1,L43=1),'Specification &amp; Data'!E$24,IF(AND(M43=1,L43=2),'Specification &amp; Data'!E$25,IF(AND(M43=1,L43=3),'Specification &amp; Data'!E$26,IF(M43=2,0,IF(AND(M43=3,L43=1),'Specification &amp; Data'!I$24,IF(AND(M43=3,L43=2),'Specification &amp; Data'!I$25,IF(AND(M43=3,L43=3),'Specification &amp; Data'!I$26)))))))</f>
        <v>178.61733099000003</v>
      </c>
      <c r="V43" s="27">
        <f>'Specification &amp; Data'!B$46-Simulation!S43-Simulation!T43-Simulation!U43</f>
        <v>112.84219577307482</v>
      </c>
      <c r="W43" s="27">
        <f>Simulation!V43/Simulation!Y43</f>
        <v>0.19003133070231967</v>
      </c>
      <c r="X43" s="27">
        <f>60*Simulation!Q43/(2*'Specification &amp; Data'!B$15*PI())</f>
        <v>145.11088174099513</v>
      </c>
      <c r="Y43" s="27">
        <f>IF(L43=1,'Specification &amp; Data'!B$56,IF(L43=2,'Specification &amp; Data'!B$57,IF(L43=3,'Specification &amp; Data'!B$58)))</f>
        <v>593.80837547172621</v>
      </c>
      <c r="Z43" s="38">
        <f>Simulation!Y43*Simulation!Q43^2/(2*1000)</f>
        <v>4.4232445845688702</v>
      </c>
    </row>
    <row r="44" spans="1:26">
      <c r="G44" s="42">
        <v>5200</v>
      </c>
      <c r="H44" s="42">
        <v>15.92</v>
      </c>
      <c r="I44" s="38">
        <f>Simulation!H44*746/1000</f>
        <v>11.87632</v>
      </c>
      <c r="J44" s="38">
        <f>60*1000*Simulation!I44/(2*PI()*Simulation!G44)</f>
        <v>21.809711927782367</v>
      </c>
      <c r="K44" s="37">
        <v>470.5</v>
      </c>
      <c r="L44" s="27">
        <f>IF(Q44&lt;='Specification &amp; Data'!I$7,1,IF(AND(Q44&gt;'Specification &amp; Data'!I$7,Q44&lt;='Specification &amp; Data'!I$8),2,IF(Q44&gt;'Specification &amp; Data'!I$8,3)))</f>
        <v>1</v>
      </c>
      <c r="M44" s="36">
        <v>1</v>
      </c>
      <c r="N44" s="33">
        <f t="shared" si="0"/>
        <v>39</v>
      </c>
      <c r="O44" s="27">
        <f>O43+(1/Simulation!Q44)</f>
        <v>17.582328464059319</v>
      </c>
      <c r="P44" s="38">
        <f>Simulation!Q44*3.6</f>
        <v>14.071325729585466</v>
      </c>
      <c r="Q44" s="38">
        <f>MIN('Specification &amp; Data'!I$9,SQRT(2*Simulation!R43+Simulation!Q43^2))</f>
        <v>3.9087015915515182</v>
      </c>
      <c r="R44" s="38">
        <f>IF(Q44=Q43,0,IF(Q44&lt;&gt;Q43,Simulation!V44/Simulation!Y44))</f>
        <v>0.18973043006310195</v>
      </c>
      <c r="S44" s="27">
        <f>'Specification &amp; Data'!B$21*'Specification &amp; Data'!B$11*'Specification &amp; Data'!B$23*(Simulation!Q44^2)/2</f>
        <v>7.182559879511965</v>
      </c>
      <c r="T44" s="27">
        <f>IF(AND(M44=1,L44=1),'Specification &amp; Data'!E$14,IF(AND(M44=1,L44=2),'Specification &amp; Data'!E$15,IF(AND(M44=1,L44=3),'Specification &amp; Data'!E$16,IF(AND(M44=2,L44=1),'Specification &amp; Data'!F$14,IF(AND(M44=2,L44=2),'Specification &amp; Data'!F$15,IF(AND(M44=2,L44=3),'Specification &amp; Data'!F$16,IF(AND(M44=3,L44=1),'Specification &amp; Data'!I$14,IF(AND(M44=3,L44=2),'Specification &amp; Data'!I$15,IF(AND(M44=3,L44=3),'Specification &amp; Data'!I$16)))))))))</f>
        <v>409.43800800000002</v>
      </c>
      <c r="U44" s="27">
        <f>IF(AND(M44=1,L44=1),'Specification &amp; Data'!E$24,IF(AND(M44=1,L44=2),'Specification &amp; Data'!E$25,IF(AND(M44=1,L44=3),'Specification &amp; Data'!E$26,IF(M44=2,0,IF(AND(M44=3,L44=1),'Specification &amp; Data'!I$24,IF(AND(M44=3,L44=2),'Specification &amp; Data'!I$25,IF(AND(M44=3,L44=3),'Specification &amp; Data'!I$26)))))))</f>
        <v>178.61733099000003</v>
      </c>
      <c r="V44" s="27">
        <f>'Specification &amp; Data'!B$46-Simulation!S44-Simulation!T44-Simulation!U44</f>
        <v>112.66351845332252</v>
      </c>
      <c r="W44" s="27">
        <f>Simulation!V44/Simulation!Y44</f>
        <v>0.18973043006310195</v>
      </c>
      <c r="X44" s="27">
        <f>60*Simulation!Q44/(2*'Specification &amp; Data'!B$15*PI())</f>
        <v>146.95019985037385</v>
      </c>
      <c r="Y44" s="27">
        <f>IF(L44=1,'Specification &amp; Data'!B$56,IF(L44=2,'Specification &amp; Data'!B$57,IF(L44=3,'Specification &amp; Data'!B$58)))</f>
        <v>593.80837547172621</v>
      </c>
      <c r="Z44" s="38">
        <f>Simulation!Y44*Simulation!Q44^2/(2*1000)</f>
        <v>4.5360867803419458</v>
      </c>
    </row>
    <row r="45" spans="1:26">
      <c r="G45" s="42">
        <v>5300</v>
      </c>
      <c r="H45" s="42">
        <v>16.25</v>
      </c>
      <c r="I45" s="38">
        <f>Simulation!H45*746/1000</f>
        <v>12.1225</v>
      </c>
      <c r="J45" s="38">
        <f>60*1000*Simulation!I45/(2*PI()*Simulation!G45)</f>
        <v>21.841763746771711</v>
      </c>
      <c r="K45" s="37">
        <v>470.5</v>
      </c>
      <c r="L45" s="27">
        <f>IF(Q45&lt;='Specification &amp; Data'!I$7,1,IF(AND(Q45&gt;'Specification &amp; Data'!I$7,Q45&lt;='Specification &amp; Data'!I$8),2,IF(Q45&gt;'Specification &amp; Data'!I$8,3)))</f>
        <v>1</v>
      </c>
      <c r="M45" s="36">
        <v>1</v>
      </c>
      <c r="N45" s="33">
        <f t="shared" si="0"/>
        <v>40</v>
      </c>
      <c r="O45" s="27">
        <f>O44+(1/Simulation!Q45)</f>
        <v>17.835048719559762</v>
      </c>
      <c r="P45" s="38">
        <f>Simulation!Q45*3.6</f>
        <v>14.244999843289909</v>
      </c>
      <c r="Q45" s="38">
        <f>MIN('Specification &amp; Data'!I$9,SQRT(2*Simulation!R44+Simulation!Q44^2))</f>
        <v>3.9569444009138635</v>
      </c>
      <c r="R45" s="38">
        <f>IF(Q45=Q44,0,IF(Q45&lt;&gt;Q44,Simulation!V45/Simulation!Y45))</f>
        <v>0.18943000587792094</v>
      </c>
      <c r="S45" s="27">
        <f>'Specification &amp; Data'!B$21*'Specification &amp; Data'!B$11*'Specification &amp; Data'!B$23*(Simulation!Q45^2)/2</f>
        <v>7.3609542768666127</v>
      </c>
      <c r="T45" s="27">
        <f>IF(AND(M45=1,L45=1),'Specification &amp; Data'!E$14,IF(AND(M45=1,L45=2),'Specification &amp; Data'!E$15,IF(AND(M45=1,L45=3),'Specification &amp; Data'!E$16,IF(AND(M45=2,L45=1),'Specification &amp; Data'!F$14,IF(AND(M45=2,L45=2),'Specification &amp; Data'!F$15,IF(AND(M45=2,L45=3),'Specification &amp; Data'!F$16,IF(AND(M45=3,L45=1),'Specification &amp; Data'!I$14,IF(AND(M45=3,L45=2),'Specification &amp; Data'!I$15,IF(AND(M45=3,L45=3),'Specification &amp; Data'!I$16)))))))))</f>
        <v>409.43800800000002</v>
      </c>
      <c r="U45" s="27">
        <f>IF(AND(M45=1,L45=1),'Specification &amp; Data'!E$24,IF(AND(M45=1,L45=2),'Specification &amp; Data'!E$25,IF(AND(M45=1,L45=3),'Specification &amp; Data'!E$26,IF(M45=2,0,IF(AND(M45=3,L45=1),'Specification &amp; Data'!I$24,IF(AND(M45=3,L45=2),'Specification &amp; Data'!I$25,IF(AND(M45=3,L45=3),'Specification &amp; Data'!I$26)))))))</f>
        <v>178.61733099000003</v>
      </c>
      <c r="V45" s="27">
        <f>'Specification &amp; Data'!B$46-Simulation!S45-Simulation!T45-Simulation!U45</f>
        <v>112.48512405596779</v>
      </c>
      <c r="W45" s="27">
        <f>Simulation!V45/Simulation!Y45</f>
        <v>0.18943000587792094</v>
      </c>
      <c r="X45" s="27">
        <f>60*Simulation!Q45/(2*'Specification &amp; Data'!B$15*PI())</f>
        <v>148.76391990832437</v>
      </c>
      <c r="Y45" s="27">
        <f>IF(L45=1,'Specification &amp; Data'!B$56,IF(L45=2,'Specification &amp; Data'!B$57,IF(L45=3,'Specification &amp; Data'!B$58)))</f>
        <v>593.80837547172621</v>
      </c>
      <c r="Z45" s="38">
        <f>Simulation!Y45*Simulation!Q45^2/(2*1000)</f>
        <v>4.6487502987952682</v>
      </c>
    </row>
    <row r="46" spans="1:26">
      <c r="G46" s="42">
        <v>5300</v>
      </c>
      <c r="H46" s="42">
        <v>16.25</v>
      </c>
      <c r="I46" s="38">
        <f>Simulation!H46*746/1000</f>
        <v>12.1225</v>
      </c>
      <c r="J46" s="38">
        <f>60*1000*Simulation!I46/(2*PI()*Simulation!G46)</f>
        <v>21.841763746771711</v>
      </c>
      <c r="K46" s="37">
        <v>470.5</v>
      </c>
      <c r="L46" s="27">
        <f>IF(Q46&lt;='Specification &amp; Data'!I$7,1,IF(AND(Q46&gt;'Specification &amp; Data'!I$7,Q46&lt;='Specification &amp; Data'!I$8),2,IF(Q46&gt;'Specification &amp; Data'!I$8,3)))</f>
        <v>1</v>
      </c>
      <c r="M46" s="36">
        <v>1</v>
      </c>
      <c r="N46" s="33">
        <f t="shared" si="0"/>
        <v>41</v>
      </c>
      <c r="O46" s="27">
        <f>O45+(1/Simulation!Q46)</f>
        <v>18.084765848789072</v>
      </c>
      <c r="P46" s="38">
        <f>Simulation!Q46*3.6</f>
        <v>14.416311812932085</v>
      </c>
      <c r="Q46" s="38">
        <f>MIN('Specification &amp; Data'!I$9,SQRT(2*Simulation!R45+Simulation!Q45^2))</f>
        <v>4.0045310591478014</v>
      </c>
      <c r="R46" s="38">
        <f>IF(Q46=Q45,0,IF(Q46&lt;&gt;Q45,Simulation!V46/Simulation!Y46))</f>
        <v>0.18913005739234731</v>
      </c>
      <c r="S46" s="27">
        <f>'Specification &amp; Data'!B$21*'Specification &amp; Data'!B$11*'Specification &amp; Data'!B$23*(Simulation!Q46^2)/2</f>
        <v>7.5390661998103372</v>
      </c>
      <c r="T46" s="27">
        <f>IF(AND(M46=1,L46=1),'Specification &amp; Data'!E$14,IF(AND(M46=1,L46=2),'Specification &amp; Data'!E$15,IF(AND(M46=1,L46=3),'Specification &amp; Data'!E$16,IF(AND(M46=2,L46=1),'Specification &amp; Data'!F$14,IF(AND(M46=2,L46=2),'Specification &amp; Data'!F$15,IF(AND(M46=2,L46=3),'Specification &amp; Data'!F$16,IF(AND(M46=3,L46=1),'Specification &amp; Data'!I$14,IF(AND(M46=3,L46=2),'Specification &amp; Data'!I$15,IF(AND(M46=3,L46=3),'Specification &amp; Data'!I$16)))))))))</f>
        <v>409.43800800000002</v>
      </c>
      <c r="U46" s="27">
        <f>IF(AND(M46=1,L46=1),'Specification &amp; Data'!E$24,IF(AND(M46=1,L46=2),'Specification &amp; Data'!E$25,IF(AND(M46=1,L46=3),'Specification &amp; Data'!E$26,IF(M46=2,0,IF(AND(M46=3,L46=1),'Specification &amp; Data'!I$24,IF(AND(M46=3,L46=2),'Specification &amp; Data'!I$25,IF(AND(M46=3,L46=3),'Specification &amp; Data'!I$26)))))))</f>
        <v>178.61733099000003</v>
      </c>
      <c r="V46" s="27">
        <f>'Specification &amp; Data'!B$46-Simulation!S46-Simulation!T46-Simulation!U46</f>
        <v>112.3070121330241</v>
      </c>
      <c r="W46" s="27">
        <f>Simulation!V46/Simulation!Y46</f>
        <v>0.18913005739234731</v>
      </c>
      <c r="X46" s="27">
        <f>60*Simulation!Q46/(2*'Specification &amp; Data'!B$15*PI())</f>
        <v>150.5529715342667</v>
      </c>
      <c r="Y46" s="27">
        <f>IF(L46=1,'Specification &amp; Data'!B$56,IF(L46=2,'Specification &amp; Data'!B$57,IF(L46=3,'Specification &amp; Data'!B$58)))</f>
        <v>593.80837547172621</v>
      </c>
      <c r="Z46" s="38">
        <f>Simulation!Y46*Simulation!Q46^2/(2*1000)</f>
        <v>4.7612354228512341</v>
      </c>
    </row>
    <row r="47" spans="1:26">
      <c r="G47" s="42">
        <v>5400</v>
      </c>
      <c r="H47" s="42">
        <v>16.579999999999998</v>
      </c>
      <c r="I47" s="38">
        <f>Simulation!H47*746/1000</f>
        <v>12.368679999999998</v>
      </c>
      <c r="J47" s="38">
        <f>60*1000*Simulation!I47/(2*PI()*Simulation!G47)</f>
        <v>21.872628461354036</v>
      </c>
      <c r="K47" s="37">
        <v>470.5</v>
      </c>
      <c r="L47" s="27">
        <f>IF(Q47&lt;='Specification &amp; Data'!I$7,1,IF(AND(Q47&gt;'Specification &amp; Data'!I$7,Q47&lt;='Specification &amp; Data'!I$8),2,IF(Q47&gt;'Specification &amp; Data'!I$8,3)))</f>
        <v>1</v>
      </c>
      <c r="M47" s="36">
        <v>1</v>
      </c>
      <c r="N47" s="33">
        <f t="shared" si="0"/>
        <v>42</v>
      </c>
      <c r="O47" s="27">
        <f>O46+(1/Simulation!Q47)</f>
        <v>18.331588939170508</v>
      </c>
      <c r="P47" s="38">
        <f>Simulation!Q47*3.6</f>
        <v>14.585345295031406</v>
      </c>
      <c r="Q47" s="38">
        <f>MIN('Specification &amp; Data'!I$9,SQRT(2*Simulation!R46+Simulation!Q46^2))</f>
        <v>4.0514848041753906</v>
      </c>
      <c r="R47" s="38">
        <f>IF(Q47=Q46,0,IF(Q47&lt;&gt;Q46,Simulation!V47/Simulation!Y47))</f>
        <v>0.18883058385314533</v>
      </c>
      <c r="S47" s="27">
        <f>'Specification &amp; Data'!B$21*'Specification &amp; Data'!B$11*'Specification &amp; Data'!B$23*(Simulation!Q47^2)/2</f>
        <v>7.7168960956205988</v>
      </c>
      <c r="T47" s="27">
        <f>IF(AND(M47=1,L47=1),'Specification &amp; Data'!E$14,IF(AND(M47=1,L47=2),'Specification &amp; Data'!E$15,IF(AND(M47=1,L47=3),'Specification &amp; Data'!E$16,IF(AND(M47=2,L47=1),'Specification &amp; Data'!F$14,IF(AND(M47=2,L47=2),'Specification &amp; Data'!F$15,IF(AND(M47=2,L47=3),'Specification &amp; Data'!F$16,IF(AND(M47=3,L47=1),'Specification &amp; Data'!I$14,IF(AND(M47=3,L47=2),'Specification &amp; Data'!I$15,IF(AND(M47=3,L47=3),'Specification &amp; Data'!I$16)))))))))</f>
        <v>409.43800800000002</v>
      </c>
      <c r="U47" s="27">
        <f>IF(AND(M47=1,L47=1),'Specification &amp; Data'!E$24,IF(AND(M47=1,L47=2),'Specification &amp; Data'!E$25,IF(AND(M47=1,L47=3),'Specification &amp; Data'!E$26,IF(M47=2,0,IF(AND(M47=3,L47=1),'Specification &amp; Data'!I$24,IF(AND(M47=3,L47=2),'Specification &amp; Data'!I$25,IF(AND(M47=3,L47=3),'Specification &amp; Data'!I$26)))))))</f>
        <v>178.61733099000003</v>
      </c>
      <c r="V47" s="27">
        <f>'Specification &amp; Data'!B$46-Simulation!S47-Simulation!T47-Simulation!U47</f>
        <v>112.1291822372138</v>
      </c>
      <c r="W47" s="27">
        <f>Simulation!V47/Simulation!Y47</f>
        <v>0.18883058385314533</v>
      </c>
      <c r="X47" s="27">
        <f>60*Simulation!Q47/(2*'Specification &amp; Data'!B$15*PI())</f>
        <v>152.3182283731212</v>
      </c>
      <c r="Y47" s="27">
        <f>IF(L47=1,'Specification &amp; Data'!B$56,IF(L47=2,'Specification &amp; Data'!B$57,IF(L47=3,'Specification &amp; Data'!B$58)))</f>
        <v>593.80837547172621</v>
      </c>
      <c r="Z47" s="38">
        <f>Simulation!Y47*Simulation!Q47^2/(2*1000)</f>
        <v>4.8735424349842571</v>
      </c>
    </row>
    <row r="48" spans="1:26">
      <c r="G48" s="42">
        <v>5400</v>
      </c>
      <c r="H48" s="42">
        <v>16.579999999999998</v>
      </c>
      <c r="I48" s="38">
        <f>Simulation!H48*746/1000</f>
        <v>12.368679999999998</v>
      </c>
      <c r="J48" s="38">
        <f>60*1000*Simulation!I48/(2*PI()*Simulation!G48)</f>
        <v>21.872628461354036</v>
      </c>
      <c r="K48" s="37">
        <v>470.5</v>
      </c>
      <c r="L48" s="27">
        <f>IF(Q48&lt;='Specification &amp; Data'!I$7,1,IF(AND(Q48&gt;'Specification &amp; Data'!I$7,Q48&lt;='Specification &amp; Data'!I$8),2,IF(Q48&gt;'Specification &amp; Data'!I$8,3)))</f>
        <v>1</v>
      </c>
      <c r="M48" s="36">
        <v>1</v>
      </c>
      <c r="N48" s="33">
        <f t="shared" si="0"/>
        <v>43</v>
      </c>
      <c r="O48" s="27">
        <f>O47+(1/Simulation!Q48)</f>
        <v>18.575620684777778</v>
      </c>
      <c r="P48" s="38">
        <f>Simulation!Q48*3.6</f>
        <v>14.752179029172886</v>
      </c>
      <c r="Q48" s="38">
        <f>MIN('Specification &amp; Data'!I$9,SQRT(2*Simulation!R47+Simulation!Q47^2))</f>
        <v>4.0978275081035793</v>
      </c>
      <c r="R48" s="38">
        <f>IF(Q48=Q47,0,IF(Q48&lt;&gt;Q47,Simulation!V48/Simulation!Y48))</f>
        <v>0.18853158450827259</v>
      </c>
      <c r="S48" s="27">
        <f>'Specification &amp; Data'!B$21*'Specification &amp; Data'!B$11*'Specification &amp; Data'!B$23*(Simulation!Q48^2)/2</f>
        <v>7.8944444108666278</v>
      </c>
      <c r="T48" s="27">
        <f>IF(AND(M48=1,L48=1),'Specification &amp; Data'!E$14,IF(AND(M48=1,L48=2),'Specification &amp; Data'!E$15,IF(AND(M48=1,L48=3),'Specification &amp; Data'!E$16,IF(AND(M48=2,L48=1),'Specification &amp; Data'!F$14,IF(AND(M48=2,L48=2),'Specification &amp; Data'!F$15,IF(AND(M48=2,L48=3),'Specification &amp; Data'!F$16,IF(AND(M48=3,L48=1),'Specification &amp; Data'!I$14,IF(AND(M48=3,L48=2),'Specification &amp; Data'!I$15,IF(AND(M48=3,L48=3),'Specification &amp; Data'!I$16)))))))))</f>
        <v>409.43800800000002</v>
      </c>
      <c r="U48" s="27">
        <f>IF(AND(M48=1,L48=1),'Specification &amp; Data'!E$24,IF(AND(M48=1,L48=2),'Specification &amp; Data'!E$25,IF(AND(M48=1,L48=3),'Specification &amp; Data'!E$26,IF(M48=2,0,IF(AND(M48=3,L48=1),'Specification &amp; Data'!I$24,IF(AND(M48=3,L48=2),'Specification &amp; Data'!I$25,IF(AND(M48=3,L48=3),'Specification &amp; Data'!I$26)))))))</f>
        <v>178.61733099000003</v>
      </c>
      <c r="V48" s="27">
        <f>'Specification &amp; Data'!B$46-Simulation!S48-Simulation!T48-Simulation!U48</f>
        <v>111.95163392196781</v>
      </c>
      <c r="W48" s="27">
        <f>Simulation!V48/Simulation!Y48</f>
        <v>0.18853158450827259</v>
      </c>
      <c r="X48" s="27">
        <f>60*Simulation!Q48/(2*'Specification &amp; Data'!B$15*PI())</f>
        <v>154.06051272109335</v>
      </c>
      <c r="Y48" s="27">
        <f>IF(L48=1,'Specification &amp; Data'!B$56,IF(L48=2,'Specification &amp; Data'!B$57,IF(L48=3,'Specification &amp; Data'!B$58)))</f>
        <v>593.80837547172621</v>
      </c>
      <c r="Z48" s="38">
        <f>Simulation!Y48*Simulation!Q48^2/(2*1000)</f>
        <v>4.9856716172214712</v>
      </c>
    </row>
    <row r="49" spans="7:26">
      <c r="G49" s="42">
        <v>5500</v>
      </c>
      <c r="H49" s="42">
        <v>16.940000000000001</v>
      </c>
      <c r="I49" s="38">
        <f>Simulation!H49*746/1000</f>
        <v>12.637240000000002</v>
      </c>
      <c r="J49" s="38">
        <f>60*1000*Simulation!I49/(2*PI()*Simulation!G49)</f>
        <v>21.941227778603171</v>
      </c>
      <c r="K49" s="37">
        <v>443.8</v>
      </c>
      <c r="L49" s="27">
        <f>IF(Q49&lt;='Specification &amp; Data'!I$7,1,IF(AND(Q49&gt;'Specification &amp; Data'!I$7,Q49&lt;='Specification &amp; Data'!I$8),2,IF(Q49&gt;'Specification &amp; Data'!I$8,3)))</f>
        <v>1</v>
      </c>
      <c r="M49" s="36">
        <v>1</v>
      </c>
      <c r="N49" s="33">
        <f t="shared" si="0"/>
        <v>44</v>
      </c>
      <c r="O49" s="27">
        <f>O48+(1/Simulation!Q49)</f>
        <v>18.816957898320112</v>
      </c>
      <c r="P49" s="38">
        <f>Simulation!Q49*3.6</f>
        <v>14.916887234916766</v>
      </c>
      <c r="Q49" s="38">
        <f>MIN('Specification &amp; Data'!I$9,SQRT(2*Simulation!R48+Simulation!Q48^2))</f>
        <v>4.1435797874768792</v>
      </c>
      <c r="R49" s="38">
        <f>IF(Q49=Q48,0,IF(Q49&lt;&gt;Q48,Simulation!V49/Simulation!Y49))</f>
        <v>0.18823305860687703</v>
      </c>
      <c r="S49" s="27">
        <f>'Specification &amp; Data'!B$21*'Specification &amp; Data'!B$11*'Specification &amp; Data'!B$23*(Simulation!Q49^2)/2</f>
        <v>8.0717115914105424</v>
      </c>
      <c r="T49" s="27">
        <f>IF(AND(M49=1,L49=1),'Specification &amp; Data'!E$14,IF(AND(M49=1,L49=2),'Specification &amp; Data'!E$15,IF(AND(M49=1,L49=3),'Specification &amp; Data'!E$16,IF(AND(M49=2,L49=1),'Specification &amp; Data'!F$14,IF(AND(M49=2,L49=2),'Specification &amp; Data'!F$15,IF(AND(M49=2,L49=3),'Specification &amp; Data'!F$16,IF(AND(M49=3,L49=1),'Specification &amp; Data'!I$14,IF(AND(M49=3,L49=2),'Specification &amp; Data'!I$15,IF(AND(M49=3,L49=3),'Specification &amp; Data'!I$16)))))))))</f>
        <v>409.43800800000002</v>
      </c>
      <c r="U49" s="27">
        <f>IF(AND(M49=1,L49=1),'Specification &amp; Data'!E$24,IF(AND(M49=1,L49=2),'Specification &amp; Data'!E$25,IF(AND(M49=1,L49=3),'Specification &amp; Data'!E$26,IF(M49=2,0,IF(AND(M49=3,L49=1),'Specification &amp; Data'!I$24,IF(AND(M49=3,L49=2),'Specification &amp; Data'!I$25,IF(AND(M49=3,L49=3),'Specification &amp; Data'!I$26)))))))</f>
        <v>178.61733099000003</v>
      </c>
      <c r="V49" s="27">
        <f>'Specification &amp; Data'!B$46-Simulation!S49-Simulation!T49-Simulation!U49</f>
        <v>111.77436674142388</v>
      </c>
      <c r="W49" s="27">
        <f>Simulation!V49/Simulation!Y49</f>
        <v>0.18823305860687703</v>
      </c>
      <c r="X49" s="27">
        <f>60*Simulation!Q49/(2*'Specification &amp; Data'!B$15*PI())</f>
        <v>155.78059967069538</v>
      </c>
      <c r="Y49" s="27">
        <f>IF(L49=1,'Specification &amp; Data'!B$56,IF(L49=2,'Specification &amp; Data'!B$57,IF(L49=3,'Specification &amp; Data'!B$58)))</f>
        <v>593.80837547172621</v>
      </c>
      <c r="Z49" s="38">
        <f>Simulation!Y49*Simulation!Q49^2/(2*1000)</f>
        <v>5.0976232511434389</v>
      </c>
    </row>
    <row r="50" spans="7:26">
      <c r="G50" s="42">
        <v>5500</v>
      </c>
      <c r="H50" s="42">
        <v>16.940000000000001</v>
      </c>
      <c r="I50" s="38">
        <f>Simulation!H50*746/1000</f>
        <v>12.637240000000002</v>
      </c>
      <c r="J50" s="38">
        <f>60*1000*Simulation!I50/(2*PI()*Simulation!G50)</f>
        <v>21.941227778603171</v>
      </c>
      <c r="K50" s="37">
        <v>443.8</v>
      </c>
      <c r="L50" s="27">
        <f>IF(Q50&lt;='Specification &amp; Data'!I$7,1,IF(AND(Q50&gt;'Specification &amp; Data'!I$7,Q50&lt;='Specification &amp; Data'!I$8),2,IF(Q50&gt;'Specification &amp; Data'!I$8,3)))</f>
        <v>1</v>
      </c>
      <c r="M50" s="36">
        <v>1</v>
      </c>
      <c r="N50" s="33">
        <f t="shared" si="0"/>
        <v>45</v>
      </c>
      <c r="O50" s="27">
        <f>O49+(1/Simulation!Q50)</f>
        <v>19.055691971610546</v>
      </c>
      <c r="P50" s="38">
        <f>Simulation!Q50*3.6</f>
        <v>15.079539968391376</v>
      </c>
      <c r="Q50" s="38">
        <f>MIN('Specification &amp; Data'!I$9,SQRT(2*Simulation!R49+Simulation!Q49^2))</f>
        <v>4.1887611023309379</v>
      </c>
      <c r="R50" s="38">
        <f>IF(Q50=Q49,0,IF(Q50&lt;&gt;Q49,Simulation!V50/Simulation!Y50))</f>
        <v>0.18793500539929581</v>
      </c>
      <c r="S50" s="27">
        <f>'Specification &amp; Data'!B$21*'Specification &amp; Data'!B$11*'Specification &amp; Data'!B$23*(Simulation!Q50^2)/2</f>
        <v>8.2486980824084704</v>
      </c>
      <c r="T50" s="27">
        <f>IF(AND(M50=1,L50=1),'Specification &amp; Data'!E$14,IF(AND(M50=1,L50=2),'Specification &amp; Data'!E$15,IF(AND(M50=1,L50=3),'Specification &amp; Data'!E$16,IF(AND(M50=2,L50=1),'Specification &amp; Data'!F$14,IF(AND(M50=2,L50=2),'Specification &amp; Data'!F$15,IF(AND(M50=2,L50=3),'Specification &amp; Data'!F$16,IF(AND(M50=3,L50=1),'Specification &amp; Data'!I$14,IF(AND(M50=3,L50=2),'Specification &amp; Data'!I$15,IF(AND(M50=3,L50=3),'Specification &amp; Data'!I$16)))))))))</f>
        <v>409.43800800000002</v>
      </c>
      <c r="U50" s="27">
        <f>IF(AND(M50=1,L50=1),'Specification &amp; Data'!E$24,IF(AND(M50=1,L50=2),'Specification &amp; Data'!E$25,IF(AND(M50=1,L50=3),'Specification &amp; Data'!E$26,IF(M50=2,0,IF(AND(M50=3,L50=1),'Specification &amp; Data'!I$24,IF(AND(M50=3,L50=2),'Specification &amp; Data'!I$25,IF(AND(M50=3,L50=3),'Specification &amp; Data'!I$26)))))))</f>
        <v>178.61733099000003</v>
      </c>
      <c r="V50" s="27">
        <f>'Specification &amp; Data'!B$46-Simulation!S50-Simulation!T50-Simulation!U50</f>
        <v>111.59738025042594</v>
      </c>
      <c r="W50" s="27">
        <f>Simulation!V50/Simulation!Y50</f>
        <v>0.18793500539929581</v>
      </c>
      <c r="X50" s="27">
        <f>60*Simulation!Q50/(2*'Specification &amp; Data'!B$15*PI())</f>
        <v>157.47922083473037</v>
      </c>
      <c r="Y50" s="27">
        <f>IF(L50=1,'Specification &amp; Data'!B$56,IF(L50=2,'Specification &amp; Data'!B$57,IF(L50=3,'Specification &amp; Data'!B$58)))</f>
        <v>593.80837547172621</v>
      </c>
      <c r="Z50" s="38">
        <f>Simulation!Y50*Simulation!Q50^2/(2*1000)</f>
        <v>5.2093976178848642</v>
      </c>
    </row>
    <row r="51" spans="7:26">
      <c r="G51" s="42">
        <v>5600</v>
      </c>
      <c r="H51" s="42">
        <v>17.05</v>
      </c>
      <c r="I51" s="38">
        <f>Simulation!H51*746/1000</f>
        <v>12.7193</v>
      </c>
      <c r="J51" s="38">
        <f>60*1000*Simulation!I51/(2*PI()*Simulation!G51)</f>
        <v>21.689351439307977</v>
      </c>
      <c r="K51" s="37">
        <v>443.8</v>
      </c>
      <c r="L51" s="27">
        <f>IF(Q51&lt;='Specification &amp; Data'!I$7,1,IF(AND(Q51&gt;'Specification &amp; Data'!I$7,Q51&lt;='Specification &amp; Data'!I$8),2,IF(Q51&gt;'Specification &amp; Data'!I$8,3)))</f>
        <v>1</v>
      </c>
      <c r="M51" s="36">
        <v>1</v>
      </c>
      <c r="N51" s="33">
        <f t="shared" si="0"/>
        <v>46</v>
      </c>
      <c r="O51" s="27">
        <f>O50+(1/Simulation!Q51)</f>
        <v>19.291909290713541</v>
      </c>
      <c r="P51" s="38">
        <f>Simulation!Q51*3.6</f>
        <v>15.24020344346698</v>
      </c>
      <c r="Q51" s="38">
        <f>MIN('Specification &amp; Data'!I$9,SQRT(2*Simulation!R50+Simulation!Q50^2))</f>
        <v>4.2333898454074941</v>
      </c>
      <c r="R51" s="38">
        <f>IF(Q51=Q50,0,IF(Q51&lt;&gt;Q50,Simulation!V51/Simulation!Y51))</f>
        <v>0.1876374241370532</v>
      </c>
      <c r="S51" s="27">
        <f>'Specification &amp; Data'!B$21*'Specification &amp; Data'!B$11*'Specification &amp; Data'!B$23*(Simulation!Q51^2)/2</f>
        <v>8.425404328311668</v>
      </c>
      <c r="T51" s="27">
        <f>IF(AND(M51=1,L51=1),'Specification &amp; Data'!E$14,IF(AND(M51=1,L51=2),'Specification &amp; Data'!E$15,IF(AND(M51=1,L51=3),'Specification &amp; Data'!E$16,IF(AND(M51=2,L51=1),'Specification &amp; Data'!F$14,IF(AND(M51=2,L51=2),'Specification &amp; Data'!F$15,IF(AND(M51=2,L51=3),'Specification &amp; Data'!F$16,IF(AND(M51=3,L51=1),'Specification &amp; Data'!I$14,IF(AND(M51=3,L51=2),'Specification &amp; Data'!I$15,IF(AND(M51=3,L51=3),'Specification &amp; Data'!I$16)))))))))</f>
        <v>409.43800800000002</v>
      </c>
      <c r="U51" s="27">
        <f>IF(AND(M51=1,L51=1),'Specification &amp; Data'!E$24,IF(AND(M51=1,L51=2),'Specification &amp; Data'!E$25,IF(AND(M51=1,L51=3),'Specification &amp; Data'!E$26,IF(M51=2,0,IF(AND(M51=3,L51=1),'Specification &amp; Data'!I$24,IF(AND(M51=3,L51=2),'Specification &amp; Data'!I$25,IF(AND(M51=3,L51=3),'Specification &amp; Data'!I$26)))))))</f>
        <v>178.61733099000003</v>
      </c>
      <c r="V51" s="27">
        <f>'Specification &amp; Data'!B$46-Simulation!S51-Simulation!T51-Simulation!U51</f>
        <v>111.42067400452282</v>
      </c>
      <c r="W51" s="27">
        <f>Simulation!V51/Simulation!Y51</f>
        <v>0.1876374241370532</v>
      </c>
      <c r="X51" s="27">
        <f>60*Simulation!Q51/(2*'Specification &amp; Data'!B$15*PI())</f>
        <v>159.15706770038676</v>
      </c>
      <c r="Y51" s="27">
        <f>IF(L51=1,'Specification &amp; Data'!B$56,IF(L51=2,'Specification &amp; Data'!B$57,IF(L51=3,'Specification &amp; Data'!B$58)))</f>
        <v>593.80837547172621</v>
      </c>
      <c r="Z51" s="38">
        <f>Simulation!Y51*Simulation!Q51^2/(2*1000)</f>
        <v>5.3209949981352889</v>
      </c>
    </row>
    <row r="52" spans="7:26">
      <c r="G52" s="42">
        <v>5700</v>
      </c>
      <c r="H52" s="42">
        <v>17.11</v>
      </c>
      <c r="I52" s="38">
        <f>Simulation!H52*746/1000</f>
        <v>12.764059999999999</v>
      </c>
      <c r="J52" s="38">
        <f>60*1000*Simulation!I52/(2*PI()*Simulation!G52)</f>
        <v>21.383823609700396</v>
      </c>
      <c r="K52" s="37">
        <v>443.8</v>
      </c>
      <c r="L52" s="27">
        <f>IF(Q52&lt;='Specification &amp; Data'!I$7,1,IF(AND(Q52&gt;'Specification &amp; Data'!I$7,Q52&lt;='Specification &amp; Data'!I$8),2,IF(Q52&gt;'Specification &amp; Data'!I$8,3)))</f>
        <v>1</v>
      </c>
      <c r="M52" s="36">
        <v>1</v>
      </c>
      <c r="N52" s="33">
        <f t="shared" si="0"/>
        <v>47</v>
      </c>
      <c r="O52" s="27">
        <f>O51+(1/Simulation!Q52)</f>
        <v>19.525691611106215</v>
      </c>
      <c r="P52" s="38">
        <f>Simulation!Q52*3.6</f>
        <v>15.398940321720037</v>
      </c>
      <c r="Q52" s="38">
        <f>MIN('Specification &amp; Data'!I$9,SQRT(2*Simulation!R51+Simulation!Q51^2))</f>
        <v>4.2774834227000103</v>
      </c>
      <c r="R52" s="38">
        <f>IF(Q52=Q51,0,IF(Q52&lt;&gt;Q51,Simulation!V52/Simulation!Y52))</f>
        <v>0.18734031407285809</v>
      </c>
      <c r="S52" s="27">
        <f>'Specification &amp; Data'!B$21*'Specification &amp; Data'!B$11*'Specification &amp; Data'!B$23*(Simulation!Q52^2)/2</f>
        <v>8.6018307728676398</v>
      </c>
      <c r="T52" s="27">
        <f>IF(AND(M52=1,L52=1),'Specification &amp; Data'!E$14,IF(AND(M52=1,L52=2),'Specification &amp; Data'!E$15,IF(AND(M52=1,L52=3),'Specification &amp; Data'!E$16,IF(AND(M52=2,L52=1),'Specification &amp; Data'!F$14,IF(AND(M52=2,L52=2),'Specification &amp; Data'!F$15,IF(AND(M52=2,L52=3),'Specification &amp; Data'!F$16,IF(AND(M52=3,L52=1),'Specification &amp; Data'!I$14,IF(AND(M52=3,L52=2),'Specification &amp; Data'!I$15,IF(AND(M52=3,L52=3),'Specification &amp; Data'!I$16)))))))))</f>
        <v>409.43800800000002</v>
      </c>
      <c r="U52" s="27">
        <f>IF(AND(M52=1,L52=1),'Specification &amp; Data'!E$24,IF(AND(M52=1,L52=2),'Specification &amp; Data'!E$25,IF(AND(M52=1,L52=3),'Specification &amp; Data'!E$26,IF(M52=2,0,IF(AND(M52=3,L52=1),'Specification &amp; Data'!I$24,IF(AND(M52=3,L52=2),'Specification &amp; Data'!I$25,IF(AND(M52=3,L52=3),'Specification &amp; Data'!I$26)))))))</f>
        <v>178.61733099000003</v>
      </c>
      <c r="V52" s="27">
        <f>'Specification &amp; Data'!B$46-Simulation!S52-Simulation!T52-Simulation!U52</f>
        <v>111.24424755996682</v>
      </c>
      <c r="W52" s="27">
        <f>Simulation!V52/Simulation!Y52</f>
        <v>0.18734031407285809</v>
      </c>
      <c r="X52" s="27">
        <f>60*Simulation!Q52/(2*'Specification &amp; Data'!B$15*PI())</f>
        <v>160.81479465740452</v>
      </c>
      <c r="Y52" s="27">
        <f>IF(L52=1,'Specification &amp; Data'!B$56,IF(L52=2,'Specification &amp; Data'!B$57,IF(L52=3,'Specification &amp; Data'!B$58)))</f>
        <v>593.80837547172621</v>
      </c>
      <c r="Z52" s="38">
        <f>Simulation!Y52*Simulation!Q52^2/(2*1000)</f>
        <v>5.4324156721398129</v>
      </c>
    </row>
    <row r="53" spans="7:26">
      <c r="G53" s="42">
        <v>5700</v>
      </c>
      <c r="H53" s="42">
        <v>17.11</v>
      </c>
      <c r="I53" s="38">
        <f>Simulation!H53*746/1000</f>
        <v>12.764059999999999</v>
      </c>
      <c r="J53" s="38">
        <f>60*1000*Simulation!I53/(2*PI()*Simulation!G53)</f>
        <v>21.383823609700396</v>
      </c>
      <c r="K53" s="37">
        <v>443.8</v>
      </c>
      <c r="L53" s="27">
        <f>IF(Q53&lt;='Specification &amp; Data'!I$7,1,IF(AND(Q53&gt;'Specification &amp; Data'!I$7,Q53&lt;='Specification &amp; Data'!I$8),2,IF(Q53&gt;'Specification &amp; Data'!I$8,3)))</f>
        <v>1</v>
      </c>
      <c r="M53" s="36">
        <v>1</v>
      </c>
      <c r="N53" s="33">
        <f t="shared" si="0"/>
        <v>48</v>
      </c>
      <c r="O53" s="27">
        <f>O52+(1/Simulation!Q53)</f>
        <v>19.757116397461129</v>
      </c>
      <c r="P53" s="38">
        <f>Simulation!Q53*3.6</f>
        <v>15.55580997481853</v>
      </c>
      <c r="Q53" s="38">
        <f>MIN('Specification &amp; Data'!I$9,SQRT(2*Simulation!R52+Simulation!Q52^2))</f>
        <v>4.3210583263384805</v>
      </c>
      <c r="R53" s="38">
        <f>IF(Q53=Q52,0,IF(Q53&lt;&gt;Q52,Simulation!V53/Simulation!Y53))</f>
        <v>0.18704367446060316</v>
      </c>
      <c r="S53" s="27">
        <f>'Specification &amp; Data'!B$21*'Specification &amp; Data'!B$11*'Specification &amp; Data'!B$23*(Simulation!Q53^2)/2</f>
        <v>8.7779778591212416</v>
      </c>
      <c r="T53" s="27">
        <f>IF(AND(M53=1,L53=1),'Specification &amp; Data'!E$14,IF(AND(M53=1,L53=2),'Specification &amp; Data'!E$15,IF(AND(M53=1,L53=3),'Specification &amp; Data'!E$16,IF(AND(M53=2,L53=1),'Specification &amp; Data'!F$14,IF(AND(M53=2,L53=2),'Specification &amp; Data'!F$15,IF(AND(M53=2,L53=3),'Specification &amp; Data'!F$16,IF(AND(M53=3,L53=1),'Specification &amp; Data'!I$14,IF(AND(M53=3,L53=2),'Specification &amp; Data'!I$15,IF(AND(M53=3,L53=3),'Specification &amp; Data'!I$16)))))))))</f>
        <v>409.43800800000002</v>
      </c>
      <c r="U53" s="27">
        <f>IF(AND(M53=1,L53=1),'Specification &amp; Data'!E$24,IF(AND(M53=1,L53=2),'Specification &amp; Data'!E$25,IF(AND(M53=1,L53=3),'Specification &amp; Data'!E$26,IF(M53=2,0,IF(AND(M53=3,L53=1),'Specification &amp; Data'!I$24,IF(AND(M53=3,L53=2),'Specification &amp; Data'!I$25,IF(AND(M53=3,L53=3),'Specification &amp; Data'!I$26)))))))</f>
        <v>178.61733099000003</v>
      </c>
      <c r="V53" s="27">
        <f>'Specification &amp; Data'!B$46-Simulation!S53-Simulation!T53-Simulation!U53</f>
        <v>111.06810047371317</v>
      </c>
      <c r="W53" s="27">
        <f>Simulation!V53/Simulation!Y53</f>
        <v>0.18704367446060316</v>
      </c>
      <c r="X53" s="27">
        <f>60*Simulation!Q53/(2*'Specification &amp; Data'!B$15*PI())</f>
        <v>162.45302173822708</v>
      </c>
      <c r="Y53" s="27">
        <f>IF(L53=1,'Specification &amp; Data'!B$56,IF(L53=2,'Specification &amp; Data'!B$57,IF(L53=3,'Specification &amp; Data'!B$58)))</f>
        <v>593.80837547172621</v>
      </c>
      <c r="Z53" s="38">
        <f>Simulation!Y53*Simulation!Q53^2/(2*1000)</f>
        <v>5.5436599196997793</v>
      </c>
    </row>
    <row r="54" spans="7:26">
      <c r="G54" s="42">
        <v>5800</v>
      </c>
      <c r="H54" s="42">
        <v>17.18</v>
      </c>
      <c r="I54" s="38">
        <f>Simulation!H54*746/1000</f>
        <v>12.816280000000001</v>
      </c>
      <c r="J54" s="38">
        <f>60*1000*Simulation!I54/(2*PI()*Simulation!G54)</f>
        <v>21.101113593618585</v>
      </c>
      <c r="K54" s="37">
        <v>443.8</v>
      </c>
      <c r="L54" s="27">
        <f>IF(Q54&lt;='Specification &amp; Data'!I$7,1,IF(AND(Q54&gt;'Specification &amp; Data'!I$7,Q54&lt;='Specification &amp; Data'!I$8),2,IF(Q54&gt;'Specification &amp; Data'!I$8,3)))</f>
        <v>1</v>
      </c>
      <c r="M54" s="36">
        <v>1</v>
      </c>
      <c r="N54" s="33">
        <f t="shared" si="0"/>
        <v>49</v>
      </c>
      <c r="O54" s="27">
        <f>O53+(1/Simulation!Q54)</f>
        <v>19.986257132043885</v>
      </c>
      <c r="P54" s="38">
        <f>Simulation!Q54*3.6</f>
        <v>15.710868722469884</v>
      </c>
      <c r="Q54" s="38">
        <f>MIN('Specification &amp; Data'!I$9,SQRT(2*Simulation!R53+Simulation!Q53^2))</f>
        <v>4.3641302006860787</v>
      </c>
      <c r="R54" s="38">
        <f>IF(Q54=Q53,0,IF(Q54&lt;&gt;Q53,Simulation!V54/Simulation!Y54))</f>
        <v>0.18674750455536263</v>
      </c>
      <c r="S54" s="27">
        <f>'Specification &amp; Data'!B$21*'Specification &amp; Data'!B$11*'Specification &amp; Data'!B$23*(Simulation!Q54^2)/2</f>
        <v>8.9538460294158035</v>
      </c>
      <c r="T54" s="27">
        <f>IF(AND(M54=1,L54=1),'Specification &amp; Data'!E$14,IF(AND(M54=1,L54=2),'Specification &amp; Data'!E$15,IF(AND(M54=1,L54=3),'Specification &amp; Data'!E$16,IF(AND(M54=2,L54=1),'Specification &amp; Data'!F$14,IF(AND(M54=2,L54=2),'Specification &amp; Data'!F$15,IF(AND(M54=2,L54=3),'Specification &amp; Data'!F$16,IF(AND(M54=3,L54=1),'Specification &amp; Data'!I$14,IF(AND(M54=3,L54=2),'Specification &amp; Data'!I$15,IF(AND(M54=3,L54=3),'Specification &amp; Data'!I$16)))))))))</f>
        <v>409.43800800000002</v>
      </c>
      <c r="U54" s="27">
        <f>IF(AND(M54=1,L54=1),'Specification &amp; Data'!E$24,IF(AND(M54=1,L54=2),'Specification &amp; Data'!E$25,IF(AND(M54=1,L54=3),'Specification &amp; Data'!E$26,IF(M54=2,0,IF(AND(M54=3,L54=1),'Specification &amp; Data'!I$24,IF(AND(M54=3,L54=2),'Specification &amp; Data'!I$25,IF(AND(M54=3,L54=3),'Specification &amp; Data'!I$26)))))))</f>
        <v>178.61733099000003</v>
      </c>
      <c r="V54" s="27">
        <f>'Specification &amp; Data'!B$46-Simulation!S54-Simulation!T54-Simulation!U54</f>
        <v>110.89223230341867</v>
      </c>
      <c r="W54" s="27">
        <f>Simulation!V54/Simulation!Y54</f>
        <v>0.18674750455536263</v>
      </c>
      <c r="X54" s="27">
        <f>60*Simulation!Q54/(2*'Specification &amp; Data'!B$15*PI())</f>
        <v>164.07233710294835</v>
      </c>
      <c r="Y54" s="27">
        <f>IF(L54=1,'Specification &amp; Data'!B$56,IF(L54=2,'Specification &amp; Data'!B$57,IF(L54=3,'Specification &amp; Data'!B$58)))</f>
        <v>593.80837547172621</v>
      </c>
      <c r="Z54" s="38">
        <f>Simulation!Y54*Simulation!Q54^2/(2*1000)</f>
        <v>5.6547280201734917</v>
      </c>
    </row>
    <row r="55" spans="7:26">
      <c r="G55" s="42">
        <v>5800</v>
      </c>
      <c r="H55" s="42">
        <v>17.18</v>
      </c>
      <c r="I55" s="38">
        <f>Simulation!H55*746/1000</f>
        <v>12.816280000000001</v>
      </c>
      <c r="J55" s="38">
        <f>60*1000*Simulation!I55/(2*PI()*Simulation!G55)</f>
        <v>21.101113593618585</v>
      </c>
      <c r="K55" s="37">
        <v>443.8</v>
      </c>
      <c r="L55" s="27">
        <f>IF(Q55&lt;='Specification &amp; Data'!I$7,1,IF(AND(Q55&gt;'Specification &amp; Data'!I$7,Q55&lt;='Specification &amp; Data'!I$8),2,IF(Q55&gt;'Specification &amp; Data'!I$8,3)))</f>
        <v>1</v>
      </c>
      <c r="M55" s="36">
        <v>1</v>
      </c>
      <c r="N55" s="33">
        <f t="shared" si="0"/>
        <v>50</v>
      </c>
      <c r="O55" s="27">
        <f>O54+(1/Simulation!Q55)</f>
        <v>20.213183595196895</v>
      </c>
      <c r="P55" s="38">
        <f>Simulation!Q55*3.6</f>
        <v>15.864170048658629</v>
      </c>
      <c r="Q55" s="38">
        <f>MIN('Specification &amp; Data'!I$9,SQRT(2*Simulation!R54+Simulation!Q54^2))</f>
        <v>4.4067139024051745</v>
      </c>
      <c r="R55" s="38">
        <f>IF(Q55=Q54,0,IF(Q55&lt;&gt;Q54,Simulation!V55/Simulation!Y55))</f>
        <v>0.18645180361338956</v>
      </c>
      <c r="S55" s="27">
        <f>'Specification &amp; Data'!B$21*'Specification &amp; Data'!B$11*'Specification &amp; Data'!B$23*(Simulation!Q55^2)/2</f>
        <v>9.1294357253942433</v>
      </c>
      <c r="T55" s="27">
        <f>IF(AND(M55=1,L55=1),'Specification &amp; Data'!E$14,IF(AND(M55=1,L55=2),'Specification &amp; Data'!E$15,IF(AND(M55=1,L55=3),'Specification &amp; Data'!E$16,IF(AND(M55=2,L55=1),'Specification &amp; Data'!F$14,IF(AND(M55=2,L55=2),'Specification &amp; Data'!F$15,IF(AND(M55=2,L55=3),'Specification &amp; Data'!F$16,IF(AND(M55=3,L55=1),'Specification &amp; Data'!I$14,IF(AND(M55=3,L55=2),'Specification &amp; Data'!I$15,IF(AND(M55=3,L55=3),'Specification &amp; Data'!I$16)))))))))</f>
        <v>409.43800800000002</v>
      </c>
      <c r="U55" s="27">
        <f>IF(AND(M55=1,L55=1),'Specification &amp; Data'!E$24,IF(AND(M55=1,L55=2),'Specification &amp; Data'!E$25,IF(AND(M55=1,L55=3),'Specification &amp; Data'!E$26,IF(M55=2,0,IF(AND(M55=3,L55=1),'Specification &amp; Data'!I$24,IF(AND(M55=3,L55=2),'Specification &amp; Data'!I$25,IF(AND(M55=3,L55=3),'Specification &amp; Data'!I$26)))))))</f>
        <v>178.61733099000003</v>
      </c>
      <c r="V55" s="27">
        <f>'Specification &amp; Data'!B$46-Simulation!S55-Simulation!T55-Simulation!U55</f>
        <v>110.71664260744018</v>
      </c>
      <c r="W55" s="27">
        <f>Simulation!V55/Simulation!Y55</f>
        <v>0.18645180361338956</v>
      </c>
      <c r="X55" s="27">
        <f>60*Simulation!Q55/(2*'Specification &amp; Data'!B$15*PI())</f>
        <v>165.67329929753376</v>
      </c>
      <c r="Y55" s="27">
        <f>IF(L55=1,'Specification &amp; Data'!B$56,IF(L55=2,'Specification &amp; Data'!B$57,IF(L55=3,'Specification &amp; Data'!B$58)))</f>
        <v>593.80837547172621</v>
      </c>
      <c r="Z55" s="38">
        <f>Simulation!Y55*Simulation!Q55^2/(2*1000)</f>
        <v>5.7656202524769116</v>
      </c>
    </row>
    <row r="56" spans="7:26">
      <c r="G56" s="42">
        <v>5900</v>
      </c>
      <c r="H56" s="42">
        <v>17.239999999999998</v>
      </c>
      <c r="I56" s="38">
        <f>Simulation!H56*746/1000</f>
        <v>12.861039999999999</v>
      </c>
      <c r="J56" s="38">
        <f>60*1000*Simulation!I56/(2*PI()*Simulation!G56)</f>
        <v>20.815912772568705</v>
      </c>
      <c r="K56" s="37">
        <v>477</v>
      </c>
      <c r="L56" s="27">
        <f>IF(Q56&lt;='Specification &amp; Data'!I$7,1,IF(AND(Q56&gt;'Specification &amp; Data'!I$7,Q56&lt;='Specification &amp; Data'!I$8),2,IF(Q56&gt;'Specification &amp; Data'!I$8,3)))</f>
        <v>1</v>
      </c>
      <c r="M56" s="36">
        <v>1</v>
      </c>
      <c r="N56" s="33">
        <f t="shared" si="0"/>
        <v>51</v>
      </c>
      <c r="O56" s="27">
        <f>O55+(1/Simulation!Q56)</f>
        <v>20.437962120935879</v>
      </c>
      <c r="P56" s="38">
        <f>Simulation!Q56*3.6</f>
        <v>16.015764798548226</v>
      </c>
      <c r="Q56" s="38">
        <f>MIN('Specification &amp; Data'!I$9,SQRT(2*Simulation!R55+Simulation!Q55^2))</f>
        <v>4.448823555152285</v>
      </c>
      <c r="R56" s="38">
        <f>IF(Q56=Q55,0,IF(Q56&lt;&gt;Q55,Simulation!V56/Simulation!Y56))</f>
        <v>0.18615657089211549</v>
      </c>
      <c r="S56" s="27">
        <f>'Specification &amp; Data'!B$21*'Specification &amp; Data'!B$11*'Specification &amp; Data'!B$23*(Simulation!Q56^2)/2</f>
        <v>9.3047473880001572</v>
      </c>
      <c r="T56" s="27">
        <f>IF(AND(M56=1,L56=1),'Specification &amp; Data'!E$14,IF(AND(M56=1,L56=2),'Specification &amp; Data'!E$15,IF(AND(M56=1,L56=3),'Specification &amp; Data'!E$16,IF(AND(M56=2,L56=1),'Specification &amp; Data'!F$14,IF(AND(M56=2,L56=2),'Specification &amp; Data'!F$15,IF(AND(M56=2,L56=3),'Specification &amp; Data'!F$16,IF(AND(M56=3,L56=1),'Specification &amp; Data'!I$14,IF(AND(M56=3,L56=2),'Specification &amp; Data'!I$15,IF(AND(M56=3,L56=3),'Specification &amp; Data'!I$16)))))))))</f>
        <v>409.43800800000002</v>
      </c>
      <c r="U56" s="27">
        <f>IF(AND(M56=1,L56=1),'Specification &amp; Data'!E$24,IF(AND(M56=1,L56=2),'Specification &amp; Data'!E$25,IF(AND(M56=1,L56=3),'Specification &amp; Data'!E$26,IF(M56=2,0,IF(AND(M56=3,L56=1),'Specification &amp; Data'!I$24,IF(AND(M56=3,L56=2),'Specification &amp; Data'!I$25,IF(AND(M56=3,L56=3),'Specification &amp; Data'!I$26)))))))</f>
        <v>178.61733099000003</v>
      </c>
      <c r="V56" s="27">
        <f>'Specification &amp; Data'!B$46-Simulation!S56-Simulation!T56-Simulation!U56</f>
        <v>110.54133094483433</v>
      </c>
      <c r="W56" s="27">
        <f>Simulation!V56/Simulation!Y56</f>
        <v>0.18615657089211549</v>
      </c>
      <c r="X56" s="27">
        <f>60*Simulation!Q56/(2*'Specification &amp; Data'!B$15*PI())</f>
        <v>167.25643931011308</v>
      </c>
      <c r="Y56" s="27">
        <f>IF(L56=1,'Specification &amp; Data'!B$56,IF(L56=2,'Specification &amp; Data'!B$57,IF(L56=3,'Specification &amp; Data'!B$58)))</f>
        <v>593.80837547172621</v>
      </c>
      <c r="Z56" s="38">
        <f>Simulation!Y56*Simulation!Q56^2/(2*1000)</f>
        <v>5.87633689508435</v>
      </c>
    </row>
    <row r="57" spans="7:26">
      <c r="G57" s="42">
        <v>5900</v>
      </c>
      <c r="H57" s="42">
        <v>17.239999999999998</v>
      </c>
      <c r="I57" s="38">
        <f>Simulation!H57*746/1000</f>
        <v>12.861039999999999</v>
      </c>
      <c r="J57" s="38">
        <f>60*1000*Simulation!I57/(2*PI()*Simulation!G57)</f>
        <v>20.815912772568705</v>
      </c>
      <c r="K57" s="37">
        <v>477</v>
      </c>
      <c r="L57" s="27">
        <f>IF(Q57&lt;='Specification &amp; Data'!I$7,1,IF(AND(Q57&gt;'Specification &amp; Data'!I$7,Q57&lt;='Specification &amp; Data'!I$8),2,IF(Q57&gt;'Specification &amp; Data'!I$8,3)))</f>
        <v>1</v>
      </c>
      <c r="M57" s="36">
        <v>1</v>
      </c>
      <c r="N57" s="33">
        <f t="shared" si="0"/>
        <v>52</v>
      </c>
      <c r="O57" s="27">
        <f>O56+(1/Simulation!Q57)</f>
        <v>20.660655830305416</v>
      </c>
      <c r="P57" s="38">
        <f>Simulation!Q57*3.6</f>
        <v>16.165701358120536</v>
      </c>
      <c r="Q57" s="38">
        <f>MIN('Specification &amp; Data'!I$9,SQRT(2*Simulation!R56+Simulation!Q56^2))</f>
        <v>4.4904725994779264</v>
      </c>
      <c r="R57" s="38">
        <f>IF(Q57=Q56,0,IF(Q57&lt;&gt;Q56,Simulation!V57/Simulation!Y57))</f>
        <v>0.18586180565014709</v>
      </c>
      <c r="S57" s="27">
        <f>'Specification &amp; Data'!B$21*'Specification &amp; Data'!B$11*'Specification &amp; Data'!B$23*(Simulation!Q57^2)/2</f>
        <v>9.4797814574789534</v>
      </c>
      <c r="T57" s="27">
        <f>IF(AND(M57=1,L57=1),'Specification &amp; Data'!E$14,IF(AND(M57=1,L57=2),'Specification &amp; Data'!E$15,IF(AND(M57=1,L57=3),'Specification &amp; Data'!E$16,IF(AND(M57=2,L57=1),'Specification &amp; Data'!F$14,IF(AND(M57=2,L57=2),'Specification &amp; Data'!F$15,IF(AND(M57=2,L57=3),'Specification &amp; Data'!F$16,IF(AND(M57=3,L57=1),'Specification &amp; Data'!I$14,IF(AND(M57=3,L57=2),'Specification &amp; Data'!I$15,IF(AND(M57=3,L57=3),'Specification &amp; Data'!I$16)))))))))</f>
        <v>409.43800800000002</v>
      </c>
      <c r="U57" s="27">
        <f>IF(AND(M57=1,L57=1),'Specification &amp; Data'!E$24,IF(AND(M57=1,L57=2),'Specification &amp; Data'!E$25,IF(AND(M57=1,L57=3),'Specification &amp; Data'!E$26,IF(M57=2,0,IF(AND(M57=3,L57=1),'Specification &amp; Data'!I$24,IF(AND(M57=3,L57=2),'Specification &amp; Data'!I$25,IF(AND(M57=3,L57=3),'Specification &amp; Data'!I$26)))))))</f>
        <v>178.61733099000003</v>
      </c>
      <c r="V57" s="27">
        <f>'Specification &amp; Data'!B$46-Simulation!S57-Simulation!T57-Simulation!U57</f>
        <v>110.36629687535554</v>
      </c>
      <c r="W57" s="27">
        <f>Simulation!V57/Simulation!Y57</f>
        <v>0.18586180565014709</v>
      </c>
      <c r="X57" s="27">
        <f>60*Simulation!Q57/(2*'Specification &amp; Data'!B$15*PI())</f>
        <v>168.82226244699797</v>
      </c>
      <c r="Y57" s="27">
        <f>IF(L57=1,'Specification &amp; Data'!B$56,IF(L57=2,'Specification &amp; Data'!B$57,IF(L57=3,'Specification &amp; Data'!B$58)))</f>
        <v>593.80837547172621</v>
      </c>
      <c r="Z57" s="38">
        <f>Simulation!Y57*Simulation!Q57^2/(2*1000)</f>
        <v>5.9868782260291846</v>
      </c>
    </row>
    <row r="58" spans="7:26">
      <c r="G58" s="42">
        <v>6000</v>
      </c>
      <c r="H58" s="42">
        <v>17.32</v>
      </c>
      <c r="I58" s="38">
        <f>Simulation!H58*746/1000</f>
        <v>12.920719999999999</v>
      </c>
      <c r="J58" s="38">
        <f>60*1000*Simulation!I58/(2*PI()*Simulation!G58)</f>
        <v>20.563964563063138</v>
      </c>
      <c r="K58" s="37">
        <v>469.1</v>
      </c>
      <c r="L58" s="27">
        <f>IF(Q58&lt;='Specification &amp; Data'!I$7,1,IF(AND(Q58&gt;'Specification &amp; Data'!I$7,Q58&lt;='Specification &amp; Data'!I$8),2,IF(Q58&gt;'Specification &amp; Data'!I$8,3)))</f>
        <v>1</v>
      </c>
      <c r="M58" s="36">
        <v>1</v>
      </c>
      <c r="N58" s="33">
        <f t="shared" si="0"/>
        <v>53</v>
      </c>
      <c r="O58" s="27">
        <f>O57+(1/Simulation!Q58)</f>
        <v>20.881324844813573</v>
      </c>
      <c r="P58" s="38">
        <f>Simulation!Q58*3.6</f>
        <v>16.314025818368439</v>
      </c>
      <c r="Q58" s="38">
        <f>MIN('Specification &amp; Data'!I$9,SQRT(2*Simulation!R57+Simulation!Q57^2))</f>
        <v>4.5316738384356769</v>
      </c>
      <c r="R58" s="38">
        <f>IF(Q58=Q57,0,IF(Q58&lt;&gt;Q57,Simulation!V58/Simulation!Y58))</f>
        <v>0.18556750714726522</v>
      </c>
      <c r="S58" s="27">
        <f>'Specification &amp; Data'!B$21*'Specification &amp; Data'!B$11*'Specification &amp; Data'!B$23*(Simulation!Q58^2)/2</f>
        <v>9.6545383733789354</v>
      </c>
      <c r="T58" s="27">
        <f>IF(AND(M58=1,L58=1),'Specification &amp; Data'!E$14,IF(AND(M58=1,L58=2),'Specification &amp; Data'!E$15,IF(AND(M58=1,L58=3),'Specification &amp; Data'!E$16,IF(AND(M58=2,L58=1),'Specification &amp; Data'!F$14,IF(AND(M58=2,L58=2),'Specification &amp; Data'!F$15,IF(AND(M58=2,L58=3),'Specification &amp; Data'!F$16,IF(AND(M58=3,L58=1),'Specification &amp; Data'!I$14,IF(AND(M58=3,L58=2),'Specification &amp; Data'!I$15,IF(AND(M58=3,L58=3),'Specification &amp; Data'!I$16)))))))))</f>
        <v>409.43800800000002</v>
      </c>
      <c r="U58" s="27">
        <f>IF(AND(M58=1,L58=1),'Specification &amp; Data'!E$24,IF(AND(M58=1,L58=2),'Specification &amp; Data'!E$25,IF(AND(M58=1,L58=3),'Specification &amp; Data'!E$26,IF(M58=2,0,IF(AND(M58=3,L58=1),'Specification &amp; Data'!I$24,IF(AND(M58=3,L58=2),'Specification &amp; Data'!I$25,IF(AND(M58=3,L58=3),'Specification &amp; Data'!I$26)))))))</f>
        <v>178.61733099000003</v>
      </c>
      <c r="V58" s="27">
        <f>'Specification &amp; Data'!B$46-Simulation!S58-Simulation!T58-Simulation!U58</f>
        <v>110.1915399594555</v>
      </c>
      <c r="W58" s="27">
        <f>Simulation!V58/Simulation!Y58</f>
        <v>0.18556750714726522</v>
      </c>
      <c r="X58" s="27">
        <f>60*Simulation!Q58/(2*'Specification &amp; Data'!B$15*PI())</f>
        <v>170.37125004738451</v>
      </c>
      <c r="Y58" s="27">
        <f>IF(L58=1,'Specification &amp; Data'!B$56,IF(L58=2,'Specification &amp; Data'!B$57,IF(L58=3,'Specification &amp; Data'!B$58)))</f>
        <v>593.80837547172621</v>
      </c>
      <c r="Z58" s="38">
        <f>Simulation!Y58*Simulation!Q58^2/(2*1000)</f>
        <v>6.09724452290454</v>
      </c>
    </row>
    <row r="59" spans="7:26">
      <c r="G59" s="42">
        <v>6000</v>
      </c>
      <c r="H59" s="42">
        <v>17.32</v>
      </c>
      <c r="I59" s="38">
        <f>Simulation!H59*746/1000</f>
        <v>12.920719999999999</v>
      </c>
      <c r="J59" s="38">
        <f>60*1000*Simulation!I59/(2*PI()*Simulation!G59)</f>
        <v>20.563964563063138</v>
      </c>
      <c r="K59" s="37">
        <v>469.1</v>
      </c>
      <c r="L59" s="27">
        <f>IF(Q59&lt;='Specification &amp; Data'!I$7,1,IF(AND(Q59&gt;'Specification &amp; Data'!I$7,Q59&lt;='Specification &amp; Data'!I$8),2,IF(Q59&gt;'Specification &amp; Data'!I$8,3)))</f>
        <v>1</v>
      </c>
      <c r="M59" s="36">
        <v>1</v>
      </c>
      <c r="N59" s="33">
        <f t="shared" si="0"/>
        <v>54</v>
      </c>
      <c r="O59" s="27">
        <f>O58+(1/Simulation!Q59)</f>
        <v>21.100026481985079</v>
      </c>
      <c r="P59" s="38">
        <f>Simulation!Q59*3.6</f>
        <v>16.460782125635742</v>
      </c>
      <c r="Q59" s="38">
        <f>MIN('Specification &amp; Data'!I$9,SQRT(2*Simulation!R58+Simulation!Q58^2))</f>
        <v>4.5724394793432612</v>
      </c>
      <c r="R59" s="38">
        <f>IF(Q59=Q58,0,IF(Q59&lt;&gt;Q58,Simulation!V59/Simulation!Y59))</f>
        <v>0.18527367464442318</v>
      </c>
      <c r="S59" s="27">
        <f>'Specification &amp; Data'!B$21*'Specification &amp; Data'!B$11*'Specification &amp; Data'!B$23*(Simulation!Q59^2)/2</f>
        <v>9.8290185745524159</v>
      </c>
      <c r="T59" s="27">
        <f>IF(AND(M59=1,L59=1),'Specification &amp; Data'!E$14,IF(AND(M59=1,L59=2),'Specification &amp; Data'!E$15,IF(AND(M59=1,L59=3),'Specification &amp; Data'!E$16,IF(AND(M59=2,L59=1),'Specification &amp; Data'!F$14,IF(AND(M59=2,L59=2),'Specification &amp; Data'!F$15,IF(AND(M59=2,L59=3),'Specification &amp; Data'!F$16,IF(AND(M59=3,L59=1),'Specification &amp; Data'!I$14,IF(AND(M59=3,L59=2),'Specification &amp; Data'!I$15,IF(AND(M59=3,L59=3),'Specification &amp; Data'!I$16)))))))))</f>
        <v>409.43800800000002</v>
      </c>
      <c r="U59" s="27">
        <f>IF(AND(M59=1,L59=1),'Specification &amp; Data'!E$24,IF(AND(M59=1,L59=2),'Specification &amp; Data'!E$25,IF(AND(M59=1,L59=3),'Specification &amp; Data'!E$26,IF(M59=2,0,IF(AND(M59=3,L59=1),'Specification &amp; Data'!I$24,IF(AND(M59=3,L59=2),'Specification &amp; Data'!I$25,IF(AND(M59=3,L59=3),'Specification &amp; Data'!I$26)))))))</f>
        <v>178.61733099000003</v>
      </c>
      <c r="V59" s="27">
        <f>'Specification &amp; Data'!B$46-Simulation!S59-Simulation!T59-Simulation!U59</f>
        <v>110.01705975828207</v>
      </c>
      <c r="W59" s="27">
        <f>Simulation!V59/Simulation!Y59</f>
        <v>0.18527367464442318</v>
      </c>
      <c r="X59" s="27">
        <f>60*Simulation!Q59/(2*'Specification &amp; Data'!B$15*PI())</f>
        <v>171.90386105338874</v>
      </c>
      <c r="Y59" s="27">
        <f>IF(L59=1,'Specification &amp; Data'!B$56,IF(L59=2,'Specification &amp; Data'!B$57,IF(L59=3,'Specification &amp; Data'!B$58)))</f>
        <v>593.80837547172621</v>
      </c>
      <c r="Z59" s="38">
        <f>Simulation!Y59*Simulation!Q59^2/(2*1000)</f>
        <v>6.2074360628639962</v>
      </c>
    </row>
    <row r="60" spans="7:26">
      <c r="G60" s="42">
        <v>6100</v>
      </c>
      <c r="H60" s="42">
        <v>17.37</v>
      </c>
      <c r="I60" s="38">
        <f>Simulation!H60*746/1000</f>
        <v>12.958020000000001</v>
      </c>
      <c r="J60" s="38">
        <f>60*1000*Simulation!I60/(2*PI()*Simulation!G60)</f>
        <v>20.285241990330903</v>
      </c>
      <c r="K60" s="37">
        <v>469.1</v>
      </c>
      <c r="L60" s="27">
        <f>IF(Q60&lt;='Specification &amp; Data'!I$7,1,IF(AND(Q60&gt;'Specification &amp; Data'!I$7,Q60&lt;='Specification &amp; Data'!I$8),2,IF(Q60&gt;'Specification &amp; Data'!I$8,3)))</f>
        <v>1</v>
      </c>
      <c r="M60" s="36">
        <v>1</v>
      </c>
      <c r="N60" s="33">
        <f t="shared" si="0"/>
        <v>55</v>
      </c>
      <c r="O60" s="27">
        <f>O59+(1/Simulation!Q60)</f>
        <v>21.316815434830183</v>
      </c>
      <c r="P60" s="38">
        <f>Simulation!Q60*3.6</f>
        <v>16.606012219507505</v>
      </c>
      <c r="Q60" s="38">
        <f>MIN('Specification &amp; Data'!I$9,SQRT(2*Simulation!R59+Simulation!Q59^2))</f>
        <v>4.6127811720854179</v>
      </c>
      <c r="R60" s="38">
        <f>IF(Q60=Q59,0,IF(Q60&lt;&gt;Q59,Simulation!V60/Simulation!Y60))</f>
        <v>0.18498030740374388</v>
      </c>
      <c r="S60" s="27">
        <f>'Specification &amp; Data'!B$21*'Specification &amp; Data'!B$11*'Specification &amp; Data'!B$23*(Simulation!Q60^2)/2</f>
        <v>10.003222499156818</v>
      </c>
      <c r="T60" s="27">
        <f>IF(AND(M60=1,L60=1),'Specification &amp; Data'!E$14,IF(AND(M60=1,L60=2),'Specification &amp; Data'!E$15,IF(AND(M60=1,L60=3),'Specification &amp; Data'!E$16,IF(AND(M60=2,L60=1),'Specification &amp; Data'!F$14,IF(AND(M60=2,L60=2),'Specification &amp; Data'!F$15,IF(AND(M60=2,L60=3),'Specification &amp; Data'!F$16,IF(AND(M60=3,L60=1),'Specification &amp; Data'!I$14,IF(AND(M60=3,L60=2),'Specification &amp; Data'!I$15,IF(AND(M60=3,L60=3),'Specification &amp; Data'!I$16)))))))))</f>
        <v>409.43800800000002</v>
      </c>
      <c r="U60" s="27">
        <f>IF(AND(M60=1,L60=1),'Specification &amp; Data'!E$24,IF(AND(M60=1,L60=2),'Specification &amp; Data'!E$25,IF(AND(M60=1,L60=3),'Specification &amp; Data'!E$26,IF(M60=2,0,IF(AND(M60=3,L60=1),'Specification &amp; Data'!I$24,IF(AND(M60=3,L60=2),'Specification &amp; Data'!I$25,IF(AND(M60=3,L60=3),'Specification &amp; Data'!I$26)))))))</f>
        <v>178.61733099000003</v>
      </c>
      <c r="V60" s="27">
        <f>'Specification &amp; Data'!B$46-Simulation!S60-Simulation!T60-Simulation!U60</f>
        <v>109.84285583367767</v>
      </c>
      <c r="W60" s="27">
        <f>Simulation!V60/Simulation!Y60</f>
        <v>0.18498030740374388</v>
      </c>
      <c r="X60" s="27">
        <f>60*Simulation!Q60/(2*'Specification &amp; Data'!B$15*PI())</f>
        <v>173.42053345006795</v>
      </c>
      <c r="Y60" s="27">
        <f>IF(L60=1,'Specification &amp; Data'!B$56,IF(L60=2,'Specification &amp; Data'!B$57,IF(L60=3,'Specification &amp; Data'!B$58)))</f>
        <v>593.80837547172621</v>
      </c>
      <c r="Z60" s="38">
        <f>Simulation!Y60*Simulation!Q60^2/(2*1000)</f>
        <v>6.317453122622279</v>
      </c>
    </row>
    <row r="61" spans="7:26">
      <c r="G61" s="42">
        <v>6200</v>
      </c>
      <c r="H61" s="42">
        <v>17.440000000000001</v>
      </c>
      <c r="I61" s="38">
        <f>Simulation!H61*746/1000</f>
        <v>13.010240000000001</v>
      </c>
      <c r="J61" s="38">
        <f>60*1000*Simulation!I61/(2*PI()*Simulation!G61)</f>
        <v>20.038490388502264</v>
      </c>
      <c r="K61" s="37">
        <v>469.1</v>
      </c>
      <c r="L61" s="27">
        <f>IF(Q61&lt;='Specification &amp; Data'!I$7,1,IF(AND(Q61&gt;'Specification &amp; Data'!I$7,Q61&lt;='Specification &amp; Data'!I$8),2,IF(Q61&gt;'Specification &amp; Data'!I$8,3)))</f>
        <v>1</v>
      </c>
      <c r="M61" s="36">
        <v>1</v>
      </c>
      <c r="N61" s="33">
        <f t="shared" si="0"/>
        <v>56</v>
      </c>
      <c r="O61" s="27">
        <f>O60+(1/Simulation!Q61)</f>
        <v>21.531743936816795</v>
      </c>
      <c r="P61" s="38">
        <f>Simulation!Q61*3.6</f>
        <v>16.749756159488939</v>
      </c>
      <c r="Q61" s="38">
        <f>MIN('Specification &amp; Data'!I$9,SQRT(2*Simulation!R60+Simulation!Q60^2))</f>
        <v>4.6527100443024834</v>
      </c>
      <c r="R61" s="38">
        <f>IF(Q61=Q60,0,IF(Q61&lt;&gt;Q60,Simulation!V61/Simulation!Y61))</f>
        <v>0.18468740468851885</v>
      </c>
      <c r="S61" s="27">
        <f>'Specification &amp; Data'!B$21*'Specification &amp; Data'!B$11*'Specification &amp; Data'!B$23*(Simulation!Q61^2)/2</f>
        <v>10.177150584655775</v>
      </c>
      <c r="T61" s="27">
        <f>IF(AND(M61=1,L61=1),'Specification &amp; Data'!E$14,IF(AND(M61=1,L61=2),'Specification &amp; Data'!E$15,IF(AND(M61=1,L61=3),'Specification &amp; Data'!E$16,IF(AND(M61=2,L61=1),'Specification &amp; Data'!F$14,IF(AND(M61=2,L61=2),'Specification &amp; Data'!F$15,IF(AND(M61=2,L61=3),'Specification &amp; Data'!F$16,IF(AND(M61=3,L61=1),'Specification &amp; Data'!I$14,IF(AND(M61=3,L61=2),'Specification &amp; Data'!I$15,IF(AND(M61=3,L61=3),'Specification &amp; Data'!I$16)))))))))</f>
        <v>409.43800800000002</v>
      </c>
      <c r="U61" s="27">
        <f>IF(AND(M61=1,L61=1),'Specification &amp; Data'!E$24,IF(AND(M61=1,L61=2),'Specification &amp; Data'!E$25,IF(AND(M61=1,L61=3),'Specification &amp; Data'!E$26,IF(M61=2,0,IF(AND(M61=3,L61=1),'Specification &amp; Data'!I$24,IF(AND(M61=3,L61=2),'Specification &amp; Data'!I$25,IF(AND(M61=3,L61=3),'Specification &amp; Data'!I$26)))))))</f>
        <v>178.61733099000003</v>
      </c>
      <c r="V61" s="27">
        <f>'Specification &amp; Data'!B$46-Simulation!S61-Simulation!T61-Simulation!U61</f>
        <v>109.66892774817865</v>
      </c>
      <c r="W61" s="27">
        <f>Simulation!V61/Simulation!Y61</f>
        <v>0.18468740468851885</v>
      </c>
      <c r="X61" s="27">
        <f>60*Simulation!Q61/(2*'Specification &amp; Data'!B$15*PI())</f>
        <v>174.92168558835866</v>
      </c>
      <c r="Y61" s="27">
        <f>IF(L61=1,'Specification &amp; Data'!B$56,IF(L61=2,'Specification &amp; Data'!B$57,IF(L61=3,'Specification &amp; Data'!B$58)))</f>
        <v>593.80837547172621</v>
      </c>
      <c r="Z61" s="38">
        <f>Simulation!Y61*Simulation!Q61^2/(2*1000)</f>
        <v>6.4272959784559589</v>
      </c>
    </row>
    <row r="62" spans="7:26">
      <c r="G62" s="42">
        <v>6200</v>
      </c>
      <c r="H62" s="42">
        <v>17.440000000000001</v>
      </c>
      <c r="I62" s="38">
        <f>Simulation!H62*746/1000</f>
        <v>13.010240000000001</v>
      </c>
      <c r="J62" s="38">
        <f>60*1000*Simulation!I62/(2*PI()*Simulation!G62)</f>
        <v>20.038490388502264</v>
      </c>
      <c r="K62" s="37">
        <v>469.1</v>
      </c>
      <c r="L62" s="27">
        <f>IF(Q62&lt;='Specification &amp; Data'!I$7,1,IF(AND(Q62&gt;'Specification &amp; Data'!I$7,Q62&lt;='Specification &amp; Data'!I$8),2,IF(Q62&gt;'Specification &amp; Data'!I$8,3)))</f>
        <v>1</v>
      </c>
      <c r="M62" s="36">
        <v>1</v>
      </c>
      <c r="N62" s="33">
        <f t="shared" si="0"/>
        <v>57</v>
      </c>
      <c r="O62" s="27">
        <f>O61+(1/Simulation!Q62)</f>
        <v>21.744861913751599</v>
      </c>
      <c r="P62" s="38">
        <f>Simulation!Q62*3.6</f>
        <v>16.892052241568049</v>
      </c>
      <c r="Q62" s="38">
        <f>MIN('Specification &amp; Data'!I$9,SQRT(2*Simulation!R61+Simulation!Q61^2))</f>
        <v>4.6922367337689019</v>
      </c>
      <c r="R62" s="38">
        <f>IF(Q62=Q61,0,IF(Q62&lt;&gt;Q61,Simulation!V62/Simulation!Y62))</f>
        <v>0.18439496576320655</v>
      </c>
      <c r="S62" s="27">
        <f>'Specification &amp; Data'!B$21*'Specification &amp; Data'!B$11*'Specification &amp; Data'!B$23*(Simulation!Q62^2)/2</f>
        <v>10.350803267820222</v>
      </c>
      <c r="T62" s="27">
        <f>IF(AND(M62=1,L62=1),'Specification &amp; Data'!E$14,IF(AND(M62=1,L62=2),'Specification &amp; Data'!E$15,IF(AND(M62=1,L62=3),'Specification &amp; Data'!E$16,IF(AND(M62=2,L62=1),'Specification &amp; Data'!F$14,IF(AND(M62=2,L62=2),'Specification &amp; Data'!F$15,IF(AND(M62=2,L62=3),'Specification &amp; Data'!F$16,IF(AND(M62=3,L62=1),'Specification &amp; Data'!I$14,IF(AND(M62=3,L62=2),'Specification &amp; Data'!I$15,IF(AND(M62=3,L62=3),'Specification &amp; Data'!I$16)))))))))</f>
        <v>409.43800800000002</v>
      </c>
      <c r="U62" s="27">
        <f>IF(AND(M62=1,L62=1),'Specification &amp; Data'!E$24,IF(AND(M62=1,L62=2),'Specification &amp; Data'!E$25,IF(AND(M62=1,L62=3),'Specification &amp; Data'!E$26,IF(M62=2,0,IF(AND(M62=3,L62=1),'Specification &amp; Data'!I$24,IF(AND(M62=3,L62=2),'Specification &amp; Data'!I$25,IF(AND(M62=3,L62=3),'Specification &amp; Data'!I$26)))))))</f>
        <v>178.61733099000003</v>
      </c>
      <c r="V62" s="27">
        <f>'Specification &amp; Data'!B$46-Simulation!S62-Simulation!T62-Simulation!U62</f>
        <v>109.49527506501425</v>
      </c>
      <c r="W62" s="27">
        <f>Simulation!V62/Simulation!Y62</f>
        <v>0.18439496576320655</v>
      </c>
      <c r="X62" s="27">
        <f>60*Simulation!Q62/(2*'Specification &amp; Data'!B$15*PI())</f>
        <v>176.40771740236781</v>
      </c>
      <c r="Y62" s="27">
        <f>IF(L62=1,'Specification &amp; Data'!B$56,IF(L62=2,'Specification &amp; Data'!B$57,IF(L62=3,'Specification &amp; Data'!B$58)))</f>
        <v>593.80837547172621</v>
      </c>
      <c r="Z62" s="38">
        <f>Simulation!Y62*Simulation!Q62^2/(2*1000)</f>
        <v>6.5369649062041359</v>
      </c>
    </row>
    <row r="63" spans="7:26">
      <c r="G63" s="42">
        <v>6300</v>
      </c>
      <c r="H63" s="42">
        <v>17.5</v>
      </c>
      <c r="I63" s="38">
        <f>Simulation!H63*746/1000</f>
        <v>13.055</v>
      </c>
      <c r="J63" s="38">
        <f>60*1000*Simulation!I63/(2*PI()*Simulation!G63)</f>
        <v>19.788264591092322</v>
      </c>
      <c r="K63" s="37">
        <v>469.1</v>
      </c>
      <c r="L63" s="27">
        <f>IF(Q63&lt;='Specification &amp; Data'!I$7,1,IF(AND(Q63&gt;'Specification &amp; Data'!I$7,Q63&lt;='Specification &amp; Data'!I$8),2,IF(Q63&gt;'Specification &amp; Data'!I$8,3)))</f>
        <v>1</v>
      </c>
      <c r="M63" s="36">
        <v>1</v>
      </c>
      <c r="N63" s="33">
        <f t="shared" si="0"/>
        <v>58</v>
      </c>
      <c r="O63" s="27">
        <f>O62+(1/Simulation!Q63)</f>
        <v>21.956217123817481</v>
      </c>
      <c r="P63" s="38">
        <f>Simulation!Q63*3.6</f>
        <v>17.032937105632911</v>
      </c>
      <c r="Q63" s="38">
        <f>MIN('Specification &amp; Data'!I$9,SQRT(2*Simulation!R62+Simulation!Q62^2))</f>
        <v>4.7313714182313635</v>
      </c>
      <c r="R63" s="38">
        <f>IF(Q63=Q62,0,IF(Q63&lt;&gt;Q62,Simulation!V63/Simulation!Y63))</f>
        <v>0.18410298989342946</v>
      </c>
      <c r="S63" s="27">
        <f>'Specification &amp; Data'!B$21*'Specification &amp; Data'!B$11*'Specification &amp; Data'!B$23*(Simulation!Q63^2)/2</f>
        <v>10.524180984729512</v>
      </c>
      <c r="T63" s="27">
        <f>IF(AND(M63=1,L63=1),'Specification &amp; Data'!E$14,IF(AND(M63=1,L63=2),'Specification &amp; Data'!E$15,IF(AND(M63=1,L63=3),'Specification &amp; Data'!E$16,IF(AND(M63=2,L63=1),'Specification &amp; Data'!F$14,IF(AND(M63=2,L63=2),'Specification &amp; Data'!F$15,IF(AND(M63=2,L63=3),'Specification &amp; Data'!F$16,IF(AND(M63=3,L63=1),'Specification &amp; Data'!I$14,IF(AND(M63=3,L63=2),'Specification &amp; Data'!I$15,IF(AND(M63=3,L63=3),'Specification &amp; Data'!I$16)))))))))</f>
        <v>409.43800800000002</v>
      </c>
      <c r="U63" s="27">
        <f>IF(AND(M63=1,L63=1),'Specification &amp; Data'!E$24,IF(AND(M63=1,L63=2),'Specification &amp; Data'!E$25,IF(AND(M63=1,L63=3),'Specification &amp; Data'!E$26,IF(M63=2,0,IF(AND(M63=3,L63=1),'Specification &amp; Data'!I$24,IF(AND(M63=3,L63=2),'Specification &amp; Data'!I$25,IF(AND(M63=3,L63=3),'Specification &amp; Data'!I$26)))))))</f>
        <v>178.61733099000003</v>
      </c>
      <c r="V63" s="27">
        <f>'Specification &amp; Data'!B$46-Simulation!S63-Simulation!T63-Simulation!U63</f>
        <v>109.32189734810498</v>
      </c>
      <c r="W63" s="27">
        <f>Simulation!V63/Simulation!Y63</f>
        <v>0.18410298989342946</v>
      </c>
      <c r="X63" s="27">
        <f>60*Simulation!Q63/(2*'Specification &amp; Data'!B$15*PI())</f>
        <v>177.87901153115737</v>
      </c>
      <c r="Y63" s="27">
        <f>IF(L63=1,'Specification &amp; Data'!B$56,IF(L63=2,'Specification &amp; Data'!B$57,IF(L63=3,'Specification &amp; Data'!B$58)))</f>
        <v>593.80837547172621</v>
      </c>
      <c r="Z63" s="38">
        <f>Simulation!Y63*Simulation!Q63^2/(2*1000)</f>
        <v>6.6464601812691502</v>
      </c>
    </row>
    <row r="64" spans="7:26">
      <c r="G64" s="42">
        <v>6300</v>
      </c>
      <c r="H64" s="42">
        <v>17.5</v>
      </c>
      <c r="I64" s="38">
        <f>Simulation!H64*746/1000</f>
        <v>13.055</v>
      </c>
      <c r="J64" s="38">
        <f>60*1000*Simulation!I64/(2*PI()*Simulation!G64)</f>
        <v>19.788264591092322</v>
      </c>
      <c r="K64" s="37">
        <v>469.1</v>
      </c>
      <c r="L64" s="27">
        <f>IF(Q64&lt;='Specification &amp; Data'!I$7,1,IF(AND(Q64&gt;'Specification &amp; Data'!I$7,Q64&lt;='Specification &amp; Data'!I$8),2,IF(Q64&gt;'Specification &amp; Data'!I$8,3)))</f>
        <v>1</v>
      </c>
      <c r="M64" s="36">
        <v>1</v>
      </c>
      <c r="N64" s="33">
        <f t="shared" si="0"/>
        <v>59</v>
      </c>
      <c r="O64" s="27">
        <f>O63+(1/Simulation!Q64)</f>
        <v>22.165855286876656</v>
      </c>
      <c r="P64" s="38">
        <f>Simulation!Q64*3.6</f>
        <v>17.172445834606204</v>
      </c>
      <c r="Q64" s="38">
        <f>MIN('Specification &amp; Data'!I$9,SQRT(2*Simulation!R63+Simulation!Q63^2))</f>
        <v>4.7701238429461679</v>
      </c>
      <c r="R64" s="38">
        <f>IF(Q64=Q63,0,IF(Q64&lt;&gt;Q63,Simulation!V64/Simulation!Y64))</f>
        <v>0.18381147634597317</v>
      </c>
      <c r="S64" s="27">
        <f>'Specification &amp; Data'!B$21*'Specification &amp; Data'!B$11*'Specification &amp; Data'!B$23*(Simulation!Q64^2)/2</f>
        <v>10.697284170772487</v>
      </c>
      <c r="T64" s="27">
        <f>IF(AND(M64=1,L64=1),'Specification &amp; Data'!E$14,IF(AND(M64=1,L64=2),'Specification &amp; Data'!E$15,IF(AND(M64=1,L64=3),'Specification &amp; Data'!E$16,IF(AND(M64=2,L64=1),'Specification &amp; Data'!F$14,IF(AND(M64=2,L64=2),'Specification &amp; Data'!F$15,IF(AND(M64=2,L64=3),'Specification &amp; Data'!F$16,IF(AND(M64=3,L64=1),'Specification &amp; Data'!I$14,IF(AND(M64=3,L64=2),'Specification &amp; Data'!I$15,IF(AND(M64=3,L64=3),'Specification &amp; Data'!I$16)))))))))</f>
        <v>409.43800800000002</v>
      </c>
      <c r="U64" s="27">
        <f>IF(AND(M64=1,L64=1),'Specification &amp; Data'!E$24,IF(AND(M64=1,L64=2),'Specification &amp; Data'!E$25,IF(AND(M64=1,L64=3),'Specification &amp; Data'!E$26,IF(M64=2,0,IF(AND(M64=3,L64=1),'Specification &amp; Data'!I$24,IF(AND(M64=3,L64=2),'Specification &amp; Data'!I$25,IF(AND(M64=3,L64=3),'Specification &amp; Data'!I$26)))))))</f>
        <v>178.61733099000003</v>
      </c>
      <c r="V64" s="27">
        <f>'Specification &amp; Data'!B$46-Simulation!S64-Simulation!T64-Simulation!U64</f>
        <v>109.14879416206196</v>
      </c>
      <c r="W64" s="27">
        <f>Simulation!V64/Simulation!Y64</f>
        <v>0.18381147634597317</v>
      </c>
      <c r="X64" s="27">
        <f>60*Simulation!Q64/(2*'Specification &amp; Data'!B$15*PI())</f>
        <v>179.33593435402926</v>
      </c>
      <c r="Y64" s="27">
        <f>IF(L64=1,'Specification &amp; Data'!B$56,IF(L64=2,'Specification &amp; Data'!B$57,IF(L64=3,'Specification &amp; Data'!B$58)))</f>
        <v>593.80837547172621</v>
      </c>
      <c r="Z64" s="38">
        <f>Simulation!Y64*Simulation!Q64^2/(2*1000)</f>
        <v>6.7557820786172531</v>
      </c>
    </row>
    <row r="65" spans="7:26">
      <c r="G65" s="42">
        <v>6400</v>
      </c>
      <c r="H65" s="42">
        <v>17.8</v>
      </c>
      <c r="I65" s="38">
        <f>Simulation!H65*746/1000</f>
        <v>13.2788</v>
      </c>
      <c r="J65" s="38">
        <f>60*1000*Simulation!I65/(2*PI()*Simulation!G65)</f>
        <v>19.812999921831185</v>
      </c>
      <c r="K65" s="37">
        <v>469.1</v>
      </c>
      <c r="L65" s="27">
        <f>IF(Q65&lt;='Specification &amp; Data'!I$7,1,IF(AND(Q65&gt;'Specification &amp; Data'!I$7,Q65&lt;='Specification &amp; Data'!I$8),2,IF(Q65&gt;'Specification &amp; Data'!I$8,3)))</f>
        <v>1</v>
      </c>
      <c r="M65" s="36">
        <v>1</v>
      </c>
      <c r="N65" s="33">
        <f t="shared" si="0"/>
        <v>60</v>
      </c>
      <c r="O65" s="27">
        <f>O64+(1/Simulation!Q65)</f>
        <v>22.37382020402806</v>
      </c>
      <c r="P65" s="38">
        <f>Simulation!Q65*3.6</f>
        <v>17.310612046065028</v>
      </c>
      <c r="Q65" s="38">
        <f>MIN('Specification &amp; Data'!I$9,SQRT(2*Simulation!R64+Simulation!Q64^2))</f>
        <v>4.8085033461291742</v>
      </c>
      <c r="R65" s="38">
        <f>IF(Q65=Q64,0,IF(Q65&lt;&gt;Q64,Simulation!V65/Simulation!Y65))</f>
        <v>0.18352042438878441</v>
      </c>
      <c r="S65" s="27">
        <f>'Specification &amp; Data'!B$21*'Specification &amp; Data'!B$11*'Specification &amp; Data'!B$23*(Simulation!Q65^2)/2</f>
        <v>10.870113260648594</v>
      </c>
      <c r="T65" s="27">
        <f>IF(AND(M65=1,L65=1),'Specification &amp; Data'!E$14,IF(AND(M65=1,L65=2),'Specification &amp; Data'!E$15,IF(AND(M65=1,L65=3),'Specification &amp; Data'!E$16,IF(AND(M65=2,L65=1),'Specification &amp; Data'!F$14,IF(AND(M65=2,L65=2),'Specification &amp; Data'!F$15,IF(AND(M65=2,L65=3),'Specification &amp; Data'!F$16,IF(AND(M65=3,L65=1),'Specification &amp; Data'!I$14,IF(AND(M65=3,L65=2),'Specification &amp; Data'!I$15,IF(AND(M65=3,L65=3),'Specification &amp; Data'!I$16)))))))))</f>
        <v>409.43800800000002</v>
      </c>
      <c r="U65" s="27">
        <f>IF(AND(M65=1,L65=1),'Specification &amp; Data'!E$24,IF(AND(M65=1,L65=2),'Specification &amp; Data'!E$25,IF(AND(M65=1,L65=3),'Specification &amp; Data'!E$26,IF(M65=2,0,IF(AND(M65=3,L65=1),'Specification &amp; Data'!I$24,IF(AND(M65=3,L65=2),'Specification &amp; Data'!I$25,IF(AND(M65=3,L65=3),'Specification &amp; Data'!I$26)))))))</f>
        <v>178.61733099000003</v>
      </c>
      <c r="V65" s="27">
        <f>'Specification &amp; Data'!B$46-Simulation!S65-Simulation!T65-Simulation!U65</f>
        <v>108.97596507218583</v>
      </c>
      <c r="W65" s="27">
        <f>Simulation!V65/Simulation!Y65</f>
        <v>0.18352042438878441</v>
      </c>
      <c r="X65" s="27">
        <f>60*Simulation!Q65/(2*'Specification &amp; Data'!B$15*PI())</f>
        <v>180.77883694733316</v>
      </c>
      <c r="Y65" s="27">
        <f>IF(L65=1,'Specification &amp; Data'!B$56,IF(L65=2,'Specification &amp; Data'!B$57,IF(L65=3,'Specification &amp; Data'!B$58)))</f>
        <v>593.80837547172621</v>
      </c>
      <c r="Z65" s="38">
        <f>Simulation!Y65*Simulation!Q65^2/(2*1000)</f>
        <v>6.8649308727793166</v>
      </c>
    </row>
    <row r="66" spans="7:26">
      <c r="G66" s="44">
        <v>6500</v>
      </c>
      <c r="H66" s="44">
        <v>18</v>
      </c>
      <c r="I66" s="38">
        <f>Simulation!H66*746/1000</f>
        <v>13.428000000000001</v>
      </c>
      <c r="J66" s="38">
        <f>60*1000*Simulation!I66/(2*PI()*Simulation!G66)</f>
        <v>19.727377623119729</v>
      </c>
      <c r="K66" s="37">
        <v>469.1</v>
      </c>
      <c r="L66" s="27">
        <f>IF(Q66&lt;='Specification &amp; Data'!I$7,1,IF(AND(Q66&gt;'Specification &amp; Data'!I$7,Q66&lt;='Specification &amp; Data'!I$8),2,IF(Q66&gt;'Specification &amp; Data'!I$8,3)))</f>
        <v>1</v>
      </c>
      <c r="M66" s="31">
        <v>2</v>
      </c>
      <c r="N66" s="31">
        <f t="shared" si="0"/>
        <v>61</v>
      </c>
      <c r="O66" s="27">
        <f>O65+(1/Simulation!Q66)</f>
        <v>22.580153868301824</v>
      </c>
      <c r="P66" s="38">
        <f>Simulation!Q66*3.6</f>
        <v>17.447467977031195</v>
      </c>
      <c r="Q66" s="38">
        <f>MIN('Specification &amp; Data'!I$9,SQRT(2*Simulation!R65+Simulation!Q65^2))</f>
        <v>4.8465188825086649</v>
      </c>
      <c r="R66" s="38">
        <v>0</v>
      </c>
      <c r="S66" s="27">
        <f>'Specification &amp; Data'!B$21*'Specification &amp; Data'!B$11*'Specification &amp; Data'!B$23*(Simulation!Q66^2)/2</f>
        <v>11.042668688368956</v>
      </c>
      <c r="T66" s="27">
        <f>IF(AND(M66=1,L66=1),'Specification &amp; Data'!E$14,IF(AND(M66=1,L66=2),'Specification &amp; Data'!E$15,IF(AND(M66=1,L66=3),'Specification &amp; Data'!E$16,IF(AND(M66=2,L66=1),'Specification &amp; Data'!F$14,IF(AND(M66=2,L66=2),'Specification &amp; Data'!F$15,IF(AND(M66=2,L66=3),'Specification &amp; Data'!F$16,IF(AND(M66=3,L66=1),'Specification &amp; Data'!I$14,IF(AND(M66=3,L66=2),'Specification &amp; Data'!I$15,IF(AND(M66=3,L66=3),'Specification &amp; Data'!I$16)))))))))</f>
        <v>102.35950200000001</v>
      </c>
      <c r="U66" s="27">
        <f>IF(AND(M66=1,L66=1),'Specification &amp; Data'!E$24,IF(AND(M66=1,L66=2),'Specification &amp; Data'!E$25,IF(AND(M66=1,L66=3),'Specification &amp; Data'!E$26,IF(M66=2,0,IF(AND(M66=3,L66=1),'Specification &amp; Data'!I$24,IF(AND(M66=3,L66=2),'Specification &amp; Data'!I$25,IF(AND(M66=3,L66=3),'Specification &amp; Data'!I$26)))))))</f>
        <v>0</v>
      </c>
      <c r="V66" s="27">
        <f>'Specification &amp; Data'!B$46-Simulation!S66-Simulation!T66-Simulation!U66</f>
        <v>594.49924663446552</v>
      </c>
      <c r="W66" s="27">
        <f>Simulation!V66/Simulation!Y66</f>
        <v>1.0011634580973878</v>
      </c>
      <c r="X66" s="27">
        <f>60*Simulation!Q66/(2*'Specification &amp; Data'!B$15*PI())</f>
        <v>182.20805596995186</v>
      </c>
      <c r="Y66" s="27">
        <f>IF(L66=1,'Specification &amp; Data'!B$56,IF(L66=2,'Specification &amp; Data'!B$57,IF(L66=3,'Specification &amp; Data'!B$58)))</f>
        <v>593.80837547172621</v>
      </c>
      <c r="Z66" s="38">
        <f>Simulation!Y66*Simulation!Q66^2/(2*1000)</f>
        <v>6.9739068378515032</v>
      </c>
    </row>
    <row r="67" spans="7:26">
      <c r="G67" s="44">
        <v>6500</v>
      </c>
      <c r="H67" s="44">
        <v>18</v>
      </c>
      <c r="I67" s="38">
        <f>Simulation!H67*746/1000</f>
        <v>13.428000000000001</v>
      </c>
      <c r="J67" s="38">
        <f>60*1000*Simulation!I67/(2*PI()*Simulation!G67)</f>
        <v>19.727377623119729</v>
      </c>
      <c r="K67" s="37">
        <v>504.4</v>
      </c>
      <c r="L67" s="27">
        <f>IF(Q67&lt;='Specification &amp; Data'!I$7,1,IF(AND(Q67&gt;'Specification &amp; Data'!I$7,Q67&lt;='Specification &amp; Data'!I$8),2,IF(Q67&gt;'Specification &amp; Data'!I$8,3)))</f>
        <v>1</v>
      </c>
      <c r="M67" s="31">
        <v>2</v>
      </c>
      <c r="N67" s="31">
        <f t="shared" si="0"/>
        <v>62</v>
      </c>
      <c r="O67" s="27">
        <f>O66+(1/Simulation!Q67)</f>
        <v>22.786487532575588</v>
      </c>
      <c r="P67" s="38">
        <f>Simulation!Q67*3.6</f>
        <v>17.447467977031195</v>
      </c>
      <c r="Q67" s="38">
        <f>MIN('Specification &amp; Data'!I$9,SQRT(2*Simulation!R66+Simulation!Q66^2))</f>
        <v>4.8465188825086649</v>
      </c>
      <c r="R67" s="15">
        <v>0</v>
      </c>
      <c r="S67" s="27">
        <f>'Specification &amp; Data'!B$21*'Specification &amp; Data'!B$11*'Specification &amp; Data'!B$23*(Simulation!Q67^2)/2</f>
        <v>11.042668688368956</v>
      </c>
      <c r="T67" s="27">
        <f>IF(AND(M67=1,L67=1),'Specification &amp; Data'!E$14,IF(AND(M67=1,L67=2),'Specification &amp; Data'!E$15,IF(AND(M67=1,L67=3),'Specification &amp; Data'!E$16,IF(AND(M67=2,L67=1),'Specification &amp; Data'!F$14,IF(AND(M67=2,L67=2),'Specification &amp; Data'!F$15,IF(AND(M67=2,L67=3),'Specification &amp; Data'!F$16,IF(AND(M67=3,L67=1),'Specification &amp; Data'!I$14,IF(AND(M67=3,L67=2),'Specification &amp; Data'!I$15,IF(AND(M67=3,L67=3),'Specification &amp; Data'!I$16)))))))))</f>
        <v>102.35950200000001</v>
      </c>
      <c r="U67" s="27">
        <f>IF(AND(M67=1,L67=1),'Specification &amp; Data'!E$24,IF(AND(M67=1,L67=2),'Specification &amp; Data'!E$25,IF(AND(M67=1,L67=3),'Specification &amp; Data'!E$26,IF(M67=2,0,IF(AND(M67=3,L67=1),'Specification &amp; Data'!I$24,IF(AND(M67=3,L67=2),'Specification &amp; Data'!I$25,IF(AND(M67=3,L67=3),'Specification &amp; Data'!I$26)))))))</f>
        <v>0</v>
      </c>
      <c r="V67" s="27">
        <f>'Specification &amp; Data'!B$46-Simulation!S67-Simulation!T67-Simulation!U67</f>
        <v>594.49924663446552</v>
      </c>
      <c r="W67" s="27">
        <f>Simulation!V67/Simulation!Y67</f>
        <v>1.0011634580973878</v>
      </c>
      <c r="X67" s="27">
        <f>60*Simulation!Q67/(2*'Specification &amp; Data'!B$15*PI())</f>
        <v>182.20805596995186</v>
      </c>
      <c r="Y67" s="27">
        <f>IF(L67=1,'Specification &amp; Data'!B$56,IF(L67=2,'Specification &amp; Data'!B$57,IF(L67=3,'Specification &amp; Data'!B$58)))</f>
        <v>593.80837547172621</v>
      </c>
      <c r="Z67" s="38">
        <f>Simulation!Y67*Simulation!Q67^2/(2*1000)</f>
        <v>6.9739068378515032</v>
      </c>
    </row>
    <row r="68" spans="7:26">
      <c r="G68" s="44">
        <v>6600</v>
      </c>
      <c r="H68" s="44">
        <v>16.8</v>
      </c>
      <c r="I68" s="38">
        <f>Simulation!H68*746/1000</f>
        <v>12.532800000000002</v>
      </c>
      <c r="J68" s="38">
        <f>60*1000*Simulation!I68/(2*PI()*Simulation!G68)</f>
        <v>18.133246098019146</v>
      </c>
      <c r="K68" s="37">
        <v>504.4</v>
      </c>
      <c r="L68" s="27">
        <f>IF(Q68&lt;='Specification &amp; Data'!I$7,1,IF(AND(Q68&gt;'Specification &amp; Data'!I$7,Q68&lt;='Specification &amp; Data'!I$8),2,IF(Q68&gt;'Specification &amp; Data'!I$8,3)))</f>
        <v>1</v>
      </c>
      <c r="M68" s="31">
        <v>2</v>
      </c>
      <c r="N68" s="31">
        <f t="shared" si="0"/>
        <v>63</v>
      </c>
      <c r="O68" s="27">
        <f>O67+(1/Simulation!Q68)</f>
        <v>22.992821196849352</v>
      </c>
      <c r="P68" s="38">
        <f>Simulation!Q68*3.6</f>
        <v>17.447467977031195</v>
      </c>
      <c r="Q68" s="38">
        <f>MIN('Specification &amp; Data'!I$9,SQRT(2*Simulation!R67+Simulation!Q67^2))</f>
        <v>4.8465188825086649</v>
      </c>
      <c r="R68" s="15">
        <v>0</v>
      </c>
      <c r="S68" s="27">
        <f>'Specification &amp; Data'!B$21*'Specification &amp; Data'!B$11*'Specification &amp; Data'!B$23*(Simulation!Q68^2)/2</f>
        <v>11.042668688368956</v>
      </c>
      <c r="T68" s="27">
        <f>IF(AND(M68=1,L68=1),'Specification &amp; Data'!E$14,IF(AND(M68=1,L68=2),'Specification &amp; Data'!E$15,IF(AND(M68=1,L68=3),'Specification &amp; Data'!E$16,IF(AND(M68=2,L68=1),'Specification &amp; Data'!F$14,IF(AND(M68=2,L68=2),'Specification &amp; Data'!F$15,IF(AND(M68=2,L68=3),'Specification &amp; Data'!F$16,IF(AND(M68=3,L68=1),'Specification &amp; Data'!I$14,IF(AND(M68=3,L68=2),'Specification &amp; Data'!I$15,IF(AND(M68=3,L68=3),'Specification &amp; Data'!I$16)))))))))</f>
        <v>102.35950200000001</v>
      </c>
      <c r="U68" s="27">
        <f>IF(AND(M68=1,L68=1),'Specification &amp; Data'!E$24,IF(AND(M68=1,L68=2),'Specification &amp; Data'!E$25,IF(AND(M68=1,L68=3),'Specification &amp; Data'!E$26,IF(M68=2,0,IF(AND(M68=3,L68=1),'Specification &amp; Data'!I$24,IF(AND(M68=3,L68=2),'Specification &amp; Data'!I$25,IF(AND(M68=3,L68=3),'Specification &amp; Data'!I$26)))))))</f>
        <v>0</v>
      </c>
      <c r="V68" s="27">
        <f>'Specification &amp; Data'!B$46-Simulation!S68-Simulation!T68-Simulation!U68</f>
        <v>594.49924663446552</v>
      </c>
      <c r="W68" s="27">
        <f>Simulation!V68/Simulation!Y68</f>
        <v>1.0011634580973878</v>
      </c>
      <c r="X68" s="27">
        <f>60*Simulation!Q68/(2*'Specification &amp; Data'!B$15*PI())</f>
        <v>182.20805596995186</v>
      </c>
      <c r="Y68" s="27">
        <f>IF(L68=1,'Specification &amp; Data'!B$56,IF(L68=2,'Specification &amp; Data'!B$57,IF(L68=3,'Specification &amp; Data'!B$58)))</f>
        <v>593.80837547172621</v>
      </c>
      <c r="Z68" s="38">
        <f>Simulation!Y68*Simulation!Q68^2/(2*1000)</f>
        <v>6.9739068378515032</v>
      </c>
    </row>
    <row r="69" spans="7:26">
      <c r="G69" s="44">
        <v>6600</v>
      </c>
      <c r="H69" s="44">
        <v>16.8</v>
      </c>
      <c r="I69" s="38">
        <f>Simulation!H69*746/1000</f>
        <v>12.532800000000002</v>
      </c>
      <c r="J69" s="38">
        <f>60*1000*Simulation!I69/(2*PI()*Simulation!G69)</f>
        <v>18.133246098019146</v>
      </c>
      <c r="K69" s="37">
        <v>504.4</v>
      </c>
      <c r="L69" s="27">
        <f>IF(Q69&lt;='Specification &amp; Data'!I$7,1,IF(AND(Q69&gt;'Specification &amp; Data'!I$7,Q69&lt;='Specification &amp; Data'!I$8),2,IF(Q69&gt;'Specification &amp; Data'!I$8,3)))</f>
        <v>1</v>
      </c>
      <c r="M69" s="31">
        <v>2</v>
      </c>
      <c r="N69" s="31">
        <f t="shared" si="0"/>
        <v>64</v>
      </c>
      <c r="O69" s="27">
        <f>O68+(1/Simulation!Q69)</f>
        <v>23.199154861123116</v>
      </c>
      <c r="P69" s="38">
        <f>Simulation!Q69*3.6</f>
        <v>17.447467977031195</v>
      </c>
      <c r="Q69" s="38">
        <f>MIN('Specification &amp; Data'!I$9,SQRT(2*Simulation!R68+Simulation!Q68^2))</f>
        <v>4.8465188825086649</v>
      </c>
      <c r="R69" s="15">
        <v>0</v>
      </c>
      <c r="S69" s="27">
        <f>'Specification &amp; Data'!B$21*'Specification &amp; Data'!B$11*'Specification &amp; Data'!B$23*(Simulation!Q69^2)/2</f>
        <v>11.042668688368956</v>
      </c>
      <c r="T69" s="27">
        <f>IF(AND(M69=1,L69=1),'Specification &amp; Data'!E$14,IF(AND(M69=1,L69=2),'Specification &amp; Data'!E$15,IF(AND(M69=1,L69=3),'Specification &amp; Data'!E$16,IF(AND(M69=2,L69=1),'Specification &amp; Data'!F$14,IF(AND(M69=2,L69=2),'Specification &amp; Data'!F$15,IF(AND(M69=2,L69=3),'Specification &amp; Data'!F$16,IF(AND(M69=3,L69=1),'Specification &amp; Data'!I$14,IF(AND(M69=3,L69=2),'Specification &amp; Data'!I$15,IF(AND(M69=3,L69=3),'Specification &amp; Data'!I$16)))))))))</f>
        <v>102.35950200000001</v>
      </c>
      <c r="U69" s="27">
        <f>IF(AND(M69=1,L69=1),'Specification &amp; Data'!E$24,IF(AND(M69=1,L69=2),'Specification &amp; Data'!E$25,IF(AND(M69=1,L69=3),'Specification &amp; Data'!E$26,IF(M69=2,0,IF(AND(M69=3,L69=1),'Specification &amp; Data'!I$24,IF(AND(M69=3,L69=2),'Specification &amp; Data'!I$25,IF(AND(M69=3,L69=3),'Specification &amp; Data'!I$26)))))))</f>
        <v>0</v>
      </c>
      <c r="V69" s="27">
        <f>'Specification &amp; Data'!B$46-Simulation!S69-Simulation!T69-Simulation!U69</f>
        <v>594.49924663446552</v>
      </c>
      <c r="W69" s="27">
        <f>Simulation!V69/Simulation!Y69</f>
        <v>1.0011634580973878</v>
      </c>
      <c r="X69" s="27">
        <f>60*Simulation!Q69/(2*'Specification &amp; Data'!B$15*PI())</f>
        <v>182.20805596995186</v>
      </c>
      <c r="Y69" s="27">
        <f>IF(L69=1,'Specification &amp; Data'!B$56,IF(L69=2,'Specification &amp; Data'!B$57,IF(L69=3,'Specification &amp; Data'!B$58)))</f>
        <v>593.80837547172621</v>
      </c>
      <c r="Z69" s="38">
        <f>Simulation!Y69*Simulation!Q69^2/(2*1000)</f>
        <v>6.9739068378515032</v>
      </c>
    </row>
    <row r="70" spans="7:26">
      <c r="G70" s="44">
        <v>6600</v>
      </c>
      <c r="H70" s="44">
        <v>16.8</v>
      </c>
      <c r="I70" s="38">
        <f>Simulation!H70*746/1000</f>
        <v>12.532800000000002</v>
      </c>
      <c r="J70" s="38">
        <f>60*1000*Simulation!I70/(2*PI()*Simulation!G70)</f>
        <v>18.133246098019146</v>
      </c>
      <c r="K70" s="37">
        <v>470.5</v>
      </c>
      <c r="L70" s="27">
        <f>IF(Q70&lt;='Specification &amp; Data'!I$7,1,IF(AND(Q70&gt;'Specification &amp; Data'!I$7,Q70&lt;='Specification &amp; Data'!I$8),2,IF(Q70&gt;'Specification &amp; Data'!I$8,3)))</f>
        <v>1</v>
      </c>
      <c r="M70" s="33">
        <v>2</v>
      </c>
      <c r="N70" s="33">
        <f t="shared" si="0"/>
        <v>65</v>
      </c>
      <c r="O70" s="27">
        <f>O69+(1/Simulation!Q70)</f>
        <v>23.40548852539688</v>
      </c>
      <c r="P70" s="38">
        <f>Simulation!Q70*3.6</f>
        <v>17.447467977031195</v>
      </c>
      <c r="Q70" s="38">
        <f>MIN('Specification &amp; Data'!I$9,SQRT(2*Simulation!R69+Simulation!Q69^2))</f>
        <v>4.8465188825086649</v>
      </c>
      <c r="R70" s="15">
        <f>Simulation!V70/Simulation!Y70</f>
        <v>0.98011309032964278</v>
      </c>
      <c r="S70" s="15">
        <f>'Specification &amp; Data'!B$21*'Specification &amp; Data'!B$11*'Specification &amp; Data'!B$23*(Simulation!Q70+'Specification &amp; Data'!B$22)^2/2</f>
        <v>23.542553375616126</v>
      </c>
      <c r="T70" s="27">
        <f>IF(AND(M70=1,L70=1),'Specification &amp; Data'!E$14,IF(AND(M70=1,L70=2),'Specification &amp; Data'!E$15,IF(AND(M70=1,L70=3),'Specification &amp; Data'!E$16,IF(AND(M70=2,L70=1),'Specification &amp; Data'!F$14,IF(AND(M70=2,L70=2),'Specification &amp; Data'!F$15,IF(AND(M70=2,L70=3),'Specification &amp; Data'!F$16,IF(AND(M70=3,L70=1),'Specification &amp; Data'!I$14,IF(AND(M70=3,L70=2),'Specification &amp; Data'!I$15,IF(AND(M70=3,L70=3),'Specification &amp; Data'!I$16)))))))))</f>
        <v>102.35950200000001</v>
      </c>
      <c r="U70" s="27">
        <f>IF(AND(M70=1,L70=1),'Specification &amp; Data'!E$24,IF(AND(M70=1,L70=2),'Specification &amp; Data'!E$25,IF(AND(M70=1,L70=3),'Specification &amp; Data'!E$26,IF(M70=2,0,IF(AND(M70=3,L70=1),'Specification &amp; Data'!I$24,IF(AND(M70=3,L70=2),'Specification &amp; Data'!I$25,IF(AND(M70=3,L70=3),'Specification &amp; Data'!I$26)))))))</f>
        <v>0</v>
      </c>
      <c r="V70" s="27">
        <f>'Specification &amp; Data'!B$46-Simulation!S70-Simulation!T70-Simulation!U70</f>
        <v>581.9993619472184</v>
      </c>
      <c r="W70" s="27">
        <f>Simulation!V70/Simulation!Y70</f>
        <v>0.98011309032964278</v>
      </c>
      <c r="X70" s="27">
        <f>60*Simulation!Q70/(2*'Specification &amp; Data'!B$15*PI())</f>
        <v>182.20805596995186</v>
      </c>
      <c r="Y70" s="27">
        <f>IF(L70=1,'Specification &amp; Data'!B$56,IF(L70=2,'Specification &amp; Data'!B$57,IF(L70=3,'Specification &amp; Data'!B$58)))</f>
        <v>593.80837547172621</v>
      </c>
      <c r="Z70" s="38">
        <f>Simulation!Y70*Simulation!Q70^2/(2*1000)</f>
        <v>6.9739068378515032</v>
      </c>
    </row>
    <row r="71" spans="7:26">
      <c r="G71" s="44">
        <v>6600</v>
      </c>
      <c r="H71" s="44">
        <v>16.8</v>
      </c>
      <c r="I71" s="38">
        <f>Simulation!H71*746/1000</f>
        <v>12.532800000000002</v>
      </c>
      <c r="J71" s="38">
        <f>60*1000*Simulation!I71/(2*PI()*Simulation!G71)</f>
        <v>18.133246098019146</v>
      </c>
      <c r="K71" s="37">
        <v>470.5</v>
      </c>
      <c r="L71" s="27">
        <f>IF(Q71&lt;='Specification &amp; Data'!I$7,1,IF(AND(Q71&gt;'Specification &amp; Data'!I$7,Q71&lt;='Specification &amp; Data'!I$8),2,IF(Q71&gt;'Specification &amp; Data'!I$8,3)))</f>
        <v>1</v>
      </c>
      <c r="M71" s="33">
        <v>2</v>
      </c>
      <c r="N71" s="33">
        <f t="shared" ref="N71:N134" si="1">N70+1</f>
        <v>66</v>
      </c>
      <c r="O71" s="27">
        <f>O70+(1/Simulation!Q71)</f>
        <v>23.603716472196488</v>
      </c>
      <c r="P71" s="38">
        <f>Simulation!Q71*3.6</f>
        <v>18.160910497848761</v>
      </c>
      <c r="Q71" s="38">
        <f>MIN('Specification &amp; Data'!I$9,SQRT(2*Simulation!R70+Simulation!Q70^2))</f>
        <v>5.0446973605135446</v>
      </c>
      <c r="R71" s="38">
        <f>Simulation!V71/Simulation!Y71</f>
        <v>0.97786137698169162</v>
      </c>
      <c r="S71" s="27">
        <f>'Specification &amp; Data'!B$21*'Specification &amp; Data'!B$11*'Specification &amp; Data'!B$23*(Simulation!Q71+'Specification &amp; Data'!B$22)^2/2</f>
        <v>24.879639620790968</v>
      </c>
      <c r="T71" s="27">
        <f>IF(AND(M71=1,L71=1),'Specification &amp; Data'!E$14,IF(AND(M71=1,L71=2),'Specification &amp; Data'!E$15,IF(AND(M71=1,L71=3),'Specification &amp; Data'!E$16,IF(AND(M71=2,L71=1),'Specification &amp; Data'!F$14,IF(AND(M71=2,L71=2),'Specification &amp; Data'!F$15,IF(AND(M71=2,L71=3),'Specification &amp; Data'!F$16,IF(AND(M71=3,L71=1),'Specification &amp; Data'!I$14,IF(AND(M71=3,L71=2),'Specification &amp; Data'!I$15,IF(AND(M71=3,L71=3),'Specification &amp; Data'!I$16)))))))))</f>
        <v>102.35950200000001</v>
      </c>
      <c r="U71" s="27">
        <f>IF(AND(M71=1,L71=1),'Specification &amp; Data'!E$24,IF(AND(M71=1,L71=2),'Specification &amp; Data'!E$25,IF(AND(M71=1,L71=3),'Specification &amp; Data'!E$26,IF(M71=2,0,IF(AND(M71=3,L71=1),'Specification &amp; Data'!I$24,IF(AND(M71=3,L71=2),'Specification &amp; Data'!I$25,IF(AND(M71=3,L71=3),'Specification &amp; Data'!I$26)))))))</f>
        <v>0</v>
      </c>
      <c r="V71" s="27">
        <f>'Specification &amp; Data'!B$46-Simulation!S71-Simulation!T71-Simulation!U71</f>
        <v>580.66227570204353</v>
      </c>
      <c r="W71" s="27">
        <f>Simulation!V71/Simulation!Y71</f>
        <v>0.97786137698169162</v>
      </c>
      <c r="X71" s="27">
        <f>60*Simulation!Q71/(2*'Specification &amp; Data'!B$15*PI())</f>
        <v>189.6587058255987</v>
      </c>
      <c r="Y71" s="27">
        <f>IF(L71=1,'Specification &amp; Data'!B$56,IF(L71=2,'Specification &amp; Data'!B$57,IF(L71=3,'Specification &amp; Data'!B$58)))</f>
        <v>593.80837547172621</v>
      </c>
      <c r="Z71" s="38">
        <f>Simulation!Y71*Simulation!Q71^2/(2*1000)</f>
        <v>7.5559061997987218</v>
      </c>
    </row>
    <row r="72" spans="7:26">
      <c r="G72" s="44">
        <v>6600</v>
      </c>
      <c r="H72" s="44">
        <v>16.8</v>
      </c>
      <c r="I72" s="38">
        <f>Simulation!H72*746/1000</f>
        <v>12.532800000000002</v>
      </c>
      <c r="J72" s="38">
        <f>60*1000*Simulation!I72/(2*PI()*Simulation!G72)</f>
        <v>18.133246098019146</v>
      </c>
      <c r="K72" s="37">
        <v>470.5</v>
      </c>
      <c r="L72" s="27">
        <f>IF(Q72&lt;='Specification &amp; Data'!I$7,1,IF(AND(Q72&gt;'Specification &amp; Data'!I$7,Q72&lt;='Specification &amp; Data'!I$8),2,IF(Q72&gt;'Specification &amp; Data'!I$8,3)))</f>
        <v>1</v>
      </c>
      <c r="M72" s="33">
        <v>2</v>
      </c>
      <c r="N72" s="33">
        <f t="shared" si="1"/>
        <v>67</v>
      </c>
      <c r="O72" s="27">
        <f>O71+(1/Simulation!Q72)</f>
        <v>23.794740289614957</v>
      </c>
      <c r="P72" s="38">
        <f>Simulation!Q72*3.6</f>
        <v>18.845817493604216</v>
      </c>
      <c r="Q72" s="38">
        <f>MIN('Specification &amp; Data'!I$9,SQRT(2*Simulation!R71+Simulation!Q71^2))</f>
        <v>5.234949303778949</v>
      </c>
      <c r="R72" s="38">
        <f>Simulation!V72/Simulation!Y72</f>
        <v>0.97564121797563996</v>
      </c>
      <c r="S72" s="27">
        <f>'Specification &amp; Data'!B$21*'Specification &amp; Data'!B$11*'Specification &amp; Data'!B$23*(Simulation!Q72+'Specification &amp; Data'!B$22)^2/2</f>
        <v>26.197988633463417</v>
      </c>
      <c r="T72" s="27">
        <f>IF(AND(M72=1,L72=1),'Specification &amp; Data'!E$14,IF(AND(M72=1,L72=2),'Specification &amp; Data'!E$15,IF(AND(M72=1,L72=3),'Specification &amp; Data'!E$16,IF(AND(M72=2,L72=1),'Specification &amp; Data'!F$14,IF(AND(M72=2,L72=2),'Specification &amp; Data'!F$15,IF(AND(M72=2,L72=3),'Specification &amp; Data'!F$16,IF(AND(M72=3,L72=1),'Specification &amp; Data'!I$14,IF(AND(M72=3,L72=2),'Specification &amp; Data'!I$15,IF(AND(M72=3,L72=3),'Specification &amp; Data'!I$16)))))))))</f>
        <v>102.35950200000001</v>
      </c>
      <c r="U72" s="27">
        <f>IF(AND(M72=1,L72=1),'Specification &amp; Data'!E$24,IF(AND(M72=1,L72=2),'Specification &amp; Data'!E$25,IF(AND(M72=1,L72=3),'Specification &amp; Data'!E$26,IF(M72=2,0,IF(AND(M72=3,L72=1),'Specification &amp; Data'!I$24,IF(AND(M72=3,L72=2),'Specification &amp; Data'!I$25,IF(AND(M72=3,L72=3),'Specification &amp; Data'!I$26)))))))</f>
        <v>0</v>
      </c>
      <c r="V72" s="27">
        <f>'Specification &amp; Data'!B$46-Simulation!S72-Simulation!T72-Simulation!U72</f>
        <v>579.34392668937107</v>
      </c>
      <c r="W72" s="27">
        <f>Simulation!V72/Simulation!Y72</f>
        <v>0.97564121797563996</v>
      </c>
      <c r="X72" s="27">
        <f>60*Simulation!Q72/(2*'Specification &amp; Data'!B$15*PI())</f>
        <v>196.81135240910925</v>
      </c>
      <c r="Y72" s="27">
        <f>IF(L72=1,'Specification &amp; Data'!B$56,IF(L72=2,'Specification &amp; Data'!B$57,IF(L72=3,'Specification &amp; Data'!B$58)))</f>
        <v>593.80837547172621</v>
      </c>
      <c r="Z72" s="38">
        <f>Simulation!Y72*Simulation!Q72^2/(2*1000)</f>
        <v>8.1365684755007628</v>
      </c>
    </row>
    <row r="73" spans="7:26">
      <c r="G73" s="44">
        <v>6600</v>
      </c>
      <c r="H73" s="44">
        <v>16.8</v>
      </c>
      <c r="I73" s="38">
        <f>Simulation!H73*746/1000</f>
        <v>12.532800000000002</v>
      </c>
      <c r="J73" s="38">
        <f>60*1000*Simulation!I73/(2*PI()*Simulation!G73)</f>
        <v>18.133246098019146</v>
      </c>
      <c r="K73" s="37">
        <v>470.5</v>
      </c>
      <c r="L73" s="27">
        <f>IF(Q73&lt;='Specification &amp; Data'!I$7,1,IF(AND(Q73&gt;'Specification &amp; Data'!I$7,Q73&lt;='Specification &amp; Data'!I$8),2,IF(Q73&gt;'Specification &amp; Data'!I$8,3)))</f>
        <v>1</v>
      </c>
      <c r="M73" s="33">
        <v>2</v>
      </c>
      <c r="N73" s="33">
        <f t="shared" si="1"/>
        <v>68</v>
      </c>
      <c r="O73" s="27">
        <f>O72+(1/Simulation!Q73)</f>
        <v>23.979306303691896</v>
      </c>
      <c r="P73" s="38">
        <f>Simulation!Q73*3.6</f>
        <v>19.505216158047759</v>
      </c>
      <c r="Q73" s="38">
        <f>MIN('Specification &amp; Data'!I$9,SQRT(2*Simulation!R72+Simulation!Q72^2))</f>
        <v>5.4181155994577104</v>
      </c>
      <c r="R73" s="38">
        <f>Simulation!V73/Simulation!Y73</f>
        <v>0.97344959414047028</v>
      </c>
      <c r="S73" s="27">
        <f>'Specification &amp; Data'!B$21*'Specification &amp; Data'!B$11*'Specification &amp; Data'!B$23*(Simulation!Q73+'Specification &amp; Data'!B$22)^2/2</f>
        <v>27.499393222670584</v>
      </c>
      <c r="T73" s="27">
        <f>IF(AND(M73=1,L73=1),'Specification &amp; Data'!E$14,IF(AND(M73=1,L73=2),'Specification &amp; Data'!E$15,IF(AND(M73=1,L73=3),'Specification &amp; Data'!E$16,IF(AND(M73=2,L73=1),'Specification &amp; Data'!F$14,IF(AND(M73=2,L73=2),'Specification &amp; Data'!F$15,IF(AND(M73=2,L73=3),'Specification &amp; Data'!F$16,IF(AND(M73=3,L73=1),'Specification &amp; Data'!I$14,IF(AND(M73=3,L73=2),'Specification &amp; Data'!I$15,IF(AND(M73=3,L73=3),'Specification &amp; Data'!I$16)))))))))</f>
        <v>102.35950200000001</v>
      </c>
      <c r="U73" s="27">
        <f>IF(AND(M73=1,L73=1),'Specification &amp; Data'!E$24,IF(AND(M73=1,L73=2),'Specification &amp; Data'!E$25,IF(AND(M73=1,L73=3),'Specification &amp; Data'!E$26,IF(M73=2,0,IF(AND(M73=3,L73=1),'Specification &amp; Data'!I$24,IF(AND(M73=3,L73=2),'Specification &amp; Data'!I$25,IF(AND(M73=3,L73=3),'Specification &amp; Data'!I$26)))))))</f>
        <v>0</v>
      </c>
      <c r="V73" s="27">
        <f>'Specification &amp; Data'!B$46-Simulation!S73-Simulation!T73-Simulation!U73</f>
        <v>578.04252210016386</v>
      </c>
      <c r="W73" s="27">
        <f>Simulation!V73/Simulation!Y73</f>
        <v>0.97344959414047028</v>
      </c>
      <c r="X73" s="27">
        <f>60*Simulation!Q73/(2*'Specification &amp; Data'!B$15*PI())</f>
        <v>203.69760942448875</v>
      </c>
      <c r="Y73" s="27">
        <f>IF(L73=1,'Specification &amp; Data'!B$56,IF(L73=2,'Specification &amp; Data'!B$57,IF(L73=3,'Specification &amp; Data'!B$58)))</f>
        <v>593.80837547172621</v>
      </c>
      <c r="Z73" s="38">
        <f>Simulation!Y73*Simulation!Q73^2/(2*1000)</f>
        <v>8.7159124021901349</v>
      </c>
    </row>
    <row r="74" spans="7:26">
      <c r="G74" s="44">
        <v>6600</v>
      </c>
      <c r="H74" s="44">
        <v>16.8</v>
      </c>
      <c r="I74" s="38">
        <f>Simulation!H74*746/1000</f>
        <v>12.532800000000002</v>
      </c>
      <c r="J74" s="38">
        <f>60*1000*Simulation!I74/(2*PI()*Simulation!G74)</f>
        <v>18.133246098019146</v>
      </c>
      <c r="K74" s="37">
        <v>470.5</v>
      </c>
      <c r="L74" s="27">
        <f>IF(Q74&lt;='Specification &amp; Data'!I$7,1,IF(AND(Q74&gt;'Specification &amp; Data'!I$7,Q74&lt;='Specification &amp; Data'!I$8),2,IF(Q74&gt;'Specification &amp; Data'!I$8,3)))</f>
        <v>1</v>
      </c>
      <c r="M74" s="33">
        <v>2</v>
      </c>
      <c r="N74" s="33">
        <f t="shared" si="1"/>
        <v>69</v>
      </c>
      <c r="O74" s="27">
        <f>O73+(1/Simulation!Q74)</f>
        <v>24.158040594196915</v>
      </c>
      <c r="P74" s="38">
        <f>Simulation!Q74*3.6</f>
        <v>20.141630292811161</v>
      </c>
      <c r="Q74" s="38">
        <f>MIN('Specification &amp; Data'!I$9,SQRT(2*Simulation!R73+Simulation!Q73^2))</f>
        <v>5.594897303558656</v>
      </c>
      <c r="R74" s="38">
        <f>Simulation!V74/Simulation!Y74</f>
        <v>0.97128398483530731</v>
      </c>
      <c r="S74" s="27">
        <f>'Specification &amp; Data'!B$21*'Specification &amp; Data'!B$11*'Specification &amp; Data'!B$23*(Simulation!Q74+'Specification &amp; Data'!B$22)^2/2</f>
        <v>28.785350166075897</v>
      </c>
      <c r="T74" s="27">
        <f>IF(AND(M74=1,L74=1),'Specification &amp; Data'!E$14,IF(AND(M74=1,L74=2),'Specification &amp; Data'!E$15,IF(AND(M74=1,L74=3),'Specification &amp; Data'!E$16,IF(AND(M74=2,L74=1),'Specification &amp; Data'!F$14,IF(AND(M74=2,L74=2),'Specification &amp; Data'!F$15,IF(AND(M74=2,L74=3),'Specification &amp; Data'!F$16,IF(AND(M74=3,L74=1),'Specification &amp; Data'!I$14,IF(AND(M74=3,L74=2),'Specification &amp; Data'!I$15,IF(AND(M74=3,L74=3),'Specification &amp; Data'!I$16)))))))))</f>
        <v>102.35950200000001</v>
      </c>
      <c r="U74" s="27">
        <f>IF(AND(M74=1,L74=1),'Specification &amp; Data'!E$24,IF(AND(M74=1,L74=2),'Specification &amp; Data'!E$25,IF(AND(M74=1,L74=3),'Specification &amp; Data'!E$26,IF(M74=2,0,IF(AND(M74=3,L74=1),'Specification &amp; Data'!I$24,IF(AND(M74=3,L74=2),'Specification &amp; Data'!I$25,IF(AND(M74=3,L74=3),'Specification &amp; Data'!I$26)))))))</f>
        <v>0</v>
      </c>
      <c r="V74" s="27">
        <f>'Specification &amp; Data'!B$46-Simulation!S74-Simulation!T74-Simulation!U74</f>
        <v>576.7565651567586</v>
      </c>
      <c r="W74" s="27">
        <f>Simulation!V74/Simulation!Y74</f>
        <v>0.97128398483530731</v>
      </c>
      <c r="X74" s="27">
        <f>60*Simulation!Q74/(2*'Specification &amp; Data'!B$15*PI())</f>
        <v>210.34383353217558</v>
      </c>
      <c r="Y74" s="27">
        <f>IF(L74=1,'Specification &amp; Data'!B$56,IF(L74=2,'Specification &amp; Data'!B$57,IF(L74=3,'Specification &amp; Data'!B$58)))</f>
        <v>593.80837547172621</v>
      </c>
      <c r="Z74" s="38">
        <f>Simulation!Y74*Simulation!Q74^2/(2*1000)</f>
        <v>9.293954924290297</v>
      </c>
    </row>
    <row r="75" spans="7:26">
      <c r="G75" s="44">
        <v>6600</v>
      </c>
      <c r="H75" s="44">
        <v>16.8</v>
      </c>
      <c r="I75" s="38">
        <f>Simulation!H75*746/1000</f>
        <v>12.532800000000002</v>
      </c>
      <c r="J75" s="38">
        <f>60*1000*Simulation!I75/(2*PI()*Simulation!G75)</f>
        <v>18.133246098019146</v>
      </c>
      <c r="K75" s="37">
        <v>470.5</v>
      </c>
      <c r="L75" s="27">
        <f>IF(Q75&lt;='Specification &amp; Data'!I$7,1,IF(AND(Q75&gt;'Specification &amp; Data'!I$7,Q75&lt;='Specification &amp; Data'!I$8),2,IF(Q75&gt;'Specification &amp; Data'!I$8,3)))</f>
        <v>1</v>
      </c>
      <c r="M75" s="33">
        <v>2</v>
      </c>
      <c r="N75" s="33">
        <f t="shared" si="1"/>
        <v>70</v>
      </c>
      <c r="O75" s="27">
        <f>O74+(1/Simulation!Q75)</f>
        <v>24.331474471188677</v>
      </c>
      <c r="P75" s="38">
        <f>Simulation!Q75*3.6</f>
        <v>20.757190362359243</v>
      </c>
      <c r="Q75" s="38">
        <f>MIN('Specification &amp; Data'!I$9,SQRT(2*Simulation!R74+Simulation!Q74^2))</f>
        <v>5.765886211766456</v>
      </c>
      <c r="R75" s="38">
        <f>Simulation!V75/Simulation!Y75</f>
        <v>0.96914225921321218</v>
      </c>
      <c r="S75" s="27">
        <f>'Specification &amp; Data'!B$21*'Specification &amp; Data'!B$11*'Specification &amp; Data'!B$23*(Simulation!Q75+'Specification &amp; Data'!B$22)^2/2</f>
        <v>30.057124778438389</v>
      </c>
      <c r="T75" s="27">
        <f>IF(AND(M75=1,L75=1),'Specification &amp; Data'!E$14,IF(AND(M75=1,L75=2),'Specification &amp; Data'!E$15,IF(AND(M75=1,L75=3),'Specification &amp; Data'!E$16,IF(AND(M75=2,L75=1),'Specification &amp; Data'!F$14,IF(AND(M75=2,L75=2),'Specification &amp; Data'!F$15,IF(AND(M75=2,L75=3),'Specification &amp; Data'!F$16,IF(AND(M75=3,L75=1),'Specification &amp; Data'!I$14,IF(AND(M75=3,L75=2),'Specification &amp; Data'!I$15,IF(AND(M75=3,L75=3),'Specification &amp; Data'!I$16)))))))))</f>
        <v>102.35950200000001</v>
      </c>
      <c r="U75" s="27">
        <f>IF(AND(M75=1,L75=1),'Specification &amp; Data'!E$24,IF(AND(M75=1,L75=2),'Specification &amp; Data'!E$25,IF(AND(M75=1,L75=3),'Specification &amp; Data'!E$26,IF(M75=2,0,IF(AND(M75=3,L75=1),'Specification &amp; Data'!I$24,IF(AND(M75=3,L75=2),'Specification &amp; Data'!I$25,IF(AND(M75=3,L75=3),'Specification &amp; Data'!I$26)))))))</f>
        <v>0</v>
      </c>
      <c r="V75" s="27">
        <f>'Specification &amp; Data'!B$46-Simulation!S75-Simulation!T75-Simulation!U75</f>
        <v>575.48479054439611</v>
      </c>
      <c r="W75" s="27">
        <f>Simulation!V75/Simulation!Y75</f>
        <v>0.96914225921321218</v>
      </c>
      <c r="X75" s="27">
        <f>60*Simulation!Q75/(2*'Specification &amp; Data'!B$15*PI())</f>
        <v>216.77227367906323</v>
      </c>
      <c r="Y75" s="27">
        <f>IF(L75=1,'Specification &amp; Data'!B$56,IF(L75=2,'Specification &amp; Data'!B$57,IF(L75=3,'Specification &amp; Data'!B$58)))</f>
        <v>593.80837547172621</v>
      </c>
      <c r="Z75" s="38">
        <f>Simulation!Y75*Simulation!Q75^2/(2*1000)</f>
        <v>9.8707114894470553</v>
      </c>
    </row>
    <row r="76" spans="7:26">
      <c r="G76" s="44">
        <v>6600</v>
      </c>
      <c r="H76" s="44">
        <v>16.8</v>
      </c>
      <c r="I76" s="38">
        <f>Simulation!H76*746/1000</f>
        <v>12.532800000000002</v>
      </c>
      <c r="J76" s="38">
        <f>60*1000*Simulation!I76/(2*PI()*Simulation!G76)</f>
        <v>18.133246098019146</v>
      </c>
      <c r="K76" s="37">
        <v>470.5</v>
      </c>
      <c r="L76" s="27">
        <f>IF(Q76&lt;='Specification &amp; Data'!I$7,1,IF(AND(Q76&gt;'Specification &amp; Data'!I$7,Q76&lt;='Specification &amp; Data'!I$8),2,IF(Q76&gt;'Specification &amp; Data'!I$8,3)))</f>
        <v>1</v>
      </c>
      <c r="M76" s="33">
        <v>2</v>
      </c>
      <c r="N76" s="33">
        <f t="shared" si="1"/>
        <v>71</v>
      </c>
      <c r="O76" s="27">
        <f>O75+(1/Simulation!Q76)</f>
        <v>24.500063407563001</v>
      </c>
      <c r="P76" s="38">
        <f>Simulation!Q76*3.6</f>
        <v>21.353714409863819</v>
      </c>
      <c r="Q76" s="38">
        <f>MIN('Specification &amp; Data'!I$9,SQRT(2*Simulation!R75+Simulation!Q75^2))</f>
        <v>5.9315873360732834</v>
      </c>
      <c r="R76" s="38">
        <f>Simulation!V76/Simulation!Y76</f>
        <v>0.96702259623806464</v>
      </c>
      <c r="S76" s="27">
        <f>'Specification &amp; Data'!B$21*'Specification &amp; Data'!B$11*'Specification &amp; Data'!B$23*(Simulation!Q76+'Specification &amp; Data'!B$22)^2/2</f>
        <v>31.315798406258345</v>
      </c>
      <c r="T76" s="27">
        <f>IF(AND(M76=1,L76=1),'Specification &amp; Data'!E$14,IF(AND(M76=1,L76=2),'Specification &amp; Data'!E$15,IF(AND(M76=1,L76=3),'Specification &amp; Data'!E$16,IF(AND(M76=2,L76=1),'Specification &amp; Data'!F$14,IF(AND(M76=2,L76=2),'Specification &amp; Data'!F$15,IF(AND(M76=2,L76=3),'Specification &amp; Data'!F$16,IF(AND(M76=3,L76=1),'Specification &amp; Data'!I$14,IF(AND(M76=3,L76=2),'Specification &amp; Data'!I$15,IF(AND(M76=3,L76=3),'Specification &amp; Data'!I$16)))))))))</f>
        <v>102.35950200000001</v>
      </c>
      <c r="U76" s="27">
        <f>IF(AND(M76=1,L76=1),'Specification &amp; Data'!E$24,IF(AND(M76=1,L76=2),'Specification &amp; Data'!E$25,IF(AND(M76=1,L76=3),'Specification &amp; Data'!E$26,IF(M76=2,0,IF(AND(M76=3,L76=1),'Specification &amp; Data'!I$24,IF(AND(M76=3,L76=2),'Specification &amp; Data'!I$25,IF(AND(M76=3,L76=3),'Specification &amp; Data'!I$26)))))))</f>
        <v>0</v>
      </c>
      <c r="V76" s="27">
        <f>'Specification &amp; Data'!B$46-Simulation!S76-Simulation!T76-Simulation!U76</f>
        <v>574.22611691657619</v>
      </c>
      <c r="W76" s="27">
        <f>Simulation!V76/Simulation!Y76</f>
        <v>0.96702259623806464</v>
      </c>
      <c r="X76" s="27">
        <f>60*Simulation!Q76/(2*'Specification &amp; Data'!B$15*PI())</f>
        <v>223.0019161222088</v>
      </c>
      <c r="Y76" s="27">
        <f>IF(L76=1,'Specification &amp; Data'!B$56,IF(L76=2,'Specification &amp; Data'!B$57,IF(L76=3,'Specification &amp; Data'!B$58)))</f>
        <v>593.80837547172621</v>
      </c>
      <c r="Z76" s="38">
        <f>Simulation!Y76*Simulation!Q76^2/(2*1000)</f>
        <v>10.446196279991449</v>
      </c>
    </row>
    <row r="77" spans="7:26">
      <c r="G77" s="44">
        <v>6600</v>
      </c>
      <c r="H77" s="44">
        <v>16.8</v>
      </c>
      <c r="I77" s="38">
        <f>Simulation!H77*746/1000</f>
        <v>12.532800000000002</v>
      </c>
      <c r="J77" s="38">
        <f>60*1000*Simulation!I77/(2*PI()*Simulation!G77)</f>
        <v>18.133246098019146</v>
      </c>
      <c r="K77" s="37">
        <v>470.5</v>
      </c>
      <c r="L77" s="27">
        <f>IF(Q77&lt;='Specification &amp; Data'!I$7,1,IF(AND(Q77&gt;'Specification &amp; Data'!I$7,Q77&lt;='Specification &amp; Data'!I$8),2,IF(Q77&gt;'Specification &amp; Data'!I$8,3)))</f>
        <v>1</v>
      </c>
      <c r="M77" s="33">
        <v>2</v>
      </c>
      <c r="N77" s="33">
        <f t="shared" si="1"/>
        <v>72</v>
      </c>
      <c r="O77" s="27">
        <f>O76+(1/Simulation!Q77)</f>
        <v>24.664201371263079</v>
      </c>
      <c r="P77" s="38">
        <f>Simulation!Q77*3.6</f>
        <v>21.932768744335867</v>
      </c>
      <c r="Q77" s="38">
        <f>MIN('Specification &amp; Data'!I$9,SQRT(2*Simulation!R76+Simulation!Q76^2))</f>
        <v>6.0924357623155183</v>
      </c>
      <c r="R77" s="38">
        <f>Simulation!V77/Simulation!Y77</f>
        <v>0.96492342466934611</v>
      </c>
      <c r="S77" s="27">
        <f>'Specification &amp; Data'!B$21*'Specification &amp; Data'!B$11*'Specification &amp; Data'!B$23*(Simulation!Q77+'Specification &amp; Data'!B$22)^2/2</f>
        <v>32.562304065315487</v>
      </c>
      <c r="T77" s="27">
        <f>IF(AND(M77=1,L77=1),'Specification &amp; Data'!E$14,IF(AND(M77=1,L77=2),'Specification &amp; Data'!E$15,IF(AND(M77=1,L77=3),'Specification &amp; Data'!E$16,IF(AND(M77=2,L77=1),'Specification &amp; Data'!F$14,IF(AND(M77=2,L77=2),'Specification &amp; Data'!F$15,IF(AND(M77=2,L77=3),'Specification &amp; Data'!F$16,IF(AND(M77=3,L77=1),'Specification &amp; Data'!I$14,IF(AND(M77=3,L77=2),'Specification &amp; Data'!I$15,IF(AND(M77=3,L77=3),'Specification &amp; Data'!I$16)))))))))</f>
        <v>102.35950200000001</v>
      </c>
      <c r="U77" s="27">
        <f>IF(AND(M77=1,L77=1),'Specification &amp; Data'!E$24,IF(AND(M77=1,L77=2),'Specification &amp; Data'!E$25,IF(AND(M77=1,L77=3),'Specification &amp; Data'!E$26,IF(M77=2,0,IF(AND(M77=3,L77=1),'Specification &amp; Data'!I$24,IF(AND(M77=3,L77=2),'Specification &amp; Data'!I$25,IF(AND(M77=3,L77=3),'Specification &amp; Data'!I$26)))))))</f>
        <v>0</v>
      </c>
      <c r="V77" s="27">
        <f>'Specification &amp; Data'!B$46-Simulation!S77-Simulation!T77-Simulation!U77</f>
        <v>572.97961125751897</v>
      </c>
      <c r="W77" s="27">
        <f>Simulation!V77/Simulation!Y77</f>
        <v>0.96492342466934611</v>
      </c>
      <c r="X77" s="27">
        <f>60*Simulation!Q77/(2*'Specification &amp; Data'!B$15*PI())</f>
        <v>229.04911819898135</v>
      </c>
      <c r="Y77" s="27">
        <f>IF(L77=1,'Specification &amp; Data'!B$56,IF(L77=2,'Specification &amp; Data'!B$57,IF(L77=3,'Specification &amp; Data'!B$58)))</f>
        <v>593.80837547172621</v>
      </c>
      <c r="Z77" s="38">
        <f>Simulation!Y77*Simulation!Q77^2/(2*1000)</f>
        <v>11.020422396908023</v>
      </c>
    </row>
    <row r="78" spans="7:26">
      <c r="G78" s="44">
        <v>6600</v>
      </c>
      <c r="H78" s="44">
        <v>16.8</v>
      </c>
      <c r="I78" s="38">
        <f>Simulation!H78*746/1000</f>
        <v>12.532800000000002</v>
      </c>
      <c r="J78" s="38">
        <f>60*1000*Simulation!I78/(2*PI()*Simulation!G78)</f>
        <v>18.133246098019146</v>
      </c>
      <c r="K78" s="37">
        <v>470.5</v>
      </c>
      <c r="L78" s="27">
        <f>IF(Q78&lt;='Specification &amp; Data'!I$7,1,IF(AND(Q78&gt;'Specification &amp; Data'!I$7,Q78&lt;='Specification &amp; Data'!I$8),2,IF(Q78&gt;'Specification &amp; Data'!I$8,3)))</f>
        <v>1</v>
      </c>
      <c r="M78" s="33">
        <v>2</v>
      </c>
      <c r="N78" s="33">
        <f t="shared" si="1"/>
        <v>73</v>
      </c>
      <c r="O78" s="27">
        <f>O77+(1/Simulation!Q78)</f>
        <v>24.824231853459594</v>
      </c>
      <c r="P78" s="38">
        <f>Simulation!Q78*3.6</f>
        <v>22.495714257607954</v>
      </c>
      <c r="Q78" s="38">
        <f>MIN('Specification &amp; Data'!I$9,SQRT(2*Simulation!R77+Simulation!Q77^2))</f>
        <v>6.2488095160022095</v>
      </c>
      <c r="R78" s="38">
        <f>Simulation!V78/Simulation!Y78</f>
        <v>0.96284337723683899</v>
      </c>
      <c r="S78" s="27">
        <f>'Specification &amp; Data'!B$21*'Specification &amp; Data'!B$11*'Specification &amp; Data'!B$23*(Simulation!Q78+'Specification &amp; Data'!B$22)^2/2</f>
        <v>33.797453652116673</v>
      </c>
      <c r="T78" s="27">
        <f>IF(AND(M78=1,L78=1),'Specification &amp; Data'!E$14,IF(AND(M78=1,L78=2),'Specification &amp; Data'!E$15,IF(AND(M78=1,L78=3),'Specification &amp; Data'!E$16,IF(AND(M78=2,L78=1),'Specification &amp; Data'!F$14,IF(AND(M78=2,L78=2),'Specification &amp; Data'!F$15,IF(AND(M78=2,L78=3),'Specification &amp; Data'!F$16,IF(AND(M78=3,L78=1),'Specification &amp; Data'!I$14,IF(AND(M78=3,L78=2),'Specification &amp; Data'!I$15,IF(AND(M78=3,L78=3),'Specification &amp; Data'!I$16)))))))))</f>
        <v>102.35950200000001</v>
      </c>
      <c r="U78" s="27">
        <f>IF(AND(M78=1,L78=1),'Specification &amp; Data'!E$24,IF(AND(M78=1,L78=2),'Specification &amp; Data'!E$25,IF(AND(M78=1,L78=3),'Specification &amp; Data'!E$26,IF(M78=2,0,IF(AND(M78=3,L78=1),'Specification &amp; Data'!I$24,IF(AND(M78=3,L78=2),'Specification &amp; Data'!I$25,IF(AND(M78=3,L78=3),'Specification &amp; Data'!I$26)))))))</f>
        <v>0</v>
      </c>
      <c r="V78" s="27">
        <f>'Specification &amp; Data'!B$46-Simulation!S78-Simulation!T78-Simulation!U78</f>
        <v>571.74446167071778</v>
      </c>
      <c r="W78" s="27">
        <f>Simulation!V78/Simulation!Y78</f>
        <v>0.96284337723683899</v>
      </c>
      <c r="X78" s="27">
        <f>60*Simulation!Q78/(2*'Specification &amp; Data'!B$15*PI())</f>
        <v>234.92809202632102</v>
      </c>
      <c r="Y78" s="27">
        <f>IF(L78=1,'Specification &amp; Data'!B$56,IF(L78=2,'Specification &amp; Data'!B$57,IF(L78=3,'Specification &amp; Data'!B$58)))</f>
        <v>593.80837547172621</v>
      </c>
      <c r="Z78" s="38">
        <f>Simulation!Y78*Simulation!Q78^2/(2*1000)</f>
        <v>11.593402008165546</v>
      </c>
    </row>
    <row r="79" spans="7:26">
      <c r="G79" s="44">
        <v>6600</v>
      </c>
      <c r="H79" s="44">
        <v>16.8</v>
      </c>
      <c r="I79" s="38">
        <f>Simulation!H79*746/1000</f>
        <v>12.532800000000002</v>
      </c>
      <c r="J79" s="38">
        <f>60*1000*Simulation!I79/(2*PI()*Simulation!G79)</f>
        <v>18.133246098019146</v>
      </c>
      <c r="K79" s="37">
        <v>443.8</v>
      </c>
      <c r="L79" s="27">
        <f>IF(Q79&lt;='Specification &amp; Data'!I$7,1,IF(AND(Q79&gt;'Specification &amp; Data'!I$7,Q79&lt;='Specification &amp; Data'!I$8),2,IF(Q79&gt;'Specification &amp; Data'!I$8,3)))</f>
        <v>1</v>
      </c>
      <c r="M79" s="33">
        <v>2</v>
      </c>
      <c r="N79" s="33">
        <f t="shared" si="1"/>
        <v>74</v>
      </c>
      <c r="O79" s="27">
        <f>O78+(1/Simulation!Q79)</f>
        <v>24.980456478321866</v>
      </c>
      <c r="P79" s="38">
        <f>Simulation!Q79*3.6</f>
        <v>23.043742324065434</v>
      </c>
      <c r="Q79" s="38">
        <f>MIN('Specification &amp; Data'!I$9,SQRT(2*Simulation!R78+Simulation!Q78^2))</f>
        <v>6.4010395344626208</v>
      </c>
      <c r="R79" s="38">
        <f>Simulation!V79/Simulation!Y79</f>
        <v>0.96078125510559209</v>
      </c>
      <c r="S79" s="27">
        <f>'Specification &amp; Data'!B$21*'Specification &amp; Data'!B$11*'Specification &amp; Data'!B$23*(Simulation!Q79+'Specification &amp; Data'!B$22)^2/2</f>
        <v>35.021959044896626</v>
      </c>
      <c r="T79" s="27">
        <f>IF(AND(M79=1,L79=1),'Specification &amp; Data'!E$14,IF(AND(M79=1,L79=2),'Specification &amp; Data'!E$15,IF(AND(M79=1,L79=3),'Specification &amp; Data'!E$16,IF(AND(M79=2,L79=1),'Specification &amp; Data'!F$14,IF(AND(M79=2,L79=2),'Specification &amp; Data'!F$15,IF(AND(M79=2,L79=3),'Specification &amp; Data'!F$16,IF(AND(M79=3,L79=1),'Specification &amp; Data'!I$14,IF(AND(M79=3,L79=2),'Specification &amp; Data'!I$15,IF(AND(M79=3,L79=3),'Specification &amp; Data'!I$16)))))))))</f>
        <v>102.35950200000001</v>
      </c>
      <c r="U79" s="27">
        <f>IF(AND(M79=1,L79=1),'Specification &amp; Data'!E$24,IF(AND(M79=1,L79=2),'Specification &amp; Data'!E$25,IF(AND(M79=1,L79=3),'Specification &amp; Data'!E$26,IF(M79=2,0,IF(AND(M79=3,L79=1),'Specification &amp; Data'!I$24,IF(AND(M79=3,L79=2),'Specification &amp; Data'!I$25,IF(AND(M79=3,L79=3),'Specification &amp; Data'!I$26)))))))</f>
        <v>0</v>
      </c>
      <c r="V79" s="27">
        <f>'Specification &amp; Data'!B$46-Simulation!S79-Simulation!T79-Simulation!U79</f>
        <v>570.51995627793781</v>
      </c>
      <c r="W79" s="27">
        <f>Simulation!V79/Simulation!Y79</f>
        <v>0.96078125510559209</v>
      </c>
      <c r="X79" s="27">
        <f>60*Simulation!Q79/(2*'Specification &amp; Data'!B$15*PI())</f>
        <v>240.6512794101663</v>
      </c>
      <c r="Y79" s="27">
        <f>IF(L79=1,'Specification &amp; Data'!B$56,IF(L79=2,'Specification &amp; Data'!B$57,IF(L79=3,'Specification &amp; Data'!B$58)))</f>
        <v>593.80837547172621</v>
      </c>
      <c r="Z79" s="38">
        <f>Simulation!Y79*Simulation!Q79^2/(2*1000)</f>
        <v>12.165146469836262</v>
      </c>
    </row>
    <row r="80" spans="7:26">
      <c r="G80" s="44">
        <v>6600</v>
      </c>
      <c r="H80" s="44">
        <v>16.8</v>
      </c>
      <c r="I80" s="38">
        <f>Simulation!H80*746/1000</f>
        <v>12.532800000000002</v>
      </c>
      <c r="J80" s="38">
        <f>60*1000*Simulation!I80/(2*PI()*Simulation!G80)</f>
        <v>18.133246098019146</v>
      </c>
      <c r="K80" s="37">
        <v>443.8</v>
      </c>
      <c r="L80" s="27">
        <f>IF(Q80&lt;='Specification &amp; Data'!I$7,1,IF(AND(Q80&gt;'Specification &amp; Data'!I$7,Q80&lt;='Specification &amp; Data'!I$8),2,IF(Q80&gt;'Specification &amp; Data'!I$8,3)))</f>
        <v>1</v>
      </c>
      <c r="M80" s="33">
        <v>2</v>
      </c>
      <c r="N80" s="33">
        <f t="shared" si="1"/>
        <v>75</v>
      </c>
      <c r="O80" s="27">
        <f>O79+(1/Simulation!Q80)</f>
        <v>25.133141812476051</v>
      </c>
      <c r="P80" s="38">
        <f>Simulation!Q80*3.6</f>
        <v>23.577903011723954</v>
      </c>
      <c r="Q80" s="38">
        <f>MIN('Specification &amp; Data'!I$9,SQRT(2*Simulation!R79+Simulation!Q79^2))</f>
        <v>6.5494175032566542</v>
      </c>
      <c r="R80" s="38">
        <f>Simulation!V80/Simulation!Y80</f>
        <v>0.95873599993852987</v>
      </c>
      <c r="S80" s="27">
        <f>'Specification &amp; Data'!B$21*'Specification &amp; Data'!B$11*'Specification &amp; Data'!B$23*(Simulation!Q80+'Specification &amp; Data'!B$22)^2/2</f>
        <v>36.236448693075147</v>
      </c>
      <c r="T80" s="27">
        <f>IF(AND(M80=1,L80=1),'Specification &amp; Data'!E$14,IF(AND(M80=1,L80=2),'Specification &amp; Data'!E$15,IF(AND(M80=1,L80=3),'Specification &amp; Data'!E$16,IF(AND(M80=2,L80=1),'Specification &amp; Data'!F$14,IF(AND(M80=2,L80=2),'Specification &amp; Data'!F$15,IF(AND(M80=2,L80=3),'Specification &amp; Data'!F$16,IF(AND(M80=3,L80=1),'Specification &amp; Data'!I$14,IF(AND(M80=3,L80=2),'Specification &amp; Data'!I$15,IF(AND(M80=3,L80=3),'Specification &amp; Data'!I$16)))))))))</f>
        <v>102.35950200000001</v>
      </c>
      <c r="U80" s="27">
        <f>IF(AND(M80=1,L80=1),'Specification &amp; Data'!E$24,IF(AND(M80=1,L80=2),'Specification &amp; Data'!E$25,IF(AND(M80=1,L80=3),'Specification &amp; Data'!E$26,IF(M80=2,0,IF(AND(M80=3,L80=1),'Specification &amp; Data'!I$24,IF(AND(M80=3,L80=2),'Specification &amp; Data'!I$25,IF(AND(M80=3,L80=3),'Specification &amp; Data'!I$26)))))))</f>
        <v>0</v>
      </c>
      <c r="V80" s="27">
        <f>'Specification &amp; Data'!B$46-Simulation!S80-Simulation!T80-Simulation!U80</f>
        <v>569.30546662975939</v>
      </c>
      <c r="W80" s="27">
        <f>Simulation!V80/Simulation!Y80</f>
        <v>0.95873599993852987</v>
      </c>
      <c r="X80" s="27">
        <f>60*Simulation!Q80/(2*'Specification &amp; Data'!B$15*PI())</f>
        <v>246.22964646044318</v>
      </c>
      <c r="Y80" s="27">
        <f>IF(L80=1,'Specification &amp; Data'!B$56,IF(L80=2,'Specification &amp; Data'!B$57,IF(L80=3,'Specification &amp; Data'!B$58)))</f>
        <v>593.80837547172621</v>
      </c>
      <c r="Z80" s="38">
        <f>Simulation!Y80*Simulation!Q80^2/(2*1000)</f>
        <v>12.735666426114198</v>
      </c>
    </row>
    <row r="81" spans="7:26">
      <c r="G81" s="44">
        <v>6600</v>
      </c>
      <c r="H81" s="44">
        <v>16.8</v>
      </c>
      <c r="I81" s="38">
        <f>Simulation!H81*746/1000</f>
        <v>12.532800000000002</v>
      </c>
      <c r="J81" s="38">
        <f>60*1000*Simulation!I81/(2*PI()*Simulation!G81)</f>
        <v>18.133246098019146</v>
      </c>
      <c r="K81" s="37">
        <v>443.8</v>
      </c>
      <c r="L81" s="27">
        <f>IF(Q81&lt;='Specification &amp; Data'!I$7,1,IF(AND(Q81&gt;'Specification &amp; Data'!I$7,Q81&lt;='Specification &amp; Data'!I$8),2,IF(Q81&gt;'Specification &amp; Data'!I$8,3)))</f>
        <v>1</v>
      </c>
      <c r="M81" s="33">
        <v>2</v>
      </c>
      <c r="N81" s="33">
        <f t="shared" si="1"/>
        <v>76</v>
      </c>
      <c r="O81" s="27">
        <f>O80+(1/Simulation!Q81)</f>
        <v>25.282524813832008</v>
      </c>
      <c r="P81" s="38">
        <f>Simulation!Q81*3.6</f>
        <v>24.09912752671076</v>
      </c>
      <c r="Q81" s="38">
        <f>MIN('Specification &amp; Data'!I$9,SQRT(2*Simulation!R80+Simulation!Q80^2))</f>
        <v>6.6942020907529889</v>
      </c>
      <c r="R81" s="38">
        <f>Simulation!V81/Simulation!Y81</f>
        <v>0.95670667165943135</v>
      </c>
      <c r="S81" s="27">
        <f>'Specification &amp; Data'!B$21*'Specification &amp; Data'!B$11*'Specification &amp; Data'!B$23*(Simulation!Q81+'Specification &amp; Data'!B$22)^2/2</f>
        <v>37.44148082178539</v>
      </c>
      <c r="T81" s="27">
        <f>IF(AND(M81=1,L81=1),'Specification &amp; Data'!E$14,IF(AND(M81=1,L81=2),'Specification &amp; Data'!E$15,IF(AND(M81=1,L81=3),'Specification &amp; Data'!E$16,IF(AND(M81=2,L81=1),'Specification &amp; Data'!F$14,IF(AND(M81=2,L81=2),'Specification &amp; Data'!F$15,IF(AND(M81=2,L81=3),'Specification &amp; Data'!F$16,IF(AND(M81=3,L81=1),'Specification &amp; Data'!I$14,IF(AND(M81=3,L81=2),'Specification &amp; Data'!I$15,IF(AND(M81=3,L81=3),'Specification &amp; Data'!I$16)))))))))</f>
        <v>102.35950200000001</v>
      </c>
      <c r="U81" s="27">
        <f>IF(AND(M81=1,L81=1),'Specification &amp; Data'!E$24,IF(AND(M81=1,L81=2),'Specification &amp; Data'!E$25,IF(AND(M81=1,L81=3),'Specification &amp; Data'!E$26,IF(M81=2,0,IF(AND(M81=3,L81=1),'Specification &amp; Data'!I$24,IF(AND(M81=3,L81=2),'Specification &amp; Data'!I$25,IF(AND(M81=3,L81=3),'Specification &amp; Data'!I$26)))))))</f>
        <v>0</v>
      </c>
      <c r="V81" s="27">
        <f>'Specification &amp; Data'!B$46-Simulation!S81-Simulation!T81-Simulation!U81</f>
        <v>568.10043450104911</v>
      </c>
      <c r="W81" s="27">
        <f>Simulation!V81/Simulation!Y81</f>
        <v>0.95670667165943135</v>
      </c>
      <c r="X81" s="27">
        <f>60*Simulation!Q81/(2*'Specification &amp; Data'!B$15*PI())</f>
        <v>251.67291798411938</v>
      </c>
      <c r="Y81" s="27">
        <f>IF(L81=1,'Specification &amp; Data'!B$56,IF(L81=2,'Specification &amp; Data'!B$57,IF(L81=3,'Specification &amp; Data'!B$58)))</f>
        <v>593.80837547172621</v>
      </c>
      <c r="Z81" s="38">
        <f>Simulation!Y81*Simulation!Q81^2/(2*1000)</f>
        <v>13.304971892743959</v>
      </c>
    </row>
    <row r="82" spans="7:26">
      <c r="G82" s="44">
        <v>6600</v>
      </c>
      <c r="H82" s="44">
        <v>16.8</v>
      </c>
      <c r="I82" s="38">
        <f>Simulation!H82*746/1000</f>
        <v>12.532800000000002</v>
      </c>
      <c r="J82" s="38">
        <f>60*1000*Simulation!I82/(2*PI()*Simulation!G82)</f>
        <v>18.133246098019146</v>
      </c>
      <c r="K82" s="37">
        <v>443.8</v>
      </c>
      <c r="L82" s="27">
        <f>IF(Q82&lt;='Specification &amp; Data'!I$7,1,IF(AND(Q82&gt;'Specification &amp; Data'!I$7,Q82&lt;='Specification &amp; Data'!I$8),2,IF(Q82&gt;'Specification &amp; Data'!I$8,3)))</f>
        <v>1</v>
      </c>
      <c r="M82" s="33">
        <v>2</v>
      </c>
      <c r="N82" s="33">
        <f t="shared" si="1"/>
        <v>77</v>
      </c>
      <c r="O82" s="27">
        <f>O81+(1/Simulation!Q82)</f>
        <v>25.428817237945516</v>
      </c>
      <c r="P82" s="38">
        <f>Simulation!Q82*3.6</f>
        <v>24.608246269860043</v>
      </c>
      <c r="Q82" s="38">
        <f>MIN('Specification &amp; Data'!I$9,SQRT(2*Simulation!R81+Simulation!Q81^2))</f>
        <v>6.8356239638500123</v>
      </c>
      <c r="R82" s="38">
        <f>Simulation!V82/Simulation!Y82</f>
        <v>0.95469243055495889</v>
      </c>
      <c r="S82" s="27">
        <f>'Specification &amp; Data'!B$21*'Specification &amp; Data'!B$11*'Specification &amp; Data'!B$23*(Simulation!Q82+'Specification &amp; Data'!B$22)^2/2</f>
        <v>38.637554059840561</v>
      </c>
      <c r="T82" s="27">
        <f>IF(AND(M82=1,L82=1),'Specification &amp; Data'!E$14,IF(AND(M82=1,L82=2),'Specification &amp; Data'!E$15,IF(AND(M82=1,L82=3),'Specification &amp; Data'!E$16,IF(AND(M82=2,L82=1),'Specification &amp; Data'!F$14,IF(AND(M82=2,L82=2),'Specification &amp; Data'!F$15,IF(AND(M82=2,L82=3),'Specification &amp; Data'!F$16,IF(AND(M82=3,L82=1),'Specification &amp; Data'!I$14,IF(AND(M82=3,L82=2),'Specification &amp; Data'!I$15,IF(AND(M82=3,L82=3),'Specification &amp; Data'!I$16)))))))))</f>
        <v>102.35950200000001</v>
      </c>
      <c r="U82" s="27">
        <f>IF(AND(M82=1,L82=1),'Specification &amp; Data'!E$24,IF(AND(M82=1,L82=2),'Specification &amp; Data'!E$25,IF(AND(M82=1,L82=3),'Specification &amp; Data'!E$26,IF(M82=2,0,IF(AND(M82=3,L82=1),'Specification &amp; Data'!I$24,IF(AND(M82=3,L82=2),'Specification &amp; Data'!I$25,IF(AND(M82=3,L82=3),'Specification &amp; Data'!I$26)))))))</f>
        <v>0</v>
      </c>
      <c r="V82" s="27">
        <f>'Specification &amp; Data'!B$46-Simulation!S82-Simulation!T82-Simulation!U82</f>
        <v>566.90436126299392</v>
      </c>
      <c r="W82" s="27">
        <f>Simulation!V82/Simulation!Y82</f>
        <v>0.95469243055495889</v>
      </c>
      <c r="X82" s="27">
        <f>60*Simulation!Q82/(2*'Specification &amp; Data'!B$15*PI())</f>
        <v>256.98976605452236</v>
      </c>
      <c r="Y82" s="27">
        <f>IF(L82=1,'Specification &amp; Data'!B$56,IF(L82=2,'Specification &amp; Data'!B$57,IF(L82=3,'Specification &amp; Data'!B$58)))</f>
        <v>593.80837547172621</v>
      </c>
      <c r="Z82" s="38">
        <f>Simulation!Y82*Simulation!Q82^2/(2*1000)</f>
        <v>13.873072327245008</v>
      </c>
    </row>
    <row r="83" spans="7:26">
      <c r="G83" s="44">
        <v>6600</v>
      </c>
      <c r="H83" s="44">
        <v>16.8</v>
      </c>
      <c r="I83" s="38">
        <f>Simulation!H83*746/1000</f>
        <v>12.532800000000002</v>
      </c>
      <c r="J83" s="38">
        <f>60*1000*Simulation!I83/(2*PI()*Simulation!G83)</f>
        <v>18.133246098019146</v>
      </c>
      <c r="K83" s="37">
        <v>443.8</v>
      </c>
      <c r="L83" s="27">
        <f>IF(Q83&lt;='Specification &amp; Data'!I$7,1,IF(AND(Q83&gt;'Specification &amp; Data'!I$7,Q83&lt;='Specification &amp; Data'!I$8),2,IF(Q83&gt;'Specification &amp; Data'!I$8,3)))</f>
        <v>1</v>
      </c>
      <c r="M83" s="33">
        <v>2</v>
      </c>
      <c r="N83" s="33">
        <f t="shared" si="1"/>
        <v>78</v>
      </c>
      <c r="O83" s="27">
        <f>O82+(1/Simulation!Q83)</f>
        <v>25.572209235738761</v>
      </c>
      <c r="P83" s="38">
        <f>Simulation!Q83*3.6</f>
        <v>25.106003510675798</v>
      </c>
      <c r="Q83" s="38">
        <f>MIN('Specification &amp; Data'!I$9,SQRT(2*Simulation!R82+Simulation!Q82^2))</f>
        <v>6.97388986407661</v>
      </c>
      <c r="R83" s="38">
        <f>Simulation!V83/Simulation!Y83</f>
        <v>0.95269252272285976</v>
      </c>
      <c r="S83" s="27">
        <f>'Specification &amp; Data'!B$21*'Specification &amp; Data'!B$11*'Specification &amp; Data'!B$23*(Simulation!Q83+'Specification &amp; Data'!B$22)^2/2</f>
        <v>39.825116080712469</v>
      </c>
      <c r="T83" s="27">
        <f>IF(AND(M83=1,L83=1),'Specification &amp; Data'!E$14,IF(AND(M83=1,L83=2),'Specification &amp; Data'!E$15,IF(AND(M83=1,L83=3),'Specification &amp; Data'!E$16,IF(AND(M83=2,L83=1),'Specification &amp; Data'!F$14,IF(AND(M83=2,L83=2),'Specification &amp; Data'!F$15,IF(AND(M83=2,L83=3),'Specification &amp; Data'!F$16,IF(AND(M83=3,L83=1),'Specification &amp; Data'!I$14,IF(AND(M83=3,L83=2),'Specification &amp; Data'!I$15,IF(AND(M83=3,L83=3),'Specification &amp; Data'!I$16)))))))))</f>
        <v>102.35950200000001</v>
      </c>
      <c r="U83" s="27">
        <f>IF(AND(M83=1,L83=1),'Specification &amp; Data'!E$24,IF(AND(M83=1,L83=2),'Specification &amp; Data'!E$25,IF(AND(M83=1,L83=3),'Specification &amp; Data'!E$26,IF(M83=2,0,IF(AND(M83=3,L83=1),'Specification &amp; Data'!I$24,IF(AND(M83=3,L83=2),'Specification &amp; Data'!I$25,IF(AND(M83=3,L83=3),'Specification &amp; Data'!I$26)))))))</f>
        <v>0</v>
      </c>
      <c r="V83" s="27">
        <f>'Specification &amp; Data'!B$46-Simulation!S83-Simulation!T83-Simulation!U83</f>
        <v>565.71679924212197</v>
      </c>
      <c r="W83" s="27">
        <f>Simulation!V83/Simulation!Y83</f>
        <v>0.95269252272285976</v>
      </c>
      <c r="X83" s="27">
        <f>60*Simulation!Q83/(2*'Specification &amp; Data'!B$15*PI())</f>
        <v>262.18796325502171</v>
      </c>
      <c r="Y83" s="27">
        <f>IF(L83=1,'Specification &amp; Data'!B$56,IF(L83=2,'Specification &amp; Data'!B$57,IF(L83=3,'Specification &amp; Data'!B$58)))</f>
        <v>593.80837547172621</v>
      </c>
      <c r="Z83" s="38">
        <f>Simulation!Y83*Simulation!Q83^2/(2*1000)</f>
        <v>14.439976688508004</v>
      </c>
    </row>
    <row r="84" spans="7:26">
      <c r="G84" s="44">
        <v>6600</v>
      </c>
      <c r="H84" s="44">
        <v>16.8</v>
      </c>
      <c r="I84" s="38">
        <f>Simulation!H84*746/1000</f>
        <v>12.532800000000002</v>
      </c>
      <c r="J84" s="38">
        <f>60*1000*Simulation!I84/(2*PI()*Simulation!G84)</f>
        <v>18.133246098019146</v>
      </c>
      <c r="K84" s="37">
        <v>443.8</v>
      </c>
      <c r="L84" s="27">
        <f>IF(Q84&lt;='Specification &amp; Data'!I$7,1,IF(AND(Q84&gt;'Specification &amp; Data'!I$7,Q84&lt;='Specification &amp; Data'!I$8),2,IF(Q84&gt;'Specification &amp; Data'!I$8,3)))</f>
        <v>1</v>
      </c>
      <c r="M84" s="33">
        <v>2</v>
      </c>
      <c r="N84" s="33">
        <f t="shared" si="1"/>
        <v>79</v>
      </c>
      <c r="O84" s="27">
        <f>O83+(1/Simulation!Q84)</f>
        <v>25.712872316847321</v>
      </c>
      <c r="P84" s="38">
        <f>Simulation!Q84*3.6</f>
        <v>25.59306942254176</v>
      </c>
      <c r="Q84" s="38">
        <f>MIN('Specification &amp; Data'!I$9,SQRT(2*Simulation!R83+Simulation!Q83^2))</f>
        <v>7.1091859507060438</v>
      </c>
      <c r="R84" s="38">
        <f>Simulation!V84/Simulation!Y84</f>
        <v>0.95070626813141967</v>
      </c>
      <c r="S84" s="27">
        <f>'Specification &amp; Data'!B$21*'Specification &amp; Data'!B$11*'Specification &amp; Data'!B$23*(Simulation!Q84+'Specification &amp; Data'!B$22)^2/2</f>
        <v>41.004570692928873</v>
      </c>
      <c r="T84" s="27">
        <f>IF(AND(M84=1,L84=1),'Specification &amp; Data'!E$14,IF(AND(M84=1,L84=2),'Specification &amp; Data'!E$15,IF(AND(M84=1,L84=3),'Specification &amp; Data'!E$16,IF(AND(M84=2,L84=1),'Specification &amp; Data'!F$14,IF(AND(M84=2,L84=2),'Specification &amp; Data'!F$15,IF(AND(M84=2,L84=3),'Specification &amp; Data'!F$16,IF(AND(M84=3,L84=1),'Specification &amp; Data'!I$14,IF(AND(M84=3,L84=2),'Specification &amp; Data'!I$15,IF(AND(M84=3,L84=3),'Specification &amp; Data'!I$16)))))))))</f>
        <v>102.35950200000001</v>
      </c>
      <c r="U84" s="27">
        <f>IF(AND(M84=1,L84=1),'Specification &amp; Data'!E$24,IF(AND(M84=1,L84=2),'Specification &amp; Data'!E$25,IF(AND(M84=1,L84=3),'Specification &amp; Data'!E$26,IF(M84=2,0,IF(AND(M84=3,L84=1),'Specification &amp; Data'!I$24,IF(AND(M84=3,L84=2),'Specification &amp; Data'!I$25,IF(AND(M84=3,L84=3),'Specification &amp; Data'!I$26)))))))</f>
        <v>0</v>
      </c>
      <c r="V84" s="27">
        <f>'Specification &amp; Data'!B$46-Simulation!S84-Simulation!T84-Simulation!U84</f>
        <v>564.53734462990565</v>
      </c>
      <c r="W84" s="27">
        <f>Simulation!V84/Simulation!Y84</f>
        <v>0.95070626813141967</v>
      </c>
      <c r="X84" s="27">
        <f>60*Simulation!Q84/(2*'Specification &amp; Data'!B$15*PI())</f>
        <v>267.27450836558791</v>
      </c>
      <c r="Y84" s="27">
        <f>IF(L84=1,'Specification &amp; Data'!B$56,IF(L84=2,'Specification &amp; Data'!B$57,IF(L84=3,'Specification &amp; Data'!B$58)))</f>
        <v>593.80837547172621</v>
      </c>
      <c r="Z84" s="38">
        <f>Simulation!Y84*Simulation!Q84^2/(2*1000)</f>
        <v>15.005693487750126</v>
      </c>
    </row>
    <row r="85" spans="7:26">
      <c r="G85" s="44">
        <v>6600</v>
      </c>
      <c r="H85" s="44">
        <v>16.8</v>
      </c>
      <c r="I85" s="38">
        <f>Simulation!H85*746/1000</f>
        <v>12.532800000000002</v>
      </c>
      <c r="J85" s="38">
        <f>60*1000*Simulation!I85/(2*PI()*Simulation!G85)</f>
        <v>18.133246098019146</v>
      </c>
      <c r="K85" s="37">
        <v>443.8</v>
      </c>
      <c r="L85" s="27">
        <f>IF(Q85&lt;='Specification &amp; Data'!I$7,1,IF(AND(Q85&gt;'Specification &amp; Data'!I$7,Q85&lt;='Specification &amp; Data'!I$8),2,IF(Q85&gt;'Specification &amp; Data'!I$8,3)))</f>
        <v>1</v>
      </c>
      <c r="M85" s="33">
        <v>2</v>
      </c>
      <c r="N85" s="33">
        <f t="shared" si="1"/>
        <v>80</v>
      </c>
      <c r="O85" s="27">
        <f>O84+(1/Simulation!Q85)</f>
        <v>25.850961810150043</v>
      </c>
      <c r="P85" s="38">
        <f>Simulation!Q85*3.6</f>
        <v>26.070050037102121</v>
      </c>
      <c r="Q85" s="38">
        <f>MIN('Specification &amp; Data'!I$9,SQRT(2*Simulation!R84+Simulation!Q84^2))</f>
        <v>7.2416805658617003</v>
      </c>
      <c r="R85" s="38">
        <f>Simulation!V85/Simulation!Y85</f>
        <v>0.948733050738791</v>
      </c>
      <c r="S85" s="27">
        <f>'Specification &amp; Data'!B$21*'Specification &amp; Data'!B$11*'Specification &amp; Data'!B$23*(Simulation!Q85+'Specification &amp; Data'!B$22)^2/2</f>
        <v>42.176283707298261</v>
      </c>
      <c r="T85" s="27">
        <f>IF(AND(M85=1,L85=1),'Specification &amp; Data'!E$14,IF(AND(M85=1,L85=2),'Specification &amp; Data'!E$15,IF(AND(M85=1,L85=3),'Specification &amp; Data'!E$16,IF(AND(M85=2,L85=1),'Specification &amp; Data'!F$14,IF(AND(M85=2,L85=2),'Specification &amp; Data'!F$15,IF(AND(M85=2,L85=3),'Specification &amp; Data'!F$16,IF(AND(M85=3,L85=1),'Specification &amp; Data'!I$14,IF(AND(M85=3,L85=2),'Specification &amp; Data'!I$15,IF(AND(M85=3,L85=3),'Specification &amp; Data'!I$16)))))))))</f>
        <v>102.35950200000001</v>
      </c>
      <c r="U85" s="27">
        <f>IF(AND(M85=1,L85=1),'Specification &amp; Data'!E$24,IF(AND(M85=1,L85=2),'Specification &amp; Data'!E$25,IF(AND(M85=1,L85=3),'Specification &amp; Data'!E$26,IF(M85=2,0,IF(AND(M85=3,L85=1),'Specification &amp; Data'!I$24,IF(AND(M85=3,L85=2),'Specification &amp; Data'!I$25,IF(AND(M85=3,L85=3),'Specification &amp; Data'!I$26)))))))</f>
        <v>0</v>
      </c>
      <c r="V85" s="27">
        <f>'Specification &amp; Data'!B$46-Simulation!S85-Simulation!T85-Simulation!U85</f>
        <v>563.36563161553624</v>
      </c>
      <c r="W85" s="27">
        <f>Simulation!V85/Simulation!Y85</f>
        <v>0.948733050738791</v>
      </c>
      <c r="X85" s="27">
        <f>60*Simulation!Q85/(2*'Specification &amp; Data'!B$15*PI())</f>
        <v>272.25573031875672</v>
      </c>
      <c r="Y85" s="27">
        <f>IF(L85=1,'Specification &amp; Data'!B$56,IF(L85=2,'Specification &amp; Data'!B$57,IF(L85=3,'Specification &amp; Data'!B$58)))</f>
        <v>593.80837547172621</v>
      </c>
      <c r="Z85" s="38">
        <f>Simulation!Y85*Simulation!Q85^2/(2*1000)</f>
        <v>15.570230832380032</v>
      </c>
    </row>
    <row r="86" spans="7:26">
      <c r="G86" s="44">
        <v>6600</v>
      </c>
      <c r="H86" s="44">
        <v>16.8</v>
      </c>
      <c r="I86" s="38">
        <f>Simulation!H86*746/1000</f>
        <v>12.532800000000002</v>
      </c>
      <c r="J86" s="38">
        <f>60*1000*Simulation!I86/(2*PI()*Simulation!G86)</f>
        <v>18.133246098019146</v>
      </c>
      <c r="K86" s="37">
        <v>443.8</v>
      </c>
      <c r="L86" s="27">
        <f>IF(Q86&lt;='Specification &amp; Data'!I$7,1,IF(AND(Q86&gt;'Specification &amp; Data'!I$7,Q86&lt;='Specification &amp; Data'!I$8),2,IF(Q86&gt;'Specification &amp; Data'!I$8,3)))</f>
        <v>1</v>
      </c>
      <c r="M86" s="33">
        <v>2</v>
      </c>
      <c r="N86" s="33">
        <f t="shared" si="1"/>
        <v>81</v>
      </c>
      <c r="O86" s="27">
        <f>O85+(1/Simulation!Q86)</f>
        <v>25.986618921966713</v>
      </c>
      <c r="P86" s="38">
        <f>Simulation!Q86*3.6</f>
        <v>26.537495541443953</v>
      </c>
      <c r="Q86" s="38">
        <f>MIN('Specification &amp; Data'!I$9,SQRT(2*Simulation!R85+Simulation!Q85^2))</f>
        <v>7.3715265392899871</v>
      </c>
      <c r="R86" s="38">
        <f>Simulation!V86/Simulation!Y86</f>
        <v>0.94677231025342301</v>
      </c>
      <c r="S86" s="27">
        <f>'Specification &amp; Data'!B$21*'Specification &amp; Data'!B$11*'Specification &amp; Data'!B$23*(Simulation!Q86+'Specification &amp; Data'!B$22)^2/2</f>
        <v>43.340587829636149</v>
      </c>
      <c r="T86" s="27">
        <f>IF(AND(M86=1,L86=1),'Specification &amp; Data'!E$14,IF(AND(M86=1,L86=2),'Specification &amp; Data'!E$15,IF(AND(M86=1,L86=3),'Specification &amp; Data'!E$16,IF(AND(M86=2,L86=1),'Specification &amp; Data'!F$14,IF(AND(M86=2,L86=2),'Specification &amp; Data'!F$15,IF(AND(M86=2,L86=3),'Specification &amp; Data'!F$16,IF(AND(M86=3,L86=1),'Specification &amp; Data'!I$14,IF(AND(M86=3,L86=2),'Specification &amp; Data'!I$15,IF(AND(M86=3,L86=3),'Specification &amp; Data'!I$16)))))))))</f>
        <v>102.35950200000001</v>
      </c>
      <c r="U86" s="27">
        <f>IF(AND(M86=1,L86=1),'Specification &amp; Data'!E$24,IF(AND(M86=1,L86=2),'Specification &amp; Data'!E$25,IF(AND(M86=1,L86=3),'Specification &amp; Data'!E$26,IF(M86=2,0,IF(AND(M86=3,L86=1),'Specification &amp; Data'!I$24,IF(AND(M86=3,L86=2),'Specification &amp; Data'!I$25,IF(AND(M86=3,L86=3),'Specification &amp; Data'!I$26)))))))</f>
        <v>0</v>
      </c>
      <c r="V86" s="27">
        <f>'Specification &amp; Data'!B$46-Simulation!S86-Simulation!T86-Simulation!U86</f>
        <v>562.20132749319828</v>
      </c>
      <c r="W86" s="27">
        <f>Simulation!V86/Simulation!Y86</f>
        <v>0.94677231025342301</v>
      </c>
      <c r="X86" s="27">
        <f>60*Simulation!Q86/(2*'Specification &amp; Data'!B$15*PI())</f>
        <v>277.13737484907733</v>
      </c>
      <c r="Y86" s="27">
        <f>IF(L86=1,'Specification &amp; Data'!B$56,IF(L86=2,'Specification &amp; Data'!B$57,IF(L86=3,'Specification &amp; Data'!B$58)))</f>
        <v>593.80837547172621</v>
      </c>
      <c r="Z86" s="38">
        <f>Simulation!Y86*Simulation!Q86^2/(2*1000)</f>
        <v>16.133596463995566</v>
      </c>
    </row>
    <row r="87" spans="7:26">
      <c r="G87" s="44">
        <v>6600</v>
      </c>
      <c r="H87" s="44">
        <v>16.8</v>
      </c>
      <c r="I87" s="38">
        <f>Simulation!H87*746/1000</f>
        <v>12.532800000000002</v>
      </c>
      <c r="J87" s="38">
        <f>60*1000*Simulation!I87/(2*PI()*Simulation!G87)</f>
        <v>18.133246098019146</v>
      </c>
      <c r="K87" s="37">
        <v>443.8</v>
      </c>
      <c r="L87" s="27">
        <f>IF(Q87&lt;='Specification &amp; Data'!I$7,1,IF(AND(Q87&gt;'Specification &amp; Data'!I$7,Q87&lt;='Specification &amp; Data'!I$8),2,IF(Q87&gt;'Specification &amp; Data'!I$8,3)))</f>
        <v>1</v>
      </c>
      <c r="M87" s="33">
        <v>2</v>
      </c>
      <c r="N87" s="33">
        <f t="shared" si="1"/>
        <v>82</v>
      </c>
      <c r="O87" s="27">
        <f>O86+(1/Simulation!Q87)</f>
        <v>26.119972469507921</v>
      </c>
      <c r="P87" s="38">
        <f>Simulation!Q87*3.6</f>
        <v>26.995907243393887</v>
      </c>
      <c r="Q87" s="38">
        <f>MIN('Specification &amp; Data'!I$9,SQRT(2*Simulation!R86+Simulation!Q86^2))</f>
        <v>7.4988631231649681</v>
      </c>
      <c r="R87" s="38">
        <f>Simulation!V87/Simulation!Y87</f>
        <v>0.94482353521391094</v>
      </c>
      <c r="S87" s="27">
        <f>'Specification &amp; Data'!B$21*'Specification &amp; Data'!B$11*'Specification &amp; Data'!B$23*(Simulation!Q87+'Specification &amp; Data'!B$22)^2/2</f>
        <v>44.49778677000868</v>
      </c>
      <c r="T87" s="27">
        <f>IF(AND(M87=1,L87=1),'Specification &amp; Data'!E$14,IF(AND(M87=1,L87=2),'Specification &amp; Data'!E$15,IF(AND(M87=1,L87=3),'Specification &amp; Data'!E$16,IF(AND(M87=2,L87=1),'Specification &amp; Data'!F$14,IF(AND(M87=2,L87=2),'Specification &amp; Data'!F$15,IF(AND(M87=2,L87=3),'Specification &amp; Data'!F$16,IF(AND(M87=3,L87=1),'Specification &amp; Data'!I$14,IF(AND(M87=3,L87=2),'Specification &amp; Data'!I$15,IF(AND(M87=3,L87=3),'Specification &amp; Data'!I$16)))))))))</f>
        <v>102.35950200000001</v>
      </c>
      <c r="U87" s="27">
        <f>IF(AND(M87=1,L87=1),'Specification &amp; Data'!E$24,IF(AND(M87=1,L87=2),'Specification &amp; Data'!E$25,IF(AND(M87=1,L87=3),'Specification &amp; Data'!E$26,IF(M87=2,0,IF(AND(M87=3,L87=1),'Specification &amp; Data'!I$24,IF(AND(M87=3,L87=2),'Specification &amp; Data'!I$25,IF(AND(M87=3,L87=3),'Specification &amp; Data'!I$26)))))))</f>
        <v>0</v>
      </c>
      <c r="V87" s="27">
        <f>'Specification &amp; Data'!B$46-Simulation!S87-Simulation!T87-Simulation!U87</f>
        <v>561.04412855282578</v>
      </c>
      <c r="W87" s="27">
        <f>Simulation!V87/Simulation!Y87</f>
        <v>0.94482353521391094</v>
      </c>
      <c r="X87" s="27">
        <f>60*Simulation!Q87/(2*'Specification &amp; Data'!B$15*PI())</f>
        <v>281.92467723336216</v>
      </c>
      <c r="Y87" s="27">
        <f>IF(L87=1,'Specification &amp; Data'!B$56,IF(L87=2,'Specification &amp; Data'!B$57,IF(L87=3,'Specification &amp; Data'!B$58)))</f>
        <v>593.80837547172621</v>
      </c>
      <c r="Z87" s="38">
        <f>Simulation!Y87*Simulation!Q87^2/(2*1000)</f>
        <v>16.695797791488769</v>
      </c>
    </row>
    <row r="88" spans="7:26">
      <c r="G88" s="44">
        <v>6600</v>
      </c>
      <c r="H88" s="44">
        <v>16.8</v>
      </c>
      <c r="I88" s="38">
        <f>Simulation!H88*746/1000</f>
        <v>12.532800000000002</v>
      </c>
      <c r="J88" s="38">
        <f>60*1000*Simulation!I88/(2*PI()*Simulation!G88)</f>
        <v>18.133246098019146</v>
      </c>
      <c r="K88" s="37">
        <v>443.8</v>
      </c>
      <c r="L88" s="27">
        <f>IF(Q88&lt;='Specification &amp; Data'!I$7,1,IF(AND(Q88&gt;'Specification &amp; Data'!I$7,Q88&lt;='Specification &amp; Data'!I$8),2,IF(Q88&gt;'Specification &amp; Data'!I$8,3)))</f>
        <v>2</v>
      </c>
      <c r="M88" s="33">
        <v>2</v>
      </c>
      <c r="N88" s="33">
        <f t="shared" si="1"/>
        <v>83</v>
      </c>
      <c r="O88" s="27">
        <f>O87+(1/Simulation!Q88)</f>
        <v>26.251140350079066</v>
      </c>
      <c r="P88" s="38">
        <f>Simulation!Q88*3.6</f>
        <v>27.445743457350012</v>
      </c>
      <c r="Q88" s="38">
        <f>MIN('Specification &amp; Data'!I$9,SQRT(2*Simulation!R87+Simulation!Q87^2))</f>
        <v>7.62381762704167</v>
      </c>
      <c r="R88" s="38">
        <f>Simulation!V88/Simulation!Y88</f>
        <v>0.95652240695160562</v>
      </c>
      <c r="S88" s="27">
        <f>'Specification &amp; Data'!B$21*'Specification &amp; Data'!B$11*'Specification &amp; Data'!B$23*(Simulation!Q88+'Specification &amp; Data'!B$22)^2/2</f>
        <v>45.648158716752754</v>
      </c>
      <c r="T88" s="27">
        <f>IF(AND(M88=1,L88=1),'Specification &amp; Data'!E$14,IF(AND(M88=1,L88=2),'Specification &amp; Data'!E$15,IF(AND(M88=1,L88=3),'Specification &amp; Data'!E$16,IF(AND(M88=2,L88=1),'Specification &amp; Data'!F$14,IF(AND(M88=2,L88=2),'Specification &amp; Data'!F$15,IF(AND(M88=2,L88=3),'Specification &amp; Data'!F$16,IF(AND(M88=3,L88=1),'Specification &amp; Data'!I$14,IF(AND(M88=3,L88=2),'Specification &amp; Data'!I$15,IF(AND(M88=3,L88=3),'Specification &amp; Data'!I$16)))))))))</f>
        <v>102.35950200000001</v>
      </c>
      <c r="U88" s="27">
        <f>IF(AND(M88=1,L88=1),'Specification &amp; Data'!E$24,IF(AND(M88=1,L88=2),'Specification &amp; Data'!E$25,IF(AND(M88=1,L88=3),'Specification &amp; Data'!E$26,IF(M88=2,0,IF(AND(M88=3,L88=1),'Specification &amp; Data'!I$24,IF(AND(M88=3,L88=2),'Specification &amp; Data'!I$25,IF(AND(M88=3,L88=3),'Specification &amp; Data'!I$26)))))))</f>
        <v>0</v>
      </c>
      <c r="V88" s="27">
        <f>'Specification &amp; Data'!B$46-Simulation!S88-Simulation!T88-Simulation!U88</f>
        <v>559.89375660608175</v>
      </c>
      <c r="W88" s="27">
        <f>Simulation!V88/Simulation!Y88</f>
        <v>0.95652240695160562</v>
      </c>
      <c r="X88" s="27">
        <f>60*Simulation!Q88/(2*'Specification &amp; Data'!B$15*PI())</f>
        <v>286.62242375782807</v>
      </c>
      <c r="Y88" s="27">
        <f>IF(L88=1,'Specification &amp; Data'!B$56,IF(L88=2,'Specification &amp; Data'!B$57,IF(L88=3,'Specification &amp; Data'!B$58)))</f>
        <v>585.34306414257276</v>
      </c>
      <c r="Z88" s="38">
        <f>Simulation!Y88*Simulation!Q88^2/(2*1000)</f>
        <v>17.010828988184429</v>
      </c>
    </row>
    <row r="89" spans="7:26">
      <c r="G89" s="44">
        <v>7000</v>
      </c>
      <c r="H89" s="44">
        <v>12.45</v>
      </c>
      <c r="I89" s="38">
        <f>Simulation!H89*746/1000</f>
        <v>9.2876999999999992</v>
      </c>
      <c r="J89" s="38">
        <f>60*1000*Simulation!I89/(2*PI()*Simulation!G89)</f>
        <v>12.670143128182255</v>
      </c>
      <c r="K89" s="37">
        <v>443.8</v>
      </c>
      <c r="L89" s="27">
        <f>IF(Q89&lt;='Specification &amp; Data'!I$7,1,IF(AND(Q89&gt;'Specification &amp; Data'!I$7,Q89&lt;='Specification &amp; Data'!I$8),2,IF(Q89&gt;'Specification &amp; Data'!I$8,3)))</f>
        <v>2</v>
      </c>
      <c r="M89" s="33">
        <v>2</v>
      </c>
      <c r="N89" s="33">
        <f t="shared" si="1"/>
        <v>84</v>
      </c>
      <c r="O89" s="27">
        <f>O88+(1/Simulation!Q89)</f>
        <v>26.380201469464552</v>
      </c>
      <c r="P89" s="38">
        <f>Simulation!Q89*3.6</f>
        <v>27.893760856414769</v>
      </c>
      <c r="Q89" s="38">
        <f>MIN('Specification &amp; Data'!I$9,SQRT(2*Simulation!R88+Simulation!Q88^2))</f>
        <v>7.7482669045596575</v>
      </c>
      <c r="R89" s="38">
        <f>Simulation!V89/Simulation!Y89</f>
        <v>0.95454012926710707</v>
      </c>
      <c r="S89" s="27">
        <f>'Specification &amp; Data'!B$21*'Specification &amp; Data'!B$11*'Specification &amp; Data'!B$23*(Simulation!Q89+'Specification &amp; Data'!B$22)^2/2</f>
        <v>46.808471210578595</v>
      </c>
      <c r="T89" s="27">
        <f>IF(AND(M89=1,L89=1),'Specification &amp; Data'!E$14,IF(AND(M89=1,L89=2),'Specification &amp; Data'!E$15,IF(AND(M89=1,L89=3),'Specification &amp; Data'!E$16,IF(AND(M89=2,L89=1),'Specification &amp; Data'!F$14,IF(AND(M89=2,L89=2),'Specification &amp; Data'!F$15,IF(AND(M89=2,L89=3),'Specification &amp; Data'!F$16,IF(AND(M89=3,L89=1),'Specification &amp; Data'!I$14,IF(AND(M89=3,L89=2),'Specification &amp; Data'!I$15,IF(AND(M89=3,L89=3),'Specification &amp; Data'!I$16)))))))))</f>
        <v>102.35950200000001</v>
      </c>
      <c r="U89" s="27">
        <f>IF(AND(M89=1,L89=1),'Specification &amp; Data'!E$24,IF(AND(M89=1,L89=2),'Specification &amp; Data'!E$25,IF(AND(M89=1,L89=3),'Specification &amp; Data'!E$26,IF(M89=2,0,IF(AND(M89=3,L89=1),'Specification &amp; Data'!I$24,IF(AND(M89=3,L89=2),'Specification &amp; Data'!I$25,IF(AND(M89=3,L89=3),'Specification &amp; Data'!I$26)))))))</f>
        <v>0</v>
      </c>
      <c r="V89" s="27">
        <f>'Specification &amp; Data'!B$46-Simulation!S89-Simulation!T89-Simulation!U89</f>
        <v>558.73344411225594</v>
      </c>
      <c r="W89" s="27">
        <f>Simulation!V89/Simulation!Y89</f>
        <v>0.95454012926710707</v>
      </c>
      <c r="X89" s="27">
        <f>60*Simulation!Q89/(2*'Specification &amp; Data'!B$15*PI())</f>
        <v>291.3011759659862</v>
      </c>
      <c r="Y89" s="27">
        <f>IF(L89=1,'Specification &amp; Data'!B$56,IF(L89=2,'Specification &amp; Data'!B$57,IF(L89=3,'Specification &amp; Data'!B$58)))</f>
        <v>585.34306414257276</v>
      </c>
      <c r="Z89" s="38">
        <f>Simulation!Y89*Simulation!Q89^2/(2*1000)</f>
        <v>17.570722744790508</v>
      </c>
    </row>
    <row r="90" spans="7:26">
      <c r="G90" s="44">
        <v>7000</v>
      </c>
      <c r="H90" s="44">
        <v>12.45</v>
      </c>
      <c r="I90" s="38">
        <f>Simulation!H90*746/1000</f>
        <v>9.2876999999999992</v>
      </c>
      <c r="J90" s="38">
        <f>60*1000*Simulation!I90/(2*PI()*Simulation!G90)</f>
        <v>12.670143128182255</v>
      </c>
      <c r="K90" s="37">
        <v>443.8</v>
      </c>
      <c r="L90" s="27">
        <f>IF(Q90&lt;='Specification &amp; Data'!I$7,1,IF(AND(Q90&gt;'Specification &amp; Data'!I$7,Q90&lt;='Specification &amp; Data'!I$8),2,IF(Q90&gt;'Specification &amp; Data'!I$8,3)))</f>
        <v>2</v>
      </c>
      <c r="M90" s="33">
        <v>2</v>
      </c>
      <c r="N90" s="33">
        <f t="shared" si="1"/>
        <v>85</v>
      </c>
      <c r="O90" s="27">
        <f>O89+(1/Simulation!Q90)</f>
        <v>26.507258251539461</v>
      </c>
      <c r="P90" s="38">
        <f>Simulation!Q90*3.6</f>
        <v>28.333788572399918</v>
      </c>
      <c r="Q90" s="38">
        <f>MIN('Specification &amp; Data'!I$9,SQRT(2*Simulation!R89+Simulation!Q89^2))</f>
        <v>7.8704968256666437</v>
      </c>
      <c r="R90" s="38">
        <f>Simulation!V90/Simulation!Y90</f>
        <v>0.95256898574027049</v>
      </c>
      <c r="S90" s="27">
        <f>'Specification &amp; Data'!B$21*'Specification &amp; Data'!B$11*'Specification &amp; Data'!B$23*(Simulation!Q90+'Specification &amp; Data'!B$22)^2/2</f>
        <v>47.962266402441905</v>
      </c>
      <c r="T90" s="27">
        <f>IF(AND(M90=1,L90=1),'Specification &amp; Data'!E$14,IF(AND(M90=1,L90=2),'Specification &amp; Data'!E$15,IF(AND(M90=1,L90=3),'Specification &amp; Data'!E$16,IF(AND(M90=2,L90=1),'Specification &amp; Data'!F$14,IF(AND(M90=2,L90=2),'Specification &amp; Data'!F$15,IF(AND(M90=2,L90=3),'Specification &amp; Data'!F$16,IF(AND(M90=3,L90=1),'Specification &amp; Data'!I$14,IF(AND(M90=3,L90=2),'Specification &amp; Data'!I$15,IF(AND(M90=3,L90=3),'Specification &amp; Data'!I$16)))))))))</f>
        <v>102.35950200000001</v>
      </c>
      <c r="U90" s="27">
        <f>IF(AND(M90=1,L90=1),'Specification &amp; Data'!E$24,IF(AND(M90=1,L90=2),'Specification &amp; Data'!E$25,IF(AND(M90=1,L90=3),'Specification &amp; Data'!E$26,IF(M90=2,0,IF(AND(M90=3,L90=1),'Specification &amp; Data'!I$24,IF(AND(M90=3,L90=2),'Specification &amp; Data'!I$25,IF(AND(M90=3,L90=3),'Specification &amp; Data'!I$26)))))))</f>
        <v>0</v>
      </c>
      <c r="V90" s="27">
        <f>'Specification &amp; Data'!B$46-Simulation!S90-Simulation!T90-Simulation!U90</f>
        <v>557.57964892039263</v>
      </c>
      <c r="W90" s="27">
        <f>Simulation!V90/Simulation!Y90</f>
        <v>0.95256898574027049</v>
      </c>
      <c r="X90" s="27">
        <f>60*Simulation!Q90/(2*'Specification &amp; Data'!B$15*PI())</f>
        <v>295.89649001431121</v>
      </c>
      <c r="Y90" s="27">
        <f>IF(L90=1,'Specification &amp; Data'!B$56,IF(L90=2,'Specification &amp; Data'!B$57,IF(L90=3,'Specification &amp; Data'!B$58)))</f>
        <v>585.34306414257276</v>
      </c>
      <c r="Z90" s="38">
        <f>Simulation!Y90*Simulation!Q90^2/(2*1000)</f>
        <v>18.129456188902768</v>
      </c>
    </row>
    <row r="91" spans="7:26">
      <c r="G91" s="44">
        <v>6900</v>
      </c>
      <c r="H91" s="44">
        <v>12.97</v>
      </c>
      <c r="I91" s="38">
        <f>Simulation!H91*746/1000</f>
        <v>9.6756200000000003</v>
      </c>
      <c r="J91" s="38">
        <f>60*1000*Simulation!I91/(2*PI()*Simulation!G91)</f>
        <v>13.390632612859172</v>
      </c>
      <c r="K91" s="37">
        <v>469.7</v>
      </c>
      <c r="L91" s="27">
        <f>IF(Q91&lt;='Specification &amp; Data'!I$7,1,IF(AND(Q91&gt;'Specification &amp; Data'!I$7,Q91&lt;='Specification &amp; Data'!I$8),2,IF(Q91&gt;'Specification &amp; Data'!I$8,3)))</f>
        <v>2</v>
      </c>
      <c r="M91" s="33">
        <v>2</v>
      </c>
      <c r="N91" s="33">
        <f t="shared" si="1"/>
        <v>86</v>
      </c>
      <c r="O91" s="27">
        <f>O90+(1/Simulation!Q91)</f>
        <v>26.632405132822306</v>
      </c>
      <c r="P91" s="38">
        <f>Simulation!Q91*3.6</f>
        <v>28.766198271162772</v>
      </c>
      <c r="Q91" s="38">
        <f>MIN('Specification &amp; Data'!I$9,SQRT(2*Simulation!R90+Simulation!Q90^2))</f>
        <v>7.9906106308785469</v>
      </c>
      <c r="R91" s="38">
        <f>Simulation!V91/Simulation!Y91</f>
        <v>0.95060858866738795</v>
      </c>
      <c r="S91" s="27">
        <f>'Specification &amp; Data'!B$21*'Specification &amp; Data'!B$11*'Specification &amp; Data'!B$23*(Simulation!Q91+'Specification &amp; Data'!B$22)^2/2</f>
        <v>49.109771232019042</v>
      </c>
      <c r="T91" s="27">
        <f>IF(AND(M91=1,L91=1),'Specification &amp; Data'!E$14,IF(AND(M91=1,L91=2),'Specification &amp; Data'!E$15,IF(AND(M91=1,L91=3),'Specification &amp; Data'!E$16,IF(AND(M91=2,L91=1),'Specification &amp; Data'!F$14,IF(AND(M91=2,L91=2),'Specification &amp; Data'!F$15,IF(AND(M91=2,L91=3),'Specification &amp; Data'!F$16,IF(AND(M91=3,L91=1),'Specification &amp; Data'!I$14,IF(AND(M91=3,L91=2),'Specification &amp; Data'!I$15,IF(AND(M91=3,L91=3),'Specification &amp; Data'!I$16)))))))))</f>
        <v>102.35950200000001</v>
      </c>
      <c r="U91" s="27">
        <f>IF(AND(M91=1,L91=1),'Specification &amp; Data'!E$24,IF(AND(M91=1,L91=2),'Specification &amp; Data'!E$25,IF(AND(M91=1,L91=3),'Specification &amp; Data'!E$26,IF(M91=2,0,IF(AND(M91=3,L91=1),'Specification &amp; Data'!I$24,IF(AND(M91=3,L91=2),'Specification &amp; Data'!I$25,IF(AND(M91=3,L91=3),'Specification &amp; Data'!I$26)))))))</f>
        <v>0</v>
      </c>
      <c r="V91" s="27">
        <f>'Specification &amp; Data'!B$46-Simulation!S91-Simulation!T91-Simulation!U91</f>
        <v>556.43214409081543</v>
      </c>
      <c r="W91" s="27">
        <f>Simulation!V91/Simulation!Y91</f>
        <v>0.95060858866738795</v>
      </c>
      <c r="X91" s="27">
        <f>60*Simulation!Q91/(2*'Specification &amp; Data'!B$15*PI())</f>
        <v>300.4122472977092</v>
      </c>
      <c r="Y91" s="27">
        <f>IF(L91=1,'Specification &amp; Data'!B$56,IF(L91=2,'Specification &amp; Data'!B$57,IF(L91=3,'Specification &amp; Data'!B$58)))</f>
        <v>585.34306414257276</v>
      </c>
      <c r="Z91" s="38">
        <f>Simulation!Y91*Simulation!Q91^2/(2*1000)</f>
        <v>18.687035837823156</v>
      </c>
    </row>
    <row r="92" spans="7:26">
      <c r="G92" s="44">
        <v>6900</v>
      </c>
      <c r="H92" s="44">
        <v>12.97</v>
      </c>
      <c r="I92" s="38">
        <f>Simulation!H92*746/1000</f>
        <v>9.6756200000000003</v>
      </c>
      <c r="J92" s="38">
        <f>60*1000*Simulation!I92/(2*PI()*Simulation!G92)</f>
        <v>13.390632612859172</v>
      </c>
      <c r="K92" s="37">
        <v>469.7</v>
      </c>
      <c r="L92" s="27">
        <f>IF(Q92&lt;='Specification &amp; Data'!I$7,1,IF(AND(Q92&gt;'Specification &amp; Data'!I$7,Q92&lt;='Specification &amp; Data'!I$8),2,IF(Q92&gt;'Specification &amp; Data'!I$8,3)))</f>
        <v>2</v>
      </c>
      <c r="M92" s="33">
        <v>2</v>
      </c>
      <c r="N92" s="33">
        <f t="shared" si="1"/>
        <v>87</v>
      </c>
      <c r="O92" s="27">
        <f>O91+(1/Simulation!Q92)</f>
        <v>26.755729407453043</v>
      </c>
      <c r="P92" s="38">
        <f>Simulation!Q92*3.6</f>
        <v>29.191333261673861</v>
      </c>
      <c r="Q92" s="38">
        <f>MIN('Specification &amp; Data'!I$9,SQRT(2*Simulation!R91+Simulation!Q91^2))</f>
        <v>8.1087036837982946</v>
      </c>
      <c r="R92" s="38">
        <f>Simulation!V92/Simulation!Y92</f>
        <v>0.94865857918347873</v>
      </c>
      <c r="S92" s="27">
        <f>'Specification &amp; Data'!B$21*'Specification &amp; Data'!B$11*'Specification &amp; Data'!B$23*(Simulation!Q92+'Specification &amp; Data'!B$22)^2/2</f>
        <v>50.251195758437532</v>
      </c>
      <c r="T92" s="27">
        <f>IF(AND(M92=1,L92=1),'Specification &amp; Data'!E$14,IF(AND(M92=1,L92=2),'Specification &amp; Data'!E$15,IF(AND(M92=1,L92=3),'Specification &amp; Data'!E$16,IF(AND(M92=2,L92=1),'Specification &amp; Data'!F$14,IF(AND(M92=2,L92=2),'Specification &amp; Data'!F$15,IF(AND(M92=2,L92=3),'Specification &amp; Data'!F$16,IF(AND(M92=3,L92=1),'Specification &amp; Data'!I$14,IF(AND(M92=3,L92=2),'Specification &amp; Data'!I$15,IF(AND(M92=3,L92=3),'Specification &amp; Data'!I$16)))))))))</f>
        <v>102.35950200000001</v>
      </c>
      <c r="U92" s="27">
        <f>IF(AND(M92=1,L92=1),'Specification &amp; Data'!E$24,IF(AND(M92=1,L92=2),'Specification &amp; Data'!E$25,IF(AND(M92=1,L92=3),'Specification &amp; Data'!E$26,IF(M92=2,0,IF(AND(M92=3,L92=1),'Specification &amp; Data'!I$24,IF(AND(M92=3,L92=2),'Specification &amp; Data'!I$25,IF(AND(M92=3,L92=3),'Specification &amp; Data'!I$26)))))))</f>
        <v>0</v>
      </c>
      <c r="V92" s="27">
        <f>'Specification &amp; Data'!B$46-Simulation!S92-Simulation!T92-Simulation!U92</f>
        <v>555.29071956439691</v>
      </c>
      <c r="W92" s="27">
        <f>Simulation!V92/Simulation!Y92</f>
        <v>0.94865857918347873</v>
      </c>
      <c r="X92" s="27">
        <f>60*Simulation!Q92/(2*'Specification &amp; Data'!B$15*PI())</f>
        <v>304.85203307337633</v>
      </c>
      <c r="Y92" s="27">
        <f>IF(L92=1,'Specification &amp; Data'!B$56,IF(L92=2,'Specification &amp; Data'!B$57,IF(L92=3,'Specification &amp; Data'!B$58)))</f>
        <v>585.34306414257276</v>
      </c>
      <c r="Z92" s="38">
        <f>Simulation!Y92*Simulation!Q92^2/(2*1000)</f>
        <v>19.243467981913977</v>
      </c>
    </row>
    <row r="93" spans="7:26">
      <c r="G93" s="44">
        <v>6900</v>
      </c>
      <c r="H93" s="44">
        <v>12.97</v>
      </c>
      <c r="I93" s="38">
        <f>Simulation!H93*746/1000</f>
        <v>9.6756200000000003</v>
      </c>
      <c r="J93" s="38">
        <f>60*1000*Simulation!I93/(2*PI()*Simulation!G93)</f>
        <v>13.390632612859172</v>
      </c>
      <c r="K93" s="37">
        <v>469.1</v>
      </c>
      <c r="L93" s="27">
        <f>IF(Q93&lt;='Specification &amp; Data'!I$7,1,IF(AND(Q93&gt;'Specification &amp; Data'!I$7,Q93&lt;='Specification &amp; Data'!I$8),2,IF(Q93&gt;'Specification &amp; Data'!I$8,3)))</f>
        <v>2</v>
      </c>
      <c r="M93" s="33">
        <v>2</v>
      </c>
      <c r="N93" s="33">
        <f t="shared" si="1"/>
        <v>88</v>
      </c>
      <c r="O93" s="27">
        <f>O92+(1/Simulation!Q93)</f>
        <v>26.877311960639695</v>
      </c>
      <c r="P93" s="38">
        <f>Simulation!Q93*3.6</f>
        <v>29.609511444239377</v>
      </c>
      <c r="Q93" s="38">
        <f>MIN('Specification &amp; Data'!I$9,SQRT(2*Simulation!R92+Simulation!Q92^2))</f>
        <v>8.2248642900664937</v>
      </c>
      <c r="R93" s="38">
        <f>Simulation!V93/Simulation!Y93</f>
        <v>0.94671862428239562</v>
      </c>
      <c r="S93" s="27">
        <f>'Specification &amp; Data'!B$21*'Specification &amp; Data'!B$11*'Specification &amp; Data'!B$23*(Simulation!Q93+'Specification &amp; Data'!B$22)^2/2</f>
        <v>51.386734904535984</v>
      </c>
      <c r="T93" s="27">
        <f>IF(AND(M93=1,L93=1),'Specification &amp; Data'!E$14,IF(AND(M93=1,L93=2),'Specification &amp; Data'!E$15,IF(AND(M93=1,L93=3),'Specification &amp; Data'!E$16,IF(AND(M93=2,L93=1),'Specification &amp; Data'!F$14,IF(AND(M93=2,L93=2),'Specification &amp; Data'!F$15,IF(AND(M93=2,L93=3),'Specification &amp; Data'!F$16,IF(AND(M93=3,L93=1),'Specification &amp; Data'!I$14,IF(AND(M93=3,L93=2),'Specification &amp; Data'!I$15,IF(AND(M93=3,L93=3),'Specification &amp; Data'!I$16)))))))))</f>
        <v>102.35950200000001</v>
      </c>
      <c r="U93" s="27">
        <f>IF(AND(M93=1,L93=1),'Specification &amp; Data'!E$24,IF(AND(M93=1,L93=2),'Specification &amp; Data'!E$25,IF(AND(M93=1,L93=3),'Specification &amp; Data'!E$26,IF(M93=2,0,IF(AND(M93=3,L93=1),'Specification &amp; Data'!I$24,IF(AND(M93=3,L93=2),'Specification &amp; Data'!I$25,IF(AND(M93=3,L93=3),'Specification &amp; Data'!I$26)))))))</f>
        <v>0</v>
      </c>
      <c r="V93" s="27">
        <f>'Specification &amp; Data'!B$46-Simulation!S93-Simulation!T93-Simulation!U93</f>
        <v>554.15518041829853</v>
      </c>
      <c r="W93" s="27">
        <f>Simulation!V93/Simulation!Y93</f>
        <v>0.94671862428239562</v>
      </c>
      <c r="X93" s="27">
        <f>60*Simulation!Q93/(2*'Specification &amp; Data'!B$15*PI())</f>
        <v>309.21916724978621</v>
      </c>
      <c r="Y93" s="27">
        <f>IF(L93=1,'Specification &amp; Data'!B$56,IF(L93=2,'Specification &amp; Data'!B$57,IF(L93=3,'Specification &amp; Data'!B$58)))</f>
        <v>585.34306414257276</v>
      </c>
      <c r="Z93" s="38">
        <f>Simulation!Y93*Simulation!Q93^2/(2*1000)</f>
        <v>19.798758701478377</v>
      </c>
    </row>
    <row r="94" spans="7:26">
      <c r="G94" s="44">
        <v>6900</v>
      </c>
      <c r="H94" s="44">
        <v>12.97</v>
      </c>
      <c r="I94" s="38">
        <f>Simulation!H94*746/1000</f>
        <v>9.6756200000000003</v>
      </c>
      <c r="J94" s="38">
        <f>60*1000*Simulation!I94/(2*PI()*Simulation!G94)</f>
        <v>13.390632612859172</v>
      </c>
      <c r="K94" s="37">
        <v>469.1</v>
      </c>
      <c r="L94" s="27">
        <f>IF(Q94&lt;='Specification &amp; Data'!I$7,1,IF(AND(Q94&gt;'Specification &amp; Data'!I$7,Q94&lt;='Specification &amp; Data'!I$8),2,IF(Q94&gt;'Specification &amp; Data'!I$8,3)))</f>
        <v>2</v>
      </c>
      <c r="M94" s="33">
        <v>2</v>
      </c>
      <c r="N94" s="33">
        <f t="shared" si="1"/>
        <v>89</v>
      </c>
      <c r="O94" s="27">
        <f>O93+(1/Simulation!Q94)</f>
        <v>26.997227908052182</v>
      </c>
      <c r="P94" s="38">
        <f>Simulation!Q94*3.6</f>
        <v>30.021027875606499</v>
      </c>
      <c r="Q94" s="38">
        <f>MIN('Specification &amp; Data'!I$9,SQRT(2*Simulation!R93+Simulation!Q93^2))</f>
        <v>8.3391744098906937</v>
      </c>
      <c r="R94" s="38">
        <f>Simulation!V94/Simulation!Y94</f>
        <v>0.94478841422293036</v>
      </c>
      <c r="S94" s="27">
        <f>'Specification &amp; Data'!B$21*'Specification &amp; Data'!B$11*'Specification &amp; Data'!B$23*(Simulation!Q94+'Specification &amp; Data'!B$22)^2/2</f>
        <v>52.516569975182158</v>
      </c>
      <c r="T94" s="27">
        <f>IF(AND(M94=1,L94=1),'Specification &amp; Data'!E$14,IF(AND(M94=1,L94=2),'Specification &amp; Data'!E$15,IF(AND(M94=1,L94=3),'Specification &amp; Data'!E$16,IF(AND(M94=2,L94=1),'Specification &amp; Data'!F$14,IF(AND(M94=2,L94=2),'Specification &amp; Data'!F$15,IF(AND(M94=2,L94=3),'Specification &amp; Data'!F$16,IF(AND(M94=3,L94=1),'Specification &amp; Data'!I$14,IF(AND(M94=3,L94=2),'Specification &amp; Data'!I$15,IF(AND(M94=3,L94=3),'Specification &amp; Data'!I$16)))))))))</f>
        <v>102.35950200000001</v>
      </c>
      <c r="U94" s="27">
        <f>IF(AND(M94=1,L94=1),'Specification &amp; Data'!E$24,IF(AND(M94=1,L94=2),'Specification &amp; Data'!E$25,IF(AND(M94=1,L94=3),'Specification &amp; Data'!E$26,IF(M94=2,0,IF(AND(M94=3,L94=1),'Specification &amp; Data'!I$24,IF(AND(M94=3,L94=2),'Specification &amp; Data'!I$25,IF(AND(M94=3,L94=3),'Specification &amp; Data'!I$26)))))))</f>
        <v>0</v>
      </c>
      <c r="V94" s="27">
        <f>'Specification &amp; Data'!B$46-Simulation!S94-Simulation!T94-Simulation!U94</f>
        <v>553.02534534765232</v>
      </c>
      <c r="W94" s="27">
        <f>Simulation!V94/Simulation!Y94</f>
        <v>0.94478841422293036</v>
      </c>
      <c r="X94" s="27">
        <f>60*Simulation!Q94/(2*'Specification &amp; Data'!B$15*PI())</f>
        <v>313.51673117469528</v>
      </c>
      <c r="Y94" s="27">
        <f>IF(L94=1,'Specification &amp; Data'!B$56,IF(L94=2,'Specification &amp; Data'!B$57,IF(L94=3,'Specification &amp; Data'!B$58)))</f>
        <v>585.34306414257276</v>
      </c>
      <c r="Z94" s="38">
        <f>Simulation!Y94*Simulation!Q94^2/(2*1000)</f>
        <v>20.352913881896676</v>
      </c>
    </row>
    <row r="95" spans="7:26">
      <c r="G95" s="44">
        <v>6900</v>
      </c>
      <c r="H95" s="44">
        <v>12.97</v>
      </c>
      <c r="I95" s="38">
        <f>Simulation!H95*746/1000</f>
        <v>9.6756200000000003</v>
      </c>
      <c r="J95" s="38">
        <f>60*1000*Simulation!I95/(2*PI()*Simulation!G95)</f>
        <v>13.390632612859172</v>
      </c>
      <c r="K95" s="37">
        <v>469.1</v>
      </c>
      <c r="L95" s="27">
        <f>IF(Q95&lt;='Specification &amp; Data'!I$7,1,IF(AND(Q95&gt;'Specification &amp; Data'!I$7,Q95&lt;='Specification &amp; Data'!I$8),2,IF(Q95&gt;'Specification &amp; Data'!I$8,3)))</f>
        <v>2</v>
      </c>
      <c r="M95" s="33">
        <v>2</v>
      </c>
      <c r="N95" s="33">
        <f t="shared" si="1"/>
        <v>90</v>
      </c>
      <c r="O95" s="27">
        <f>O94+(1/Simulation!Q95)</f>
        <v>27.115547155494518</v>
      </c>
      <c r="P95" s="38">
        <f>Simulation!Q95*3.6</f>
        <v>30.426157010122076</v>
      </c>
      <c r="Q95" s="38">
        <f>MIN('Specification &amp; Data'!I$9,SQRT(2*Simulation!R94+Simulation!Q94^2))</f>
        <v>8.4517102805894648</v>
      </c>
      <c r="R95" s="38">
        <f>Simulation!V95/Simulation!Y95</f>
        <v>0.94286766026142377</v>
      </c>
      <c r="S95" s="27">
        <f>'Specification &amp; Data'!B$21*'Specification &amp; Data'!B$11*'Specification &amp; Data'!B$23*(Simulation!Q95+'Specification &amp; Data'!B$22)^2/2</f>
        <v>53.640869984474421</v>
      </c>
      <c r="T95" s="27">
        <f>IF(AND(M95=1,L95=1),'Specification &amp; Data'!E$14,IF(AND(M95=1,L95=2),'Specification &amp; Data'!E$15,IF(AND(M95=1,L95=3),'Specification &amp; Data'!E$16,IF(AND(M95=2,L95=1),'Specification &amp; Data'!F$14,IF(AND(M95=2,L95=2),'Specification &amp; Data'!F$15,IF(AND(M95=2,L95=3),'Specification &amp; Data'!F$16,IF(AND(M95=3,L95=1),'Specification &amp; Data'!I$14,IF(AND(M95=3,L95=2),'Specification &amp; Data'!I$15,IF(AND(M95=3,L95=3),'Specification &amp; Data'!I$16)))))))))</f>
        <v>102.35950200000001</v>
      </c>
      <c r="U95" s="27">
        <f>IF(AND(M95=1,L95=1),'Specification &amp; Data'!E$24,IF(AND(M95=1,L95=2),'Specification &amp; Data'!E$25,IF(AND(M95=1,L95=3),'Specification &amp; Data'!E$26,IF(M95=2,0,IF(AND(M95=3,L95=1),'Specification &amp; Data'!I$24,IF(AND(M95=3,L95=2),'Specification &amp; Data'!I$25,IF(AND(M95=3,L95=3),'Specification &amp; Data'!I$26)))))))</f>
        <v>0</v>
      </c>
      <c r="V95" s="27">
        <f>'Specification &amp; Data'!B$46-Simulation!S95-Simulation!T95-Simulation!U95</f>
        <v>551.90104533836006</v>
      </c>
      <c r="W95" s="27">
        <f>Simulation!V95/Simulation!Y95</f>
        <v>0.94286766026142377</v>
      </c>
      <c r="X95" s="27">
        <f>60*Simulation!Q95/(2*'Specification &amp; Data'!B$15*PI())</f>
        <v>317.74759104009519</v>
      </c>
      <c r="Y95" s="27">
        <f>IF(L95=1,'Specification &amp; Data'!B$56,IF(L95=2,'Specification &amp; Data'!B$57,IF(L95=3,'Specification &amp; Data'!B$58)))</f>
        <v>585.34306414257276</v>
      </c>
      <c r="Z95" s="38">
        <f>Simulation!Y95*Simulation!Q95^2/(2*1000)</f>
        <v>20.905939227244325</v>
      </c>
    </row>
    <row r="96" spans="7:26">
      <c r="G96" s="44">
        <v>6900</v>
      </c>
      <c r="H96" s="44">
        <v>12.97</v>
      </c>
      <c r="I96" s="38">
        <f>Simulation!H96*746/1000</f>
        <v>9.6756200000000003</v>
      </c>
      <c r="J96" s="38">
        <f>60*1000*Simulation!I96/(2*PI()*Simulation!G96)</f>
        <v>13.390632612859172</v>
      </c>
      <c r="K96" s="37">
        <v>469.1</v>
      </c>
      <c r="L96" s="27">
        <f>IF(Q96&lt;='Specification &amp; Data'!I$7,1,IF(AND(Q96&gt;'Specification &amp; Data'!I$7,Q96&lt;='Specification &amp; Data'!I$8),2,IF(Q96&gt;'Specification &amp; Data'!I$8,3)))</f>
        <v>2</v>
      </c>
      <c r="M96" s="33">
        <v>2</v>
      </c>
      <c r="N96" s="33">
        <f t="shared" si="1"/>
        <v>91</v>
      </c>
      <c r="O96" s="27">
        <f>O95+(1/Simulation!Q96)</f>
        <v>27.23233489067551</v>
      </c>
      <c r="P96" s="38">
        <f>Simulation!Q96*3.6</f>
        <v>30.825154665606735</v>
      </c>
      <c r="Q96" s="38">
        <f>MIN('Specification &amp; Data'!I$9,SQRT(2*Simulation!R95+Simulation!Q95^2))</f>
        <v>8.5625429626685374</v>
      </c>
      <c r="R96" s="38">
        <f>Simulation!V96/Simulation!Y96</f>
        <v>0.94095609266193259</v>
      </c>
      <c r="S96" s="27">
        <f>'Specification &amp; Data'!B$21*'Specification &amp; Data'!B$11*'Specification &amp; Data'!B$23*(Simulation!Q96+'Specification &amp; Data'!B$22)^2/2</f>
        <v>54.759792820476257</v>
      </c>
      <c r="T96" s="27">
        <f>IF(AND(M96=1,L96=1),'Specification &amp; Data'!E$14,IF(AND(M96=1,L96=2),'Specification &amp; Data'!E$15,IF(AND(M96=1,L96=3),'Specification &amp; Data'!E$16,IF(AND(M96=2,L96=1),'Specification &amp; Data'!F$14,IF(AND(M96=2,L96=2),'Specification &amp; Data'!F$15,IF(AND(M96=2,L96=3),'Specification &amp; Data'!F$16,IF(AND(M96=3,L96=1),'Specification &amp; Data'!I$14,IF(AND(M96=3,L96=2),'Specification &amp; Data'!I$15,IF(AND(M96=3,L96=3),'Specification &amp; Data'!I$16)))))))))</f>
        <v>102.35950200000001</v>
      </c>
      <c r="U96" s="27">
        <f>IF(AND(M96=1,L96=1),'Specification &amp; Data'!E$24,IF(AND(M96=1,L96=2),'Specification &amp; Data'!E$25,IF(AND(M96=1,L96=3),'Specification &amp; Data'!E$26,IF(M96=2,0,IF(AND(M96=3,L96=1),'Specification &amp; Data'!I$24,IF(AND(M96=3,L96=2),'Specification &amp; Data'!I$25,IF(AND(M96=3,L96=3),'Specification &amp; Data'!I$26)))))))</f>
        <v>0</v>
      </c>
      <c r="V96" s="27">
        <f>'Specification &amp; Data'!B$46-Simulation!S96-Simulation!T96-Simulation!U96</f>
        <v>550.78212250235822</v>
      </c>
      <c r="W96" s="27">
        <f>Simulation!V96/Simulation!Y96</f>
        <v>0.94095609266193259</v>
      </c>
      <c r="X96" s="27">
        <f>60*Simulation!Q96/(2*'Specification &amp; Data'!B$15*PI())</f>
        <v>321.91441841230392</v>
      </c>
      <c r="Y96" s="27">
        <f>IF(L96=1,'Specification &amp; Data'!B$56,IF(L96=2,'Specification &amp; Data'!B$57,IF(L96=3,'Specification &amp; Data'!B$58)))</f>
        <v>585.34306414257276</v>
      </c>
      <c r="Z96" s="38">
        <f>Simulation!Y96*Simulation!Q96^2/(2*1000)</f>
        <v>21.457840272582686</v>
      </c>
    </row>
    <row r="97" spans="7:26">
      <c r="G97" s="44">
        <v>6900</v>
      </c>
      <c r="H97" s="44">
        <v>12.97</v>
      </c>
      <c r="I97" s="38">
        <f>Simulation!H97*746/1000</f>
        <v>9.6756200000000003</v>
      </c>
      <c r="J97" s="38">
        <f>60*1000*Simulation!I97/(2*PI()*Simulation!G97)</f>
        <v>13.390632612859172</v>
      </c>
      <c r="K97" s="37">
        <v>469.1</v>
      </c>
      <c r="L97" s="27">
        <f>IF(Q97&lt;='Specification &amp; Data'!I$7,1,IF(AND(Q97&gt;'Specification &amp; Data'!I$7,Q97&lt;='Specification &amp; Data'!I$8),2,IF(Q97&gt;'Specification &amp; Data'!I$8,3)))</f>
        <v>2</v>
      </c>
      <c r="M97" s="33">
        <v>2</v>
      </c>
      <c r="N97" s="33">
        <f t="shared" si="1"/>
        <v>92</v>
      </c>
      <c r="O97" s="27">
        <f>O96+(1/Simulation!Q97)</f>
        <v>27.347652016881312</v>
      </c>
      <c r="P97" s="38">
        <f>Simulation!Q97*3.6</f>
        <v>31.218259754194726</v>
      </c>
      <c r="Q97" s="38">
        <f>MIN('Specification &amp; Data'!I$9,SQRT(2*Simulation!R96+Simulation!Q96^2))</f>
        <v>8.6717388206096455</v>
      </c>
      <c r="R97" s="38">
        <f>Simulation!V97/Simulation!Y97</f>
        <v>0.93905345894346004</v>
      </c>
      <c r="S97" s="27">
        <f>'Specification &amp; Data'!B$21*'Specification &amp; Data'!B$11*'Specification &amp; Data'!B$23*(Simulation!Q97+'Specification &amp; Data'!B$22)^2/2</f>
        <v>55.873486271188021</v>
      </c>
      <c r="T97" s="27">
        <f>IF(AND(M97=1,L97=1),'Specification &amp; Data'!E$14,IF(AND(M97=1,L97=2),'Specification &amp; Data'!E$15,IF(AND(M97=1,L97=3),'Specification &amp; Data'!E$16,IF(AND(M97=2,L97=1),'Specification &amp; Data'!F$14,IF(AND(M97=2,L97=2),'Specification &amp; Data'!F$15,IF(AND(M97=2,L97=3),'Specification &amp; Data'!F$16,IF(AND(M97=3,L97=1),'Specification &amp; Data'!I$14,IF(AND(M97=3,L97=2),'Specification &amp; Data'!I$15,IF(AND(M97=3,L97=3),'Specification &amp; Data'!I$16)))))))))</f>
        <v>102.35950200000001</v>
      </c>
      <c r="U97" s="27">
        <f>IF(AND(M97=1,L97=1),'Specification &amp; Data'!E$24,IF(AND(M97=1,L97=2),'Specification &amp; Data'!E$25,IF(AND(M97=1,L97=3),'Specification &amp; Data'!E$26,IF(M97=2,0,IF(AND(M97=3,L97=1),'Specification &amp; Data'!I$24,IF(AND(M97=3,L97=2),'Specification &amp; Data'!I$25,IF(AND(M97=3,L97=3),'Specification &amp; Data'!I$26)))))))</f>
        <v>0</v>
      </c>
      <c r="V97" s="27">
        <f>'Specification &amp; Data'!B$46-Simulation!S97-Simulation!T97-Simulation!U97</f>
        <v>549.66842905164651</v>
      </c>
      <c r="W97" s="27">
        <f>Simulation!V97/Simulation!Y97</f>
        <v>0.93905345894346004</v>
      </c>
      <c r="X97" s="27">
        <f>60*Simulation!Q97/(2*'Specification &amp; Data'!B$15*PI())</f>
        <v>326.01970830753726</v>
      </c>
      <c r="Y97" s="27">
        <f>IF(L97=1,'Specification &amp; Data'!B$56,IF(L97=2,'Specification &amp; Data'!B$57,IF(L97=3,'Specification &amp; Data'!B$58)))</f>
        <v>585.34306414257276</v>
      </c>
      <c r="Z97" s="38">
        <f>Simulation!Y97*Simulation!Q97^2/(2*1000)</f>
        <v>22.008622395085048</v>
      </c>
    </row>
    <row r="98" spans="7:26">
      <c r="G98" s="44">
        <v>6800</v>
      </c>
      <c r="H98" s="44">
        <v>13.48</v>
      </c>
      <c r="I98" s="38">
        <f>Simulation!H98*746/1000</f>
        <v>10.05608</v>
      </c>
      <c r="J98" s="38">
        <f>60*1000*Simulation!I98/(2*PI()*Simulation!G98)</f>
        <v>14.121836824654824</v>
      </c>
      <c r="K98" s="37">
        <v>469.1</v>
      </c>
      <c r="L98" s="27">
        <f>IF(Q98&lt;='Specification &amp; Data'!I$7,1,IF(AND(Q98&gt;'Specification &amp; Data'!I$7,Q98&lt;='Specification &amp; Data'!I$8),2,IF(Q98&gt;'Specification &amp; Data'!I$8,3)))</f>
        <v>2</v>
      </c>
      <c r="M98" s="33">
        <v>2</v>
      </c>
      <c r="N98" s="33">
        <f t="shared" si="1"/>
        <v>93</v>
      </c>
      <c r="O98" s="27">
        <f>O97+(1/Simulation!Q98)</f>
        <v>27.461555536723367</v>
      </c>
      <c r="P98" s="38">
        <f>Simulation!Q98*3.6</f>
        <v>31.605695811612637</v>
      </c>
      <c r="Q98" s="38">
        <f>MIN('Specification &amp; Data'!I$9,SQRT(2*Simulation!R97+Simulation!Q97^2))</f>
        <v>8.7793599476701765</v>
      </c>
      <c r="R98" s="38">
        <f>Simulation!V98/Simulation!Y98</f>
        <v>0.93715952233056021</v>
      </c>
      <c r="S98" s="27">
        <f>'Specification &amp; Data'!B$21*'Specification &amp; Data'!B$11*'Specification &amp; Data'!B$23*(Simulation!Q98+'Specification &amp; Data'!B$22)^2/2</f>
        <v>56.982088931474522</v>
      </c>
      <c r="T98" s="27">
        <f>IF(AND(M98=1,L98=1),'Specification &amp; Data'!E$14,IF(AND(M98=1,L98=2),'Specification &amp; Data'!E$15,IF(AND(M98=1,L98=3),'Specification &amp; Data'!E$16,IF(AND(M98=2,L98=1),'Specification &amp; Data'!F$14,IF(AND(M98=2,L98=2),'Specification &amp; Data'!F$15,IF(AND(M98=2,L98=3),'Specification &amp; Data'!F$16,IF(AND(M98=3,L98=1),'Specification &amp; Data'!I$14,IF(AND(M98=3,L98=2),'Specification &amp; Data'!I$15,IF(AND(M98=3,L98=3),'Specification &amp; Data'!I$16)))))))))</f>
        <v>102.35950200000001</v>
      </c>
      <c r="U98" s="27">
        <f>IF(AND(M98=1,L98=1),'Specification &amp; Data'!E$24,IF(AND(M98=1,L98=2),'Specification &amp; Data'!E$25,IF(AND(M98=1,L98=3),'Specification &amp; Data'!E$26,IF(M98=2,0,IF(AND(M98=3,L98=1),'Specification &amp; Data'!I$24,IF(AND(M98=3,L98=2),'Specification &amp; Data'!I$25,IF(AND(M98=3,L98=3),'Specification &amp; Data'!I$26)))))))</f>
        <v>0</v>
      </c>
      <c r="V98" s="27">
        <f>'Specification &amp; Data'!B$46-Simulation!S98-Simulation!T98-Simulation!U98</f>
        <v>548.55982639135993</v>
      </c>
      <c r="W98" s="27">
        <f>Simulation!V98/Simulation!Y98</f>
        <v>0.93715952233056021</v>
      </c>
      <c r="X98" s="27">
        <f>60*Simulation!Q98/(2*'Specification &amp; Data'!B$15*PI())</f>
        <v>330.06579516253043</v>
      </c>
      <c r="Y98" s="27">
        <f>IF(L98=1,'Specification &amp; Data'!B$56,IF(L98=2,'Specification &amp; Data'!B$57,IF(L98=3,'Specification &amp; Data'!B$58)))</f>
        <v>585.34306414257276</v>
      </c>
      <c r="Z98" s="38">
        <f>Simulation!Y98*Simulation!Q98^2/(2*1000)</f>
        <v>22.558290824136691</v>
      </c>
    </row>
    <row r="99" spans="7:26">
      <c r="G99" s="44">
        <v>6800</v>
      </c>
      <c r="H99" s="44">
        <v>13.48</v>
      </c>
      <c r="I99" s="38">
        <f>Simulation!H99*746/1000</f>
        <v>10.05608</v>
      </c>
      <c r="J99" s="38">
        <f>60*1000*Simulation!I99/(2*PI()*Simulation!G99)</f>
        <v>14.121836824654824</v>
      </c>
      <c r="K99" s="37">
        <v>469.1</v>
      </c>
      <c r="L99" s="27">
        <f>IF(Q99&lt;='Specification &amp; Data'!I$7,1,IF(AND(Q99&gt;'Specification &amp; Data'!I$7,Q99&lt;='Specification &amp; Data'!I$8),2,IF(Q99&gt;'Specification &amp; Data'!I$8,3)))</f>
        <v>2</v>
      </c>
      <c r="M99" s="33">
        <v>2</v>
      </c>
      <c r="N99" s="33">
        <f t="shared" si="1"/>
        <v>94</v>
      </c>
      <c r="O99" s="27">
        <f>O98+(1/Simulation!Q99)</f>
        <v>27.574098892810238</v>
      </c>
      <c r="P99" s="38">
        <f>Simulation!Q99*3.6</f>
        <v>31.987672352876768</v>
      </c>
      <c r="Q99" s="38">
        <f>MIN('Specification &amp; Data'!I$9,SQRT(2*Simulation!R98+Simulation!Q98^2))</f>
        <v>8.885464542465769</v>
      </c>
      <c r="R99" s="38">
        <f>Simulation!V99/Simulation!Y99</f>
        <v>0.93527406037915162</v>
      </c>
      <c r="S99" s="27">
        <f>'Specification &amp; Data'!B$21*'Specification &amp; Data'!B$11*'Specification &amp; Data'!B$23*(Simulation!Q99+'Specification &amp; Data'!B$22)^2/2</f>
        <v>58.085731007436216</v>
      </c>
      <c r="T99" s="27">
        <f>IF(AND(M99=1,L99=1),'Specification &amp; Data'!E$14,IF(AND(M99=1,L99=2),'Specification &amp; Data'!E$15,IF(AND(M99=1,L99=3),'Specification &amp; Data'!E$16,IF(AND(M99=2,L99=1),'Specification &amp; Data'!F$14,IF(AND(M99=2,L99=2),'Specification &amp; Data'!F$15,IF(AND(M99=2,L99=3),'Specification &amp; Data'!F$16,IF(AND(M99=3,L99=1),'Specification &amp; Data'!I$14,IF(AND(M99=3,L99=2),'Specification &amp; Data'!I$15,IF(AND(M99=3,L99=3),'Specification &amp; Data'!I$16)))))))))</f>
        <v>102.35950200000001</v>
      </c>
      <c r="U99" s="27">
        <f>IF(AND(M99=1,L99=1),'Specification &amp; Data'!E$24,IF(AND(M99=1,L99=2),'Specification &amp; Data'!E$25,IF(AND(M99=1,L99=3),'Specification &amp; Data'!E$26,IF(M99=2,0,IF(AND(M99=3,L99=1),'Specification &amp; Data'!I$24,IF(AND(M99=3,L99=2),'Specification &amp; Data'!I$25,IF(AND(M99=3,L99=3),'Specification &amp; Data'!I$26)))))))</f>
        <v>0</v>
      </c>
      <c r="V99" s="27">
        <f>'Specification &amp; Data'!B$46-Simulation!S99-Simulation!T99-Simulation!U99</f>
        <v>547.45618431539822</v>
      </c>
      <c r="W99" s="27">
        <f>Simulation!V99/Simulation!Y99</f>
        <v>0.93527406037915162</v>
      </c>
      <c r="X99" s="27">
        <f>60*Simulation!Q99/(2*'Specification &amp; Data'!B$15*PI())</f>
        <v>334.05486699240788</v>
      </c>
      <c r="Y99" s="27">
        <f>IF(L99=1,'Specification &amp; Data'!B$56,IF(L99=2,'Specification &amp; Data'!B$57,IF(L99=3,'Specification &amp; Data'!B$58)))</f>
        <v>585.34306414257276</v>
      </c>
      <c r="Z99" s="38">
        <f>Simulation!Y99*Simulation!Q99^2/(2*1000)</f>
        <v>23.106850650528056</v>
      </c>
    </row>
    <row r="100" spans="7:26">
      <c r="G100" s="44">
        <v>6800</v>
      </c>
      <c r="H100" s="44">
        <v>13.48</v>
      </c>
      <c r="I100" s="38">
        <f>Simulation!H100*746/1000</f>
        <v>10.05608</v>
      </c>
      <c r="J100" s="38">
        <f>60*1000*Simulation!I100/(2*PI()*Simulation!G100)</f>
        <v>14.121836824654824</v>
      </c>
      <c r="K100" s="37">
        <v>469.1</v>
      </c>
      <c r="L100" s="27">
        <f>IF(Q100&lt;='Specification &amp; Data'!I$7,1,IF(AND(Q100&gt;'Specification &amp; Data'!I$7,Q100&lt;='Specification &amp; Data'!I$8),2,IF(Q100&gt;'Specification &amp; Data'!I$8,3)))</f>
        <v>2</v>
      </c>
      <c r="M100" s="33">
        <v>2</v>
      </c>
      <c r="N100" s="33">
        <f t="shared" si="1"/>
        <v>95</v>
      </c>
      <c r="O100" s="27">
        <f>O99+(1/Simulation!Q100)</f>
        <v>27.685332271108649</v>
      </c>
      <c r="P100" s="38">
        <f>Simulation!Q100*3.6</f>
        <v>32.364386077910147</v>
      </c>
      <c r="Q100" s="38">
        <f>MIN('Specification &amp; Data'!I$9,SQRT(2*Simulation!R99+Simulation!Q99^2))</f>
        <v>8.99010724386393</v>
      </c>
      <c r="R100" s="38">
        <f>Simulation!V100/Simulation!Y100</f>
        <v>0.93339686375387054</v>
      </c>
      <c r="S100" s="27">
        <f>'Specification &amp; Data'!B$21*'Specification &amp; Data'!B$11*'Specification &amp; Data'!B$23*(Simulation!Q100+'Specification &amp; Data'!B$22)^2/2</f>
        <v>59.184535032076397</v>
      </c>
      <c r="T100" s="27">
        <f>IF(AND(M100=1,L100=1),'Specification &amp; Data'!E$14,IF(AND(M100=1,L100=2),'Specification &amp; Data'!E$15,IF(AND(M100=1,L100=3),'Specification &amp; Data'!E$16,IF(AND(M100=2,L100=1),'Specification &amp; Data'!F$14,IF(AND(M100=2,L100=2),'Specification &amp; Data'!F$15,IF(AND(M100=2,L100=3),'Specification &amp; Data'!F$16,IF(AND(M100=3,L100=1),'Specification &amp; Data'!I$14,IF(AND(M100=3,L100=2),'Specification &amp; Data'!I$15,IF(AND(M100=3,L100=3),'Specification &amp; Data'!I$16)))))))))</f>
        <v>102.35950200000001</v>
      </c>
      <c r="U100" s="27">
        <f>IF(AND(M100=1,L100=1),'Specification &amp; Data'!E$24,IF(AND(M100=1,L100=2),'Specification &amp; Data'!E$25,IF(AND(M100=1,L100=3),'Specification &amp; Data'!E$26,IF(M100=2,0,IF(AND(M100=3,L100=1),'Specification &amp; Data'!I$24,IF(AND(M100=3,L100=2),'Specification &amp; Data'!I$25,IF(AND(M100=3,L100=3),'Specification &amp; Data'!I$26)))))))</f>
        <v>0</v>
      </c>
      <c r="V100" s="27">
        <f>'Specification &amp; Data'!B$46-Simulation!S100-Simulation!T100-Simulation!U100</f>
        <v>546.3573802907581</v>
      </c>
      <c r="W100" s="27">
        <f>Simulation!V100/Simulation!Y100</f>
        <v>0.93339686375387054</v>
      </c>
      <c r="X100" s="27">
        <f>60*Simulation!Q100/(2*'Specification &amp; Data'!B$15*PI())</f>
        <v>337.98897798122835</v>
      </c>
      <c r="Y100" s="27">
        <f>IF(L100=1,'Specification &amp; Data'!B$56,IF(L100=2,'Specification &amp; Data'!B$57,IF(L100=3,'Specification &amp; Data'!B$58)))</f>
        <v>585.34306414257276</v>
      </c>
      <c r="Z100" s="38">
        <f>Simulation!Y100*Simulation!Q100^2/(2*1000)</f>
        <v>23.65430683484345</v>
      </c>
    </row>
    <row r="101" spans="7:26">
      <c r="G101" s="44">
        <v>6800</v>
      </c>
      <c r="H101" s="44">
        <v>13.48</v>
      </c>
      <c r="I101" s="38">
        <f>Simulation!H101*746/1000</f>
        <v>10.05608</v>
      </c>
      <c r="J101" s="38">
        <f>60*1000*Simulation!I101/(2*PI()*Simulation!G101)</f>
        <v>14.121836824654824</v>
      </c>
      <c r="K101" s="37">
        <v>469.1</v>
      </c>
      <c r="L101" s="27">
        <f>IF(Q101&lt;='Specification &amp; Data'!I$7,1,IF(AND(Q101&gt;'Specification &amp; Data'!I$7,Q101&lt;='Specification &amp; Data'!I$8),2,IF(Q101&gt;'Specification &amp; Data'!I$8,3)))</f>
        <v>2</v>
      </c>
      <c r="M101" s="33">
        <v>2</v>
      </c>
      <c r="N101" s="33">
        <f t="shared" si="1"/>
        <v>96</v>
      </c>
      <c r="O101" s="27">
        <f>O100+(1/Simulation!Q101)</f>
        <v>27.795302871868827</v>
      </c>
      <c r="P101" s="38">
        <f>Simulation!Q101*3.6</f>
        <v>32.736021946909261</v>
      </c>
      <c r="Q101" s="38">
        <f>MIN('Specification &amp; Data'!I$9,SQRT(2*Simulation!R100+Simulation!Q100^2))</f>
        <v>9.093339429697016</v>
      </c>
      <c r="R101" s="38">
        <f>Simulation!V101/Simulation!Y101</f>
        <v>0.93152773513699183</v>
      </c>
      <c r="S101" s="27">
        <f>'Specification &amp; Data'!B$21*'Specification &amp; Data'!B$11*'Specification &amp; Data'!B$23*(Simulation!Q101+'Specification &amp; Data'!B$22)^2/2</f>
        <v>60.278616503956712</v>
      </c>
      <c r="T101" s="27">
        <f>IF(AND(M101=1,L101=1),'Specification &amp; Data'!E$14,IF(AND(M101=1,L101=2),'Specification &amp; Data'!E$15,IF(AND(M101=1,L101=3),'Specification &amp; Data'!E$16,IF(AND(M101=2,L101=1),'Specification &amp; Data'!F$14,IF(AND(M101=2,L101=2),'Specification &amp; Data'!F$15,IF(AND(M101=2,L101=3),'Specification &amp; Data'!F$16,IF(AND(M101=3,L101=1),'Specification &amp; Data'!I$14,IF(AND(M101=3,L101=2),'Specification &amp; Data'!I$15,IF(AND(M101=3,L101=3),'Specification &amp; Data'!I$16)))))))))</f>
        <v>102.35950200000001</v>
      </c>
      <c r="U101" s="27">
        <f>IF(AND(M101=1,L101=1),'Specification &amp; Data'!E$24,IF(AND(M101=1,L101=2),'Specification &amp; Data'!E$25,IF(AND(M101=1,L101=3),'Specification &amp; Data'!E$26,IF(M101=2,0,IF(AND(M101=3,L101=1),'Specification &amp; Data'!I$24,IF(AND(M101=3,L101=2),'Specification &amp; Data'!I$25,IF(AND(M101=3,L101=3),'Specification &amp; Data'!I$26)))))))</f>
        <v>0</v>
      </c>
      <c r="V101" s="27">
        <f>'Specification &amp; Data'!B$46-Simulation!S101-Simulation!T101-Simulation!U101</f>
        <v>545.26329881887773</v>
      </c>
      <c r="W101" s="27">
        <f>Simulation!V101/Simulation!Y101</f>
        <v>0.93152773513699183</v>
      </c>
      <c r="X101" s="27">
        <f>60*Simulation!Q101/(2*'Specification &amp; Data'!B$15*PI())</f>
        <v>341.8700597122953</v>
      </c>
      <c r="Y101" s="27">
        <f>IF(L101=1,'Specification &amp; Data'!B$56,IF(L101=2,'Specification &amp; Data'!B$57,IF(L101=3,'Specification &amp; Data'!B$58)))</f>
        <v>585.34306414257276</v>
      </c>
      <c r="Z101" s="38">
        <f>Simulation!Y101*Simulation!Q101^2/(2*1000)</f>
        <v>24.200664215134211</v>
      </c>
    </row>
    <row r="102" spans="7:26">
      <c r="G102" s="44">
        <v>6800</v>
      </c>
      <c r="H102" s="44">
        <v>13.48</v>
      </c>
      <c r="I102" s="38">
        <f>Simulation!H102*746/1000</f>
        <v>10.05608</v>
      </c>
      <c r="J102" s="38">
        <f>60*1000*Simulation!I102/(2*PI()*Simulation!G102)</f>
        <v>14.121836824654824</v>
      </c>
      <c r="K102" s="37">
        <v>469.1</v>
      </c>
      <c r="L102" s="27">
        <f>IF(Q102&lt;='Specification &amp; Data'!I$7,1,IF(AND(Q102&gt;'Specification &amp; Data'!I$7,Q102&lt;='Specification &amp; Data'!I$8),2,IF(Q102&gt;'Specification &amp; Data'!I$8,3)))</f>
        <v>2</v>
      </c>
      <c r="M102" s="33">
        <v>2</v>
      </c>
      <c r="N102" s="33">
        <f t="shared" si="1"/>
        <v>97</v>
      </c>
      <c r="O102" s="27">
        <f>O101+(1/Simulation!Q102)</f>
        <v>27.904055152253967</v>
      </c>
      <c r="P102" s="38">
        <f>Simulation!Q102*3.6</f>
        <v>33.102754142265496</v>
      </c>
      <c r="Q102" s="38">
        <f>MIN('Specification &amp; Data'!I$9,SQRT(2*Simulation!R101+Simulation!Q101^2))</f>
        <v>9.1952094839626373</v>
      </c>
      <c r="R102" s="38">
        <f>Simulation!V102/Simulation!Y102</f>
        <v>0.92966648825198539</v>
      </c>
      <c r="S102" s="27">
        <f>'Specification &amp; Data'!B$21*'Specification &amp; Data'!B$11*'Specification &amp; Data'!B$23*(Simulation!Q102+'Specification &amp; Data'!B$22)^2/2</f>
        <v>61.368084458752229</v>
      </c>
      <c r="T102" s="27">
        <f>IF(AND(M102=1,L102=1),'Specification &amp; Data'!E$14,IF(AND(M102=1,L102=2),'Specification &amp; Data'!E$15,IF(AND(M102=1,L102=3),'Specification &amp; Data'!E$16,IF(AND(M102=2,L102=1),'Specification &amp; Data'!F$14,IF(AND(M102=2,L102=2),'Specification &amp; Data'!F$15,IF(AND(M102=2,L102=3),'Specification &amp; Data'!F$16,IF(AND(M102=3,L102=1),'Specification &amp; Data'!I$14,IF(AND(M102=3,L102=2),'Specification &amp; Data'!I$15,IF(AND(M102=3,L102=3),'Specification &amp; Data'!I$16)))))))))</f>
        <v>102.35950200000001</v>
      </c>
      <c r="U102" s="27">
        <f>IF(AND(M102=1,L102=1),'Specification &amp; Data'!E$24,IF(AND(M102=1,L102=2),'Specification &amp; Data'!E$25,IF(AND(M102=1,L102=3),'Specification &amp; Data'!E$26,IF(M102=2,0,IF(AND(M102=3,L102=1),'Specification &amp; Data'!I$24,IF(AND(M102=3,L102=2),'Specification &amp; Data'!I$25,IF(AND(M102=3,L102=3),'Specification &amp; Data'!I$26)))))))</f>
        <v>0</v>
      </c>
      <c r="V102" s="27">
        <f>'Specification &amp; Data'!B$46-Simulation!S102-Simulation!T102-Simulation!U102</f>
        <v>544.17383086408222</v>
      </c>
      <c r="W102" s="27">
        <f>Simulation!V102/Simulation!Y102</f>
        <v>0.92966648825198539</v>
      </c>
      <c r="X102" s="27">
        <f>60*Simulation!Q102/(2*'Specification &amp; Data'!B$15*PI())</f>
        <v>345.69993121373147</v>
      </c>
      <c r="Y102" s="27">
        <f>IF(L102=1,'Specification &amp; Data'!B$56,IF(L102=2,'Specification &amp; Data'!B$57,IF(L102=3,'Specification &amp; Data'!B$58)))</f>
        <v>585.34306414257276</v>
      </c>
      <c r="Z102" s="38">
        <f>Simulation!Y102*Simulation!Q102^2/(2*1000)</f>
        <v>24.745927513953088</v>
      </c>
    </row>
    <row r="103" spans="7:26">
      <c r="G103" s="44">
        <v>6800</v>
      </c>
      <c r="H103" s="44">
        <v>13.48</v>
      </c>
      <c r="I103" s="38">
        <f>Simulation!H103*746/1000</f>
        <v>10.05608</v>
      </c>
      <c r="J103" s="38">
        <f>60*1000*Simulation!I103/(2*PI()*Simulation!G103)</f>
        <v>14.121836824654824</v>
      </c>
      <c r="K103" s="37">
        <v>469.1</v>
      </c>
      <c r="L103" s="27">
        <f>IF(Q103&lt;='Specification &amp; Data'!I$7,1,IF(AND(Q103&gt;'Specification &amp; Data'!I$7,Q103&lt;='Specification &amp; Data'!I$8),2,IF(Q103&gt;'Specification &amp; Data'!I$8,3)))</f>
        <v>2</v>
      </c>
      <c r="M103" s="33">
        <v>2</v>
      </c>
      <c r="N103" s="33">
        <f t="shared" si="1"/>
        <v>98</v>
      </c>
      <c r="O103" s="27">
        <f>O102+(1/Simulation!Q103)</f>
        <v>28.011631044203366</v>
      </c>
      <c r="P103" s="38">
        <f>Simulation!Q103*3.6</f>
        <v>33.464746931342049</v>
      </c>
      <c r="Q103" s="38">
        <f>MIN('Specification &amp; Data'!I$9,SQRT(2*Simulation!R102+Simulation!Q102^2))</f>
        <v>9.2957630364839012</v>
      </c>
      <c r="R103" s="38">
        <f>Simulation!V103/Simulation!Y103</f>
        <v>0.92781294698729033</v>
      </c>
      <c r="S103" s="27">
        <f>'Specification &amp; Data'!B$21*'Specification &amp; Data'!B$11*'Specification &amp; Data'!B$23*(Simulation!Q103+'Specification &amp; Data'!B$22)^2/2</f>
        <v>62.453041982143496</v>
      </c>
      <c r="T103" s="27">
        <f>IF(AND(M103=1,L103=1),'Specification &amp; Data'!E$14,IF(AND(M103=1,L103=2),'Specification &amp; Data'!E$15,IF(AND(M103=1,L103=3),'Specification &amp; Data'!E$16,IF(AND(M103=2,L103=1),'Specification &amp; Data'!F$14,IF(AND(M103=2,L103=2),'Specification &amp; Data'!F$15,IF(AND(M103=2,L103=3),'Specification &amp; Data'!F$16,IF(AND(M103=3,L103=1),'Specification &amp; Data'!I$14,IF(AND(M103=3,L103=2),'Specification &amp; Data'!I$15,IF(AND(M103=3,L103=3),'Specification &amp; Data'!I$16)))))))))</f>
        <v>102.35950200000001</v>
      </c>
      <c r="U103" s="27">
        <f>IF(AND(M103=1,L103=1),'Specification &amp; Data'!E$24,IF(AND(M103=1,L103=2),'Specification &amp; Data'!E$25,IF(AND(M103=1,L103=3),'Specification &amp; Data'!E$26,IF(M103=2,0,IF(AND(M103=3,L103=1),'Specification &amp; Data'!I$24,IF(AND(M103=3,L103=2),'Specification &amp; Data'!I$25,IF(AND(M103=3,L103=3),'Specification &amp; Data'!I$26)))))))</f>
        <v>0</v>
      </c>
      <c r="V103" s="27">
        <f>'Specification &amp; Data'!B$46-Simulation!S103-Simulation!T103-Simulation!U103</f>
        <v>543.08887334069095</v>
      </c>
      <c r="W103" s="27">
        <f>Simulation!V103/Simulation!Y103</f>
        <v>0.92781294698729033</v>
      </c>
      <c r="X103" s="27">
        <f>60*Simulation!Q103/(2*'Specification &amp; Data'!B$15*PI())</f>
        <v>349.48030796866288</v>
      </c>
      <c r="Y103" s="27">
        <f>IF(L103=1,'Specification &amp; Data'!B$56,IF(L103=2,'Specification &amp; Data'!B$57,IF(L103=3,'Specification &amp; Data'!B$58)))</f>
        <v>585.34306414257276</v>
      </c>
      <c r="Z103" s="38">
        <f>Simulation!Y103*Simulation!Q103^2/(2*1000)</f>
        <v>25.29010134481717</v>
      </c>
    </row>
    <row r="104" spans="7:26">
      <c r="G104" s="44">
        <v>6700</v>
      </c>
      <c r="H104" s="44">
        <v>14</v>
      </c>
      <c r="I104" s="38">
        <f>Simulation!H104*746/1000</f>
        <v>10.444000000000001</v>
      </c>
      <c r="J104" s="38">
        <f>60*1000*Simulation!I104/(2*PI()*Simulation!G104)</f>
        <v>14.88550052822467</v>
      </c>
      <c r="K104" s="37">
        <v>504.5</v>
      </c>
      <c r="L104" s="27">
        <f>IF(Q104&lt;='Specification &amp; Data'!I$7,1,IF(AND(Q104&gt;'Specification &amp; Data'!I$7,Q104&lt;='Specification &amp; Data'!I$8),2,IF(Q104&gt;'Specification &amp; Data'!I$8,3)))</f>
        <v>2</v>
      </c>
      <c r="M104" s="33">
        <v>2</v>
      </c>
      <c r="N104" s="33">
        <f t="shared" si="1"/>
        <v>99</v>
      </c>
      <c r="O104" s="27">
        <f>O103+(1/Simulation!Q104)</f>
        <v>28.118070150550064</v>
      </c>
      <c r="P104" s="38">
        <f>Simulation!Q104*3.6</f>
        <v>33.822155442323272</v>
      </c>
      <c r="Q104" s="38">
        <f>MIN('Specification &amp; Data'!I$9,SQRT(2*Simulation!R103+Simulation!Q103^2))</f>
        <v>9.3950431784231299</v>
      </c>
      <c r="R104" s="38">
        <f>Simulation!V104/Simulation!Y104</f>
        <v>0.92596694460799467</v>
      </c>
      <c r="S104" s="27">
        <f>'Specification &amp; Data'!B$21*'Specification &amp; Data'!B$11*'Specification &amp; Data'!B$23*(Simulation!Q104+'Specification &amp; Data'!B$22)^2/2</f>
        <v>63.533586671255001</v>
      </c>
      <c r="T104" s="27">
        <f>IF(AND(M104=1,L104=1),'Specification &amp; Data'!E$14,IF(AND(M104=1,L104=2),'Specification &amp; Data'!E$15,IF(AND(M104=1,L104=3),'Specification &amp; Data'!E$16,IF(AND(M104=2,L104=1),'Specification &amp; Data'!F$14,IF(AND(M104=2,L104=2),'Specification &amp; Data'!F$15,IF(AND(M104=2,L104=3),'Specification &amp; Data'!F$16,IF(AND(M104=3,L104=1),'Specification &amp; Data'!I$14,IF(AND(M104=3,L104=2),'Specification &amp; Data'!I$15,IF(AND(M104=3,L104=3),'Specification &amp; Data'!I$16)))))))))</f>
        <v>102.35950200000001</v>
      </c>
      <c r="U104" s="27">
        <f>IF(AND(M104=1,L104=1),'Specification &amp; Data'!E$24,IF(AND(M104=1,L104=2),'Specification &amp; Data'!E$25,IF(AND(M104=1,L104=3),'Specification &amp; Data'!E$26,IF(M104=2,0,IF(AND(M104=3,L104=1),'Specification &amp; Data'!I$24,IF(AND(M104=3,L104=2),'Specification &amp; Data'!I$25,IF(AND(M104=3,L104=3),'Specification &amp; Data'!I$26)))))))</f>
        <v>0</v>
      </c>
      <c r="V104" s="27">
        <f>'Specification &amp; Data'!B$46-Simulation!S104-Simulation!T104-Simulation!U104</f>
        <v>542.00832865157952</v>
      </c>
      <c r="W104" s="27">
        <f>Simulation!V104/Simulation!Y104</f>
        <v>0.92596694460799467</v>
      </c>
      <c r="X104" s="27">
        <f>60*Simulation!Q104/(2*'Specification &amp; Data'!B$15*PI())</f>
        <v>353.21281001759831</v>
      </c>
      <c r="Y104" s="27">
        <f>IF(L104=1,'Specification &amp; Data'!B$56,IF(L104=2,'Specification &amp; Data'!B$57,IF(L104=3,'Specification &amp; Data'!B$58)))</f>
        <v>585.34306414257276</v>
      </c>
      <c r="Z104" s="38">
        <f>Simulation!Y104*Simulation!Q104^2/(2*1000)</f>
        <v>25.833190218157863</v>
      </c>
    </row>
    <row r="105" spans="7:26">
      <c r="G105" s="44">
        <v>6700</v>
      </c>
      <c r="H105" s="44">
        <v>14</v>
      </c>
      <c r="I105" s="38">
        <f>Simulation!H105*746/1000</f>
        <v>10.444000000000001</v>
      </c>
      <c r="J105" s="38">
        <f>60*1000*Simulation!I105/(2*PI()*Simulation!G105)</f>
        <v>14.88550052822467</v>
      </c>
      <c r="K105" s="37">
        <v>504.5</v>
      </c>
      <c r="L105" s="27">
        <f>IF(Q105&lt;='Specification &amp; Data'!I$7,1,IF(AND(Q105&gt;'Specification &amp; Data'!I$7,Q105&lt;='Specification &amp; Data'!I$8),2,IF(Q105&gt;'Specification &amp; Data'!I$8,3)))</f>
        <v>2</v>
      </c>
      <c r="M105" s="33">
        <v>2</v>
      </c>
      <c r="N105" s="33">
        <f t="shared" si="1"/>
        <v>100</v>
      </c>
      <c r="O105" s="27">
        <f>O104+(1/Simulation!Q105)</f>
        <v>28.223409921987837</v>
      </c>
      <c r="P105" s="38">
        <f>Simulation!Q105*3.6</f>
        <v>34.17512636361301</v>
      </c>
      <c r="Q105" s="38">
        <f>MIN('Specification &amp; Data'!I$9,SQRT(2*Simulation!R104+Simulation!Q104^2))</f>
        <v>9.4930906565591684</v>
      </c>
      <c r="R105" s="38">
        <f>Simulation!V105/Simulation!Y105</f>
        <v>0.9241283230448496</v>
      </c>
      <c r="S105" s="27">
        <f>'Specification &amp; Data'!B$21*'Specification &amp; Data'!B$11*'Specification &amp; Data'!B$23*(Simulation!Q105+'Specification &amp; Data'!B$22)^2/2</f>
        <v>64.60981105082486</v>
      </c>
      <c r="T105" s="27">
        <f>IF(AND(M105=1,L105=1),'Specification &amp; Data'!E$14,IF(AND(M105=1,L105=2),'Specification &amp; Data'!E$15,IF(AND(M105=1,L105=3),'Specification &amp; Data'!E$16,IF(AND(M105=2,L105=1),'Specification &amp; Data'!F$14,IF(AND(M105=2,L105=2),'Specification &amp; Data'!F$15,IF(AND(M105=2,L105=3),'Specification &amp; Data'!F$16,IF(AND(M105=3,L105=1),'Specification &amp; Data'!I$14,IF(AND(M105=3,L105=2),'Specification &amp; Data'!I$15,IF(AND(M105=3,L105=3),'Specification &amp; Data'!I$16)))))))))</f>
        <v>102.35950200000001</v>
      </c>
      <c r="U105" s="27">
        <f>IF(AND(M105=1,L105=1),'Specification &amp; Data'!E$24,IF(AND(M105=1,L105=2),'Specification &amp; Data'!E$25,IF(AND(M105=1,L105=3),'Specification &amp; Data'!E$26,IF(M105=2,0,IF(AND(M105=3,L105=1),'Specification &amp; Data'!I$24,IF(AND(M105=3,L105=2),'Specification &amp; Data'!I$25,IF(AND(M105=3,L105=3),'Specification &amp; Data'!I$26)))))))</f>
        <v>0</v>
      </c>
      <c r="V105" s="27">
        <f>'Specification &amp; Data'!B$46-Simulation!S105-Simulation!T105-Simulation!U105</f>
        <v>540.93210427200961</v>
      </c>
      <c r="W105" s="27">
        <f>Simulation!V105/Simulation!Y105</f>
        <v>0.9241283230448496</v>
      </c>
      <c r="X105" s="27">
        <f>60*Simulation!Q105/(2*'Specification &amp; Data'!B$15*PI())</f>
        <v>356.89896926241209</v>
      </c>
      <c r="Y105" s="27">
        <f>IF(L105=1,'Specification &amp; Data'!B$56,IF(L105=2,'Specification &amp; Data'!B$57,IF(L105=3,'Specification &amp; Data'!B$58)))</f>
        <v>585.34306414257276</v>
      </c>
      <c r="Z105" s="38">
        <f>Simulation!Y105*Simulation!Q105^2/(2*1000)</f>
        <v>26.375198546809443</v>
      </c>
    </row>
    <row r="106" spans="7:26">
      <c r="G106" s="44">
        <v>6700</v>
      </c>
      <c r="H106" s="44">
        <v>14</v>
      </c>
      <c r="I106" s="38">
        <f>Simulation!H106*746/1000</f>
        <v>10.444000000000001</v>
      </c>
      <c r="J106" s="38">
        <f>60*1000*Simulation!I106/(2*PI()*Simulation!G106)</f>
        <v>14.88550052822467</v>
      </c>
      <c r="K106" s="37">
        <v>504.5</v>
      </c>
      <c r="L106" s="27">
        <f>IF(Q106&lt;='Specification &amp; Data'!I$7,1,IF(AND(Q106&gt;'Specification &amp; Data'!I$7,Q106&lt;='Specification &amp; Data'!I$8),2,IF(Q106&gt;'Specification &amp; Data'!I$8,3)))</f>
        <v>2</v>
      </c>
      <c r="M106" s="33">
        <v>2</v>
      </c>
      <c r="N106" s="33">
        <f t="shared" si="1"/>
        <v>101</v>
      </c>
      <c r="O106" s="27">
        <f>O105+(1/Simulation!Q106)</f>
        <v>28.327685817124237</v>
      </c>
      <c r="P106" s="38">
        <f>Simulation!Q106*3.6</f>
        <v>34.523798575797528</v>
      </c>
      <c r="Q106" s="38">
        <f>MIN('Specification &amp; Data'!I$9,SQRT(2*Simulation!R105+Simulation!Q105^2))</f>
        <v>9.5899440488326455</v>
      </c>
      <c r="R106" s="38">
        <f>Simulation!V106/Simulation!Y106</f>
        <v>0.92229693225152964</v>
      </c>
      <c r="S106" s="27">
        <f>'Specification &amp; Data'!B$21*'Specification &amp; Data'!B$11*'Specification &amp; Data'!B$23*(Simulation!Q106+'Specification &amp; Data'!B$22)^2/2</f>
        <v>65.681802949429269</v>
      </c>
      <c r="T106" s="27">
        <f>IF(AND(M106=1,L106=1),'Specification &amp; Data'!E$14,IF(AND(M106=1,L106=2),'Specification &amp; Data'!E$15,IF(AND(M106=1,L106=3),'Specification &amp; Data'!E$16,IF(AND(M106=2,L106=1),'Specification &amp; Data'!F$14,IF(AND(M106=2,L106=2),'Specification &amp; Data'!F$15,IF(AND(M106=2,L106=3),'Specification &amp; Data'!F$16,IF(AND(M106=3,L106=1),'Specification &amp; Data'!I$14,IF(AND(M106=3,L106=2),'Specification &amp; Data'!I$15,IF(AND(M106=3,L106=3),'Specification &amp; Data'!I$16)))))))))</f>
        <v>102.35950200000001</v>
      </c>
      <c r="U106" s="27">
        <f>IF(AND(M106=1,L106=1),'Specification &amp; Data'!E$24,IF(AND(M106=1,L106=2),'Specification &amp; Data'!E$25,IF(AND(M106=1,L106=3),'Specification &amp; Data'!E$26,IF(M106=2,0,IF(AND(M106=3,L106=1),'Specification &amp; Data'!I$24,IF(AND(M106=3,L106=2),'Specification &amp; Data'!I$25,IF(AND(M106=3,L106=3),'Specification &amp; Data'!I$26)))))))</f>
        <v>0</v>
      </c>
      <c r="V106" s="27">
        <f>'Specification &amp; Data'!B$46-Simulation!S106-Simulation!T106-Simulation!U106</f>
        <v>539.86011237340517</v>
      </c>
      <c r="W106" s="27">
        <f>Simulation!V106/Simulation!Y106</f>
        <v>0.92229693225152964</v>
      </c>
      <c r="X106" s="27">
        <f>60*Simulation!Q106/(2*'Specification &amp; Data'!B$15*PI())</f>
        <v>360.54023606608348</v>
      </c>
      <c r="Y106" s="27">
        <f>IF(L106=1,'Specification &amp; Data'!B$56,IF(L106=2,'Specification &amp; Data'!B$57,IF(L106=3,'Specification &amp; Data'!B$58)))</f>
        <v>585.34306414257276</v>
      </c>
      <c r="Z106" s="38">
        <f>Simulation!Y106*Simulation!Q106^2/(2*1000)</f>
        <v>26.916130651081446</v>
      </c>
    </row>
    <row r="107" spans="7:26">
      <c r="G107" s="44">
        <v>6700</v>
      </c>
      <c r="H107" s="44">
        <v>14</v>
      </c>
      <c r="I107" s="38">
        <f>Simulation!H107*746/1000</f>
        <v>10.444000000000001</v>
      </c>
      <c r="J107" s="38">
        <f>60*1000*Simulation!I107/(2*PI()*Simulation!G107)</f>
        <v>14.88550052822467</v>
      </c>
      <c r="K107" s="37">
        <v>504.5</v>
      </c>
      <c r="L107" s="27">
        <f>IF(Q107&lt;='Specification &amp; Data'!I$7,1,IF(AND(Q107&gt;'Specification &amp; Data'!I$7,Q107&lt;='Specification &amp; Data'!I$8),2,IF(Q107&gt;'Specification &amp; Data'!I$8,3)))</f>
        <v>2</v>
      </c>
      <c r="M107" s="33">
        <v>2</v>
      </c>
      <c r="N107" s="33">
        <f t="shared" si="1"/>
        <v>102</v>
      </c>
      <c r="O107" s="27">
        <f>O106+(1/Simulation!Q107)</f>
        <v>28.430931447554102</v>
      </c>
      <c r="P107" s="38">
        <f>Simulation!Q107*3.6</f>
        <v>34.868303723958221</v>
      </c>
      <c r="Q107" s="38">
        <f>MIN('Specification &amp; Data'!I$9,SQRT(2*Simulation!R106+Simulation!Q106^2))</f>
        <v>9.6856399233217285</v>
      </c>
      <c r="R107" s="38">
        <f>Simulation!V107/Simulation!Y107</f>
        <v>0.92047262962227538</v>
      </c>
      <c r="S107" s="27">
        <f>'Specification &amp; Data'!B$21*'Specification &amp; Data'!B$11*'Specification &amp; Data'!B$23*(Simulation!Q107+'Specification &amp; Data'!B$22)^2/2</f>
        <v>66.749645840360401</v>
      </c>
      <c r="T107" s="27">
        <f>IF(AND(M107=1,L107=1),'Specification &amp; Data'!E$14,IF(AND(M107=1,L107=2),'Specification &amp; Data'!E$15,IF(AND(M107=1,L107=3),'Specification &amp; Data'!E$16,IF(AND(M107=2,L107=1),'Specification &amp; Data'!F$14,IF(AND(M107=2,L107=2),'Specification &amp; Data'!F$15,IF(AND(M107=2,L107=3),'Specification &amp; Data'!F$16,IF(AND(M107=3,L107=1),'Specification &amp; Data'!I$14,IF(AND(M107=3,L107=2),'Specification &amp; Data'!I$15,IF(AND(M107=3,L107=3),'Specification &amp; Data'!I$16)))))))))</f>
        <v>102.35950200000001</v>
      </c>
      <c r="U107" s="27">
        <f>IF(AND(M107=1,L107=1),'Specification &amp; Data'!E$24,IF(AND(M107=1,L107=2),'Specification &amp; Data'!E$25,IF(AND(M107=1,L107=3),'Specification &amp; Data'!E$26,IF(M107=2,0,IF(AND(M107=3,L107=1),'Specification &amp; Data'!I$24,IF(AND(M107=3,L107=2),'Specification &amp; Data'!I$25,IF(AND(M107=3,L107=3),'Specification &amp; Data'!I$26)))))))</f>
        <v>0</v>
      </c>
      <c r="V107" s="27">
        <f>'Specification &amp; Data'!B$46-Simulation!S107-Simulation!T107-Simulation!U107</f>
        <v>538.79226948247413</v>
      </c>
      <c r="W107" s="27">
        <f>Simulation!V107/Simulation!Y107</f>
        <v>0.92047262962227538</v>
      </c>
      <c r="X107" s="27">
        <f>60*Simulation!Q107/(2*'Specification &amp; Data'!B$15*PI())</f>
        <v>364.13798522949429</v>
      </c>
      <c r="Y107" s="27">
        <f>IF(L107=1,'Specification &amp; Data'!B$56,IF(L107=2,'Specification &amp; Data'!B$57,IF(L107=3,'Specification &amp; Data'!B$58)))</f>
        <v>585.34306414257276</v>
      </c>
      <c r="Z107" s="38">
        <f>Simulation!Y107*Simulation!Q107^2/(2*1000)</f>
        <v>27.455990763454853</v>
      </c>
    </row>
    <row r="108" spans="7:26">
      <c r="G108" s="44">
        <v>6700</v>
      </c>
      <c r="H108" s="44">
        <v>14</v>
      </c>
      <c r="I108" s="38">
        <f>Simulation!H108*746/1000</f>
        <v>10.444000000000001</v>
      </c>
      <c r="J108" s="38">
        <f>60*1000*Simulation!I108/(2*PI()*Simulation!G108)</f>
        <v>14.88550052822467</v>
      </c>
      <c r="K108" s="37">
        <v>504.5</v>
      </c>
      <c r="L108" s="27">
        <f>IF(Q108&lt;='Specification &amp; Data'!I$7,1,IF(AND(Q108&gt;'Specification &amp; Data'!I$7,Q108&lt;='Specification &amp; Data'!I$8),2,IF(Q108&gt;'Specification &amp; Data'!I$8,3)))</f>
        <v>2</v>
      </c>
      <c r="M108" s="33">
        <v>2</v>
      </c>
      <c r="N108" s="33">
        <f t="shared" si="1"/>
        <v>103</v>
      </c>
      <c r="O108" s="27">
        <f>O107+(1/Simulation!Q108)</f>
        <v>28.533178709631841</v>
      </c>
      <c r="P108" s="38">
        <f>Simulation!Q108*3.6</f>
        <v>35.208766737078541</v>
      </c>
      <c r="Q108" s="38">
        <f>MIN('Specification &amp; Data'!I$9,SQRT(2*Simulation!R107+Simulation!Q107^2))</f>
        <v>9.7802129825218174</v>
      </c>
      <c r="R108" s="38">
        <f>Simulation!V108/Simulation!Y108</f>
        <v>0.91865527946311631</v>
      </c>
      <c r="S108" s="27">
        <f>'Specification &amp; Data'!B$21*'Specification &amp; Data'!B$11*'Specification &amp; Data'!B$23*(Simulation!Q108+'Specification &amp; Data'!B$22)^2/2</f>
        <v>67.813419151142526</v>
      </c>
      <c r="T108" s="27">
        <f>IF(AND(M108=1,L108=1),'Specification &amp; Data'!E$14,IF(AND(M108=1,L108=2),'Specification &amp; Data'!E$15,IF(AND(M108=1,L108=3),'Specification &amp; Data'!E$16,IF(AND(M108=2,L108=1),'Specification &amp; Data'!F$14,IF(AND(M108=2,L108=2),'Specification &amp; Data'!F$15,IF(AND(M108=2,L108=3),'Specification &amp; Data'!F$16,IF(AND(M108=3,L108=1),'Specification &amp; Data'!I$14,IF(AND(M108=3,L108=2),'Specification &amp; Data'!I$15,IF(AND(M108=3,L108=3),'Specification &amp; Data'!I$16)))))))))</f>
        <v>102.35950200000001</v>
      </c>
      <c r="U108" s="27">
        <f>IF(AND(M108=1,L108=1),'Specification &amp; Data'!E$24,IF(AND(M108=1,L108=2),'Specification &amp; Data'!E$25,IF(AND(M108=1,L108=3),'Specification &amp; Data'!E$26,IF(M108=2,0,IF(AND(M108=3,L108=1),'Specification &amp; Data'!I$24,IF(AND(M108=3,L108=2),'Specification &amp; Data'!I$25,IF(AND(M108=3,L108=3),'Specification &amp; Data'!I$26)))))))</f>
        <v>0</v>
      </c>
      <c r="V108" s="27">
        <f>'Specification &amp; Data'!B$46-Simulation!S108-Simulation!T108-Simulation!U108</f>
        <v>537.72849617169197</v>
      </c>
      <c r="W108" s="27">
        <f>Simulation!V108/Simulation!Y108</f>
        <v>0.91865527946311631</v>
      </c>
      <c r="X108" s="27">
        <f>60*Simulation!Q108/(2*'Specification &amp; Data'!B$15*PI())</f>
        <v>367.69352141571869</v>
      </c>
      <c r="Y108" s="27">
        <f>IF(L108=1,'Specification &amp; Data'!B$56,IF(L108=2,'Specification &amp; Data'!B$57,IF(L108=3,'Specification &amp; Data'!B$58)))</f>
        <v>585.34306414257276</v>
      </c>
      <c r="Z108" s="38">
        <f>Simulation!Y108*Simulation!Q108^2/(2*1000)</f>
        <v>27.994783032937331</v>
      </c>
    </row>
    <row r="109" spans="7:26">
      <c r="G109" s="44">
        <v>6700</v>
      </c>
      <c r="H109" s="44">
        <v>14</v>
      </c>
      <c r="I109" s="38">
        <f>Simulation!H109*746/1000</f>
        <v>10.444000000000001</v>
      </c>
      <c r="J109" s="38">
        <f>60*1000*Simulation!I109/(2*PI()*Simulation!G109)</f>
        <v>14.88550052822467</v>
      </c>
      <c r="K109" s="37">
        <v>504.5</v>
      </c>
      <c r="L109" s="27">
        <f>IF(Q109&lt;='Specification &amp; Data'!I$7,1,IF(AND(Q109&gt;'Specification &amp; Data'!I$7,Q109&lt;='Specification &amp; Data'!I$8),2,IF(Q109&gt;'Specification &amp; Data'!I$8,3)))</f>
        <v>2</v>
      </c>
      <c r="M109" s="33">
        <v>2</v>
      </c>
      <c r="N109" s="33">
        <f t="shared" si="1"/>
        <v>104</v>
      </c>
      <c r="O109" s="27">
        <f>O108+(1/Simulation!Q109)</f>
        <v>28.634457904403018</v>
      </c>
      <c r="P109" s="38">
        <f>Simulation!Q109*3.6</f>
        <v>35.545306300406146</v>
      </c>
      <c r="Q109" s="38">
        <f>MIN('Specification &amp; Data'!I$9,SQRT(2*Simulation!R108+Simulation!Q108^2))</f>
        <v>9.8736961945572617</v>
      </c>
      <c r="R109" s="38">
        <f>Simulation!V109/Simulation!Y109</f>
        <v>0.9168447525107547</v>
      </c>
      <c r="S109" s="27">
        <f>'Specification &amp; Data'!B$21*'Specification &amp; Data'!B$11*'Specification &amp; Data'!B$23*(Simulation!Q109+'Specification &amp; Data'!B$22)^2/2</f>
        <v>68.87319854515053</v>
      </c>
      <c r="T109" s="27">
        <f>IF(AND(M109=1,L109=1),'Specification &amp; Data'!E$14,IF(AND(M109=1,L109=2),'Specification &amp; Data'!E$15,IF(AND(M109=1,L109=3),'Specification &amp; Data'!E$16,IF(AND(M109=2,L109=1),'Specification &amp; Data'!F$14,IF(AND(M109=2,L109=2),'Specification &amp; Data'!F$15,IF(AND(M109=2,L109=3),'Specification &amp; Data'!F$16,IF(AND(M109=3,L109=1),'Specification &amp; Data'!I$14,IF(AND(M109=3,L109=2),'Specification &amp; Data'!I$15,IF(AND(M109=3,L109=3),'Specification &amp; Data'!I$16)))))))))</f>
        <v>102.35950200000001</v>
      </c>
      <c r="U109" s="27">
        <f>IF(AND(M109=1,L109=1),'Specification &amp; Data'!E$24,IF(AND(M109=1,L109=2),'Specification &amp; Data'!E$25,IF(AND(M109=1,L109=3),'Specification &amp; Data'!E$26,IF(M109=2,0,IF(AND(M109=3,L109=1),'Specification &amp; Data'!I$24,IF(AND(M109=3,L109=2),'Specification &amp; Data'!I$25,IF(AND(M109=3,L109=3),'Specification &amp; Data'!I$26)))))))</f>
        <v>0</v>
      </c>
      <c r="V109" s="27">
        <f>'Specification &amp; Data'!B$46-Simulation!S109-Simulation!T109-Simulation!U109</f>
        <v>536.66871677768393</v>
      </c>
      <c r="W109" s="27">
        <f>Simulation!V109/Simulation!Y109</f>
        <v>0.9168447525107547</v>
      </c>
      <c r="X109" s="27">
        <f>60*Simulation!Q109/(2*'Specification &amp; Data'!B$15*PI())</f>
        <v>371.20808408301372</v>
      </c>
      <c r="Y109" s="27">
        <f>IF(L109=1,'Specification &amp; Data'!B$56,IF(L109=2,'Specification &amp; Data'!B$57,IF(L109=3,'Specification &amp; Data'!B$58)))</f>
        <v>585.34306414257276</v>
      </c>
      <c r="Z109" s="38">
        <f>Simulation!Y109*Simulation!Q109^2/(2*1000)</f>
        <v>28.53251152910903</v>
      </c>
    </row>
    <row r="110" spans="7:26">
      <c r="G110" s="44">
        <v>6700</v>
      </c>
      <c r="H110" s="44">
        <v>14</v>
      </c>
      <c r="I110" s="38">
        <f>Simulation!H110*746/1000</f>
        <v>10.444000000000001</v>
      </c>
      <c r="J110" s="38">
        <f>60*1000*Simulation!I110/(2*PI()*Simulation!G110)</f>
        <v>14.88550052822467</v>
      </c>
      <c r="K110" s="37">
        <v>504.5</v>
      </c>
      <c r="L110" s="27">
        <f>IF(Q110&lt;='Specification &amp; Data'!I$7,1,IF(AND(Q110&gt;'Specification &amp; Data'!I$7,Q110&lt;='Specification &amp; Data'!I$8),2,IF(Q110&gt;'Specification &amp; Data'!I$8,3)))</f>
        <v>2</v>
      </c>
      <c r="M110" s="33">
        <v>2</v>
      </c>
      <c r="N110" s="33">
        <f t="shared" si="1"/>
        <v>105</v>
      </c>
      <c r="O110" s="27">
        <f>O109+(1/Simulation!Q110)</f>
        <v>28.734797846969965</v>
      </c>
      <c r="P110" s="38">
        <f>Simulation!Q110*3.6</f>
        <v>35.878035285878902</v>
      </c>
      <c r="Q110" s="38">
        <f>MIN('Specification &amp; Data'!I$9,SQRT(2*Simulation!R109+Simulation!Q109^2))</f>
        <v>9.9661209127441381</v>
      </c>
      <c r="R110" s="38">
        <f>Simulation!V110/Simulation!Y110</f>
        <v>0.91504092549394844</v>
      </c>
      <c r="S110" s="27">
        <f>'Specification &amp; Data'!B$21*'Specification &amp; Data'!B$11*'Specification &amp; Data'!B$23*(Simulation!Q110+'Specification &amp; Data'!B$22)^2/2</f>
        <v>69.929056178351047</v>
      </c>
      <c r="T110" s="27">
        <f>IF(AND(M110=1,L110=1),'Specification &amp; Data'!E$14,IF(AND(M110=1,L110=2),'Specification &amp; Data'!E$15,IF(AND(M110=1,L110=3),'Specification &amp; Data'!E$16,IF(AND(M110=2,L110=1),'Specification &amp; Data'!F$14,IF(AND(M110=2,L110=2),'Specification &amp; Data'!F$15,IF(AND(M110=2,L110=3),'Specification &amp; Data'!F$16,IF(AND(M110=3,L110=1),'Specification &amp; Data'!I$14,IF(AND(M110=3,L110=2),'Specification &amp; Data'!I$15,IF(AND(M110=3,L110=3),'Specification &amp; Data'!I$16)))))))))</f>
        <v>102.35950200000001</v>
      </c>
      <c r="U110" s="27">
        <f>IF(AND(M110=1,L110=1),'Specification &amp; Data'!E$24,IF(AND(M110=1,L110=2),'Specification &amp; Data'!E$25,IF(AND(M110=1,L110=3),'Specification &amp; Data'!E$26,IF(M110=2,0,IF(AND(M110=3,L110=1),'Specification &amp; Data'!I$24,IF(AND(M110=3,L110=2),'Specification &amp; Data'!I$25,IF(AND(M110=3,L110=3),'Specification &amp; Data'!I$26)))))))</f>
        <v>0</v>
      </c>
      <c r="V110" s="27">
        <f>'Specification &amp; Data'!B$46-Simulation!S110-Simulation!T110-Simulation!U110</f>
        <v>535.61285914448342</v>
      </c>
      <c r="W110" s="27">
        <f>Simulation!V110/Simulation!Y110</f>
        <v>0.91504092549394844</v>
      </c>
      <c r="X110" s="27">
        <f>60*Simulation!Q110/(2*'Specification &amp; Data'!B$15*PI())</f>
        <v>374.68285197986017</v>
      </c>
      <c r="Y110" s="27">
        <f>IF(L110=1,'Specification &amp; Data'!B$56,IF(L110=2,'Specification &amp; Data'!B$57,IF(L110=3,'Specification &amp; Data'!B$58)))</f>
        <v>585.34306414257276</v>
      </c>
      <c r="Z110" s="38">
        <f>Simulation!Y110*Simulation!Q110^2/(2*1000)</f>
        <v>29.069180245886713</v>
      </c>
    </row>
    <row r="111" spans="7:26">
      <c r="G111" s="44">
        <v>6700</v>
      </c>
      <c r="H111" s="44">
        <v>14</v>
      </c>
      <c r="I111" s="38">
        <f>Simulation!H111*746/1000</f>
        <v>10.444000000000001</v>
      </c>
      <c r="J111" s="38">
        <f>60*1000*Simulation!I111/(2*PI()*Simulation!G111)</f>
        <v>14.88550052822467</v>
      </c>
      <c r="K111" s="37">
        <v>504.5</v>
      </c>
      <c r="L111" s="27">
        <f>IF(Q111&lt;='Specification &amp; Data'!I$7,1,IF(AND(Q111&gt;'Specification &amp; Data'!I$7,Q111&lt;='Specification &amp; Data'!I$8),2,IF(Q111&gt;'Specification &amp; Data'!I$8,3)))</f>
        <v>2</v>
      </c>
      <c r="M111" s="33">
        <v>2</v>
      </c>
      <c r="N111" s="33">
        <f t="shared" si="1"/>
        <v>106</v>
      </c>
      <c r="O111" s="27">
        <f>O110+(1/Simulation!Q111)</f>
        <v>28.834225966407082</v>
      </c>
      <c r="P111" s="38">
        <f>Simulation!Q111*3.6</f>
        <v>36.207061145080175</v>
      </c>
      <c r="Q111" s="38">
        <f>MIN('Specification &amp; Data'!I$9,SQRT(2*Simulation!R110+Simulation!Q110^2))</f>
        <v>10.057516984744494</v>
      </c>
      <c r="R111" s="38">
        <f>Simulation!V111/Simulation!Y111</f>
        <v>0.91324368073288364</v>
      </c>
      <c r="S111" s="27">
        <f>'Specification &amp; Data'!B$21*'Specification &amp; Data'!B$11*'Specification &amp; Data'!B$23*(Simulation!Q111+'Specification &amp; Data'!B$22)^2/2</f>
        <v>70.981060933806944</v>
      </c>
      <c r="T111" s="27">
        <f>IF(AND(M111=1,L111=1),'Specification &amp; Data'!E$14,IF(AND(M111=1,L111=2),'Specification &amp; Data'!E$15,IF(AND(M111=1,L111=3),'Specification &amp; Data'!E$16,IF(AND(M111=2,L111=1),'Specification &amp; Data'!F$14,IF(AND(M111=2,L111=2),'Specification &amp; Data'!F$15,IF(AND(M111=2,L111=3),'Specification &amp; Data'!F$16,IF(AND(M111=3,L111=1),'Specification &amp; Data'!I$14,IF(AND(M111=3,L111=2),'Specification &amp; Data'!I$15,IF(AND(M111=3,L111=3),'Specification &amp; Data'!I$16)))))))))</f>
        <v>102.35950200000001</v>
      </c>
      <c r="U111" s="27">
        <f>IF(AND(M111=1,L111=1),'Specification &amp; Data'!E$24,IF(AND(M111=1,L111=2),'Specification &amp; Data'!E$25,IF(AND(M111=1,L111=3),'Specification &amp; Data'!E$26,IF(M111=2,0,IF(AND(M111=3,L111=1),'Specification &amp; Data'!I$24,IF(AND(M111=3,L111=2),'Specification &amp; Data'!I$25,IF(AND(M111=3,L111=3),'Specification &amp; Data'!I$26)))))))</f>
        <v>0</v>
      </c>
      <c r="V111" s="27">
        <f>'Specification &amp; Data'!B$46-Simulation!S111-Simulation!T111-Simulation!U111</f>
        <v>534.56085438902755</v>
      </c>
      <c r="W111" s="27">
        <f>Simulation!V111/Simulation!Y111</f>
        <v>0.91324368073288364</v>
      </c>
      <c r="X111" s="27">
        <f>60*Simulation!Q111/(2*'Specification &amp; Data'!B$15*PI())</f>
        <v>378.11894724868836</v>
      </c>
      <c r="Y111" s="27">
        <f>IF(L111=1,'Specification &amp; Data'!B$56,IF(L111=2,'Specification &amp; Data'!B$57,IF(L111=3,'Specification &amp; Data'!B$58)))</f>
        <v>585.34306414257276</v>
      </c>
      <c r="Z111" s="38">
        <f>Simulation!Y111*Simulation!Q111^2/(2*1000)</f>
        <v>29.604793105031199</v>
      </c>
    </row>
    <row r="112" spans="7:26">
      <c r="G112" s="44">
        <v>6600</v>
      </c>
      <c r="H112" s="44">
        <v>16.8</v>
      </c>
      <c r="I112" s="38">
        <f>Simulation!H112*746/1000</f>
        <v>12.532800000000002</v>
      </c>
      <c r="J112" s="38">
        <f>60*1000*Simulation!I112/(2*PI()*Simulation!G112)</f>
        <v>18.133246098019146</v>
      </c>
      <c r="K112" s="37">
        <v>585.70000000000005</v>
      </c>
      <c r="L112" s="27">
        <f>IF(Q112&lt;='Specification &amp; Data'!I$7,1,IF(AND(Q112&gt;'Specification &amp; Data'!I$7,Q112&lt;='Specification &amp; Data'!I$8),2,IF(Q112&gt;'Specification &amp; Data'!I$8,3)))</f>
        <v>2</v>
      </c>
      <c r="M112" s="33">
        <v>2</v>
      </c>
      <c r="N112" s="33">
        <f t="shared" si="1"/>
        <v>107</v>
      </c>
      <c r="O112" s="27">
        <f>O111+(1/Simulation!Q112)</f>
        <v>28.932768397204917</v>
      </c>
      <c r="P112" s="38">
        <f>Simulation!Q112*3.6</f>
        <v>36.532486268637271</v>
      </c>
      <c r="Q112" s="38">
        <f>MIN('Specification &amp; Data'!I$9,SQRT(2*Simulation!R111+Simulation!Q111^2))</f>
        <v>10.147912852399243</v>
      </c>
      <c r="R112" s="38">
        <f>Simulation!V112/Simulation!Y112</f>
        <v>0.91145290577258076</v>
      </c>
      <c r="S112" s="27">
        <f>'Specification &amp; Data'!B$21*'Specification &amp; Data'!B$11*'Specification &amp; Data'!B$23*(Simulation!Q112+'Specification &amp; Data'!B$22)^2/2</f>
        <v>72.029278636260429</v>
      </c>
      <c r="T112" s="27">
        <f>IF(AND(M112=1,L112=1),'Specification &amp; Data'!E$14,IF(AND(M112=1,L112=2),'Specification &amp; Data'!E$15,IF(AND(M112=1,L112=3),'Specification &amp; Data'!E$16,IF(AND(M112=2,L112=1),'Specification &amp; Data'!F$14,IF(AND(M112=2,L112=2),'Specification &amp; Data'!F$15,IF(AND(M112=2,L112=3),'Specification &amp; Data'!F$16,IF(AND(M112=3,L112=1),'Specification &amp; Data'!I$14,IF(AND(M112=3,L112=2),'Specification &amp; Data'!I$15,IF(AND(M112=3,L112=3),'Specification &amp; Data'!I$16)))))))))</f>
        <v>102.35950200000001</v>
      </c>
      <c r="U112" s="27">
        <f>IF(AND(M112=1,L112=1),'Specification &amp; Data'!E$24,IF(AND(M112=1,L112=2),'Specification &amp; Data'!E$25,IF(AND(M112=1,L112=3),'Specification &amp; Data'!E$26,IF(M112=2,0,IF(AND(M112=3,L112=1),'Specification &amp; Data'!I$24,IF(AND(M112=3,L112=2),'Specification &amp; Data'!I$25,IF(AND(M112=3,L112=3),'Specification &amp; Data'!I$26)))))))</f>
        <v>0</v>
      </c>
      <c r="V112" s="27">
        <f>'Specification &amp; Data'!B$46-Simulation!S112-Simulation!T112-Simulation!U112</f>
        <v>533.51263668657407</v>
      </c>
      <c r="W112" s="27">
        <f>Simulation!V112/Simulation!Y112</f>
        <v>0.91145290577258076</v>
      </c>
      <c r="X112" s="27">
        <f>60*Simulation!Q112/(2*'Specification &amp; Data'!B$15*PI())</f>
        <v>381.51743917916099</v>
      </c>
      <c r="Y112" s="27">
        <f>IF(L112=1,'Specification &amp; Data'!B$56,IF(L112=2,'Specification &amp; Data'!B$57,IF(L112=3,'Specification &amp; Data'!B$58)))</f>
        <v>585.34306414257276</v>
      </c>
      <c r="Z112" s="38">
        <f>Simulation!Y112*Simulation!Q112^2/(2*1000)</f>
        <v>30.139353959420227</v>
      </c>
    </row>
    <row r="113" spans="7:26">
      <c r="G113" s="44">
        <v>6600</v>
      </c>
      <c r="H113" s="44">
        <v>16.8</v>
      </c>
      <c r="I113" s="38">
        <f>Simulation!H113*746/1000</f>
        <v>12.532800000000002</v>
      </c>
      <c r="J113" s="38">
        <f>60*1000*Simulation!I113/(2*PI()*Simulation!G113)</f>
        <v>18.133246098019146</v>
      </c>
      <c r="K113" s="37">
        <v>585.70000000000005</v>
      </c>
      <c r="L113" s="27">
        <f>IF(Q113&lt;='Specification &amp; Data'!I$7,1,IF(AND(Q113&gt;'Specification &amp; Data'!I$7,Q113&lt;='Specification &amp; Data'!I$8),2,IF(Q113&gt;'Specification &amp; Data'!I$8,3)))</f>
        <v>2</v>
      </c>
      <c r="M113" s="33">
        <v>2</v>
      </c>
      <c r="N113" s="33">
        <f t="shared" si="1"/>
        <v>108</v>
      </c>
      <c r="O113" s="27">
        <f>O112+(1/Simulation!Q113)</f>
        <v>29.030450063104453</v>
      </c>
      <c r="P113" s="38">
        <f>Simulation!Q113*3.6</f>
        <v>36.854408315502724</v>
      </c>
      <c r="Q113" s="38">
        <f>MIN('Specification &amp; Data'!I$9,SQRT(2*Simulation!R112+Simulation!Q112^2))</f>
        <v>10.2373356431952</v>
      </c>
      <c r="R113" s="38">
        <f>Simulation!V113/Simulation!Y113</f>
        <v>0.90966849304685737</v>
      </c>
      <c r="S113" s="27">
        <f>'Specification &amp; Data'!B$21*'Specification &amp; Data'!B$11*'Specification &amp; Data'!B$23*(Simulation!Q113+'Specification &amp; Data'!B$22)^2/2</f>
        <v>73.073772248830323</v>
      </c>
      <c r="T113" s="27">
        <f>IF(AND(M113=1,L113=1),'Specification &amp; Data'!E$14,IF(AND(M113=1,L113=2),'Specification &amp; Data'!E$15,IF(AND(M113=1,L113=3),'Specification &amp; Data'!E$16,IF(AND(M113=2,L113=1),'Specification &amp; Data'!F$14,IF(AND(M113=2,L113=2),'Specification &amp; Data'!F$15,IF(AND(M113=2,L113=3),'Specification &amp; Data'!F$16,IF(AND(M113=3,L113=1),'Specification &amp; Data'!I$14,IF(AND(M113=3,L113=2),'Specification &amp; Data'!I$15,IF(AND(M113=3,L113=3),'Specification &amp; Data'!I$16)))))))))</f>
        <v>102.35950200000001</v>
      </c>
      <c r="U113" s="27">
        <f>IF(AND(M113=1,L113=1),'Specification &amp; Data'!E$24,IF(AND(M113=1,L113=2),'Specification &amp; Data'!E$25,IF(AND(M113=1,L113=3),'Specification &amp; Data'!E$26,IF(M113=2,0,IF(AND(M113=3,L113=1),'Specification &amp; Data'!I$24,IF(AND(M113=3,L113=2),'Specification &amp; Data'!I$25,IF(AND(M113=3,L113=3),'Specification &amp; Data'!I$26)))))))</f>
        <v>0</v>
      </c>
      <c r="V113" s="27">
        <f>'Specification &amp; Data'!B$46-Simulation!S113-Simulation!T113-Simulation!U113</f>
        <v>532.46814307400416</v>
      </c>
      <c r="W113" s="27">
        <f>Simulation!V113/Simulation!Y113</f>
        <v>0.90966849304685737</v>
      </c>
      <c r="X113" s="27">
        <f>60*Simulation!Q113/(2*'Specification &amp; Data'!B$15*PI())</f>
        <v>384.87934764693637</v>
      </c>
      <c r="Y113" s="27">
        <f>IF(L113=1,'Specification &amp; Data'!B$56,IF(L113=2,'Specification &amp; Data'!B$57,IF(L113=3,'Specification &amp; Data'!B$58)))</f>
        <v>585.34306414257276</v>
      </c>
      <c r="Z113" s="38">
        <f>Simulation!Y113*Simulation!Q113^2/(2*1000)</f>
        <v>30.672866596106797</v>
      </c>
    </row>
    <row r="114" spans="7:26">
      <c r="G114" s="44">
        <v>6600</v>
      </c>
      <c r="H114" s="44">
        <v>16.8</v>
      </c>
      <c r="I114" s="38">
        <f>Simulation!H114*746/1000</f>
        <v>12.532800000000002</v>
      </c>
      <c r="J114" s="38">
        <f>60*1000*Simulation!I114/(2*PI()*Simulation!G114)</f>
        <v>18.133246098019146</v>
      </c>
      <c r="K114" s="37">
        <v>585.70000000000005</v>
      </c>
      <c r="L114" s="27">
        <f>IF(Q114&lt;='Specification &amp; Data'!I$7,1,IF(AND(Q114&gt;'Specification &amp; Data'!I$7,Q114&lt;='Specification &amp; Data'!I$8),2,IF(Q114&gt;'Specification &amp; Data'!I$8,3)))</f>
        <v>2</v>
      </c>
      <c r="M114" s="33">
        <v>2</v>
      </c>
      <c r="N114" s="33">
        <f t="shared" si="1"/>
        <v>109</v>
      </c>
      <c r="O114" s="27">
        <f>O113+(1/Simulation!Q114)</f>
        <v>29.127294754081394</v>
      </c>
      <c r="P114" s="38">
        <f>Simulation!Q114*3.6</f>
        <v>37.172920515148803</v>
      </c>
      <c r="Q114" s="38">
        <f>MIN('Specification &amp; Data'!I$9,SQRT(2*Simulation!R113+Simulation!Q113^2))</f>
        <v>10.325811254208</v>
      </c>
      <c r="R114" s="38">
        <f>Simulation!V114/Simulation!Y114</f>
        <v>0.9078903395697826</v>
      </c>
      <c r="S114" s="27">
        <f>'Specification &amp; Data'!B$21*'Specification &amp; Data'!B$11*'Specification &amp; Data'!B$23*(Simulation!Q114+'Specification &amp; Data'!B$22)^2/2</f>
        <v>74.114602053617105</v>
      </c>
      <c r="T114" s="27">
        <f>IF(AND(M114=1,L114=1),'Specification &amp; Data'!E$14,IF(AND(M114=1,L114=2),'Specification &amp; Data'!E$15,IF(AND(M114=1,L114=3),'Specification &amp; Data'!E$16,IF(AND(M114=2,L114=1),'Specification &amp; Data'!F$14,IF(AND(M114=2,L114=2),'Specification &amp; Data'!F$15,IF(AND(M114=2,L114=3),'Specification &amp; Data'!F$16,IF(AND(M114=3,L114=1),'Specification &amp; Data'!I$14,IF(AND(M114=3,L114=2),'Specification &amp; Data'!I$15,IF(AND(M114=3,L114=3),'Specification &amp; Data'!I$16)))))))))</f>
        <v>102.35950200000001</v>
      </c>
      <c r="U114" s="27">
        <f>IF(AND(M114=1,L114=1),'Specification &amp; Data'!E$24,IF(AND(M114=1,L114=2),'Specification &amp; Data'!E$25,IF(AND(M114=1,L114=3),'Specification &amp; Data'!E$26,IF(M114=2,0,IF(AND(M114=3,L114=1),'Specification &amp; Data'!I$24,IF(AND(M114=3,L114=2),'Specification &amp; Data'!I$25,IF(AND(M114=3,L114=3),'Specification &amp; Data'!I$26)))))))</f>
        <v>0</v>
      </c>
      <c r="V114" s="27">
        <f>'Specification &amp; Data'!B$46-Simulation!S114-Simulation!T114-Simulation!U114</f>
        <v>531.42731326921739</v>
      </c>
      <c r="W114" s="27">
        <f>Simulation!V114/Simulation!Y114</f>
        <v>0.9078903395697826</v>
      </c>
      <c r="X114" s="27">
        <f>60*Simulation!Q114/(2*'Specification &amp; Data'!B$15*PI())</f>
        <v>388.20564626955752</v>
      </c>
      <c r="Y114" s="27">
        <f>IF(L114=1,'Specification &amp; Data'!B$56,IF(L114=2,'Specification &amp; Data'!B$57,IF(L114=3,'Specification &amp; Data'!B$58)))</f>
        <v>585.34306414257276</v>
      </c>
      <c r="Z114" s="38">
        <f>Simulation!Y114*Simulation!Q114^2/(2*1000)</f>
        <v>31.205334739180802</v>
      </c>
    </row>
    <row r="115" spans="7:26">
      <c r="G115" s="44">
        <v>6600</v>
      </c>
      <c r="H115" s="44">
        <v>16.8</v>
      </c>
      <c r="I115" s="38">
        <f>Simulation!H115*746/1000</f>
        <v>12.532800000000002</v>
      </c>
      <c r="J115" s="38">
        <f>60*1000*Simulation!I115/(2*PI()*Simulation!G115)</f>
        <v>18.133246098019146</v>
      </c>
      <c r="K115" s="37">
        <v>585.70000000000005</v>
      </c>
      <c r="L115" s="27">
        <f>IF(Q115&lt;='Specification &amp; Data'!I$7,1,IF(AND(Q115&gt;'Specification &amp; Data'!I$7,Q115&lt;='Specification &amp; Data'!I$8),2,IF(Q115&gt;'Specification &amp; Data'!I$8,3)))</f>
        <v>3</v>
      </c>
      <c r="M115" s="33">
        <v>2</v>
      </c>
      <c r="N115" s="33">
        <f t="shared" si="1"/>
        <v>110</v>
      </c>
      <c r="O115" s="27">
        <f>O114+(1/Simulation!Q115)</f>
        <v>29.223325197152196</v>
      </c>
      <c r="P115" s="38">
        <f>Simulation!Q115*3.6</f>
        <v>37.488111945351683</v>
      </c>
      <c r="Q115" s="38">
        <f>MIN('Specification &amp; Data'!I$9,SQRT(2*Simulation!R114+Simulation!Q114^2))</f>
        <v>10.413364429264355</v>
      </c>
      <c r="R115" s="38">
        <f>Simulation!V115/Simulation!Y115</f>
        <v>0.9125209934103472</v>
      </c>
      <c r="S115" s="27">
        <f>'Specification &amp; Data'!B$21*'Specification &amp; Data'!B$11*'Specification &amp; Data'!B$23*(Simulation!Q115+'Specification &amp; Data'!B$22)^2/2</f>
        <v>75.151825817800258</v>
      </c>
      <c r="T115" s="27">
        <f>IF(AND(M115=1,L115=1),'Specification &amp; Data'!E$14,IF(AND(M115=1,L115=2),'Specification &amp; Data'!E$15,IF(AND(M115=1,L115=3),'Specification &amp; Data'!E$16,IF(AND(M115=2,L115=1),'Specification &amp; Data'!F$14,IF(AND(M115=2,L115=2),'Specification &amp; Data'!F$15,IF(AND(M115=2,L115=3),'Specification &amp; Data'!F$16,IF(AND(M115=3,L115=1),'Specification &amp; Data'!I$14,IF(AND(M115=3,L115=2),'Specification &amp; Data'!I$15,IF(AND(M115=3,L115=3),'Specification &amp; Data'!I$16)))))))))</f>
        <v>102.35950200000001</v>
      </c>
      <c r="U115" s="27">
        <f>IF(AND(M115=1,L115=1),'Specification &amp; Data'!E$24,IF(AND(M115=1,L115=2),'Specification &amp; Data'!E$25,IF(AND(M115=1,L115=3),'Specification &amp; Data'!E$26,IF(M115=2,0,IF(AND(M115=3,L115=1),'Specification &amp; Data'!I$24,IF(AND(M115=3,L115=2),'Specification &amp; Data'!I$25,IF(AND(M115=3,L115=3),'Specification &amp; Data'!I$26)))))))</f>
        <v>0</v>
      </c>
      <c r="V115" s="27">
        <f>'Specification &amp; Data'!B$46-Simulation!S115-Simulation!T115-Simulation!U115</f>
        <v>530.39008950503421</v>
      </c>
      <c r="W115" s="27">
        <f>Simulation!V115/Simulation!Y115</f>
        <v>0.9125209934103472</v>
      </c>
      <c r="X115" s="27">
        <f>60*Simulation!Q115/(2*'Specification &amp; Data'!B$15*PI())</f>
        <v>391.49726530741788</v>
      </c>
      <c r="Y115" s="27">
        <f>IF(L115=1,'Specification &amp; Data'!B$56,IF(L115=2,'Specification &amp; Data'!B$57,IF(L115=3,'Specification &amp; Data'!B$58)))</f>
        <v>581.23604096253996</v>
      </c>
      <c r="Z115" s="38">
        <f>Simulation!Y115*Simulation!Q115^2/(2*1000)</f>
        <v>31.51408303668423</v>
      </c>
    </row>
    <row r="116" spans="7:26">
      <c r="G116" s="44">
        <v>6600</v>
      </c>
      <c r="H116" s="44">
        <v>16.8</v>
      </c>
      <c r="I116" s="38">
        <f>Simulation!H116*746/1000</f>
        <v>12.532800000000002</v>
      </c>
      <c r="J116" s="38">
        <f>60*1000*Simulation!I116/(2*PI()*Simulation!G116)</f>
        <v>18.133246098019146</v>
      </c>
      <c r="K116" s="37">
        <v>585.70000000000005</v>
      </c>
      <c r="L116" s="27">
        <f>IF(Q116&lt;='Specification &amp; Data'!I$7,1,IF(AND(Q116&gt;'Specification &amp; Data'!I$7,Q116&lt;='Specification &amp; Data'!I$8),2,IF(Q116&gt;'Specification &amp; Data'!I$8,3)))</f>
        <v>3</v>
      </c>
      <c r="M116" s="33">
        <v>2</v>
      </c>
      <c r="N116" s="33">
        <f t="shared" si="1"/>
        <v>111</v>
      </c>
      <c r="O116" s="27">
        <f>O115+(1/Simulation!Q116)</f>
        <v>29.318557591261612</v>
      </c>
      <c r="P116" s="38">
        <f>Simulation!Q116*3.6</f>
        <v>37.802262913434369</v>
      </c>
      <c r="Q116" s="38">
        <f>MIN('Specification &amp; Data'!I$9,SQRT(2*Simulation!R115+Simulation!Q115^2))</f>
        <v>10.500628587065103</v>
      </c>
      <c r="R116" s="38">
        <f>Simulation!V116/Simulation!Y116</f>
        <v>0.91073003126834329</v>
      </c>
      <c r="S116" s="27">
        <f>'Specification &amp; Data'!B$21*'Specification &amp; Data'!B$11*'Specification &amp; Data'!B$23*(Simulation!Q116+'Specification &amp; Data'!B$22)^2/2</f>
        <v>76.19279756273238</v>
      </c>
      <c r="T116" s="27">
        <f>IF(AND(M116=1,L116=1),'Specification &amp; Data'!E$14,IF(AND(M116=1,L116=2),'Specification &amp; Data'!E$15,IF(AND(M116=1,L116=3),'Specification &amp; Data'!E$16,IF(AND(M116=2,L116=1),'Specification &amp; Data'!F$14,IF(AND(M116=2,L116=2),'Specification &amp; Data'!F$15,IF(AND(M116=2,L116=3),'Specification &amp; Data'!F$16,IF(AND(M116=3,L116=1),'Specification &amp; Data'!I$14,IF(AND(M116=3,L116=2),'Specification &amp; Data'!I$15,IF(AND(M116=3,L116=3),'Specification &amp; Data'!I$16)))))))))</f>
        <v>102.35950200000001</v>
      </c>
      <c r="U116" s="27">
        <f>IF(AND(M116=1,L116=1),'Specification &amp; Data'!E$24,IF(AND(M116=1,L116=2),'Specification &amp; Data'!E$25,IF(AND(M116=1,L116=3),'Specification &amp; Data'!E$26,IF(M116=2,0,IF(AND(M116=3,L116=1),'Specification &amp; Data'!I$24,IF(AND(M116=3,L116=2),'Specification &amp; Data'!I$25,IF(AND(M116=3,L116=3),'Specification &amp; Data'!I$26)))))))</f>
        <v>0</v>
      </c>
      <c r="V116" s="27">
        <f>'Specification &amp; Data'!B$46-Simulation!S116-Simulation!T116-Simulation!U116</f>
        <v>529.3491177601021</v>
      </c>
      <c r="W116" s="27">
        <f>Simulation!V116/Simulation!Y116</f>
        <v>0.91073003126834329</v>
      </c>
      <c r="X116" s="27">
        <f>60*Simulation!Q116/(2*'Specification &amp; Data'!B$15*PI())</f>
        <v>394.77801855200215</v>
      </c>
      <c r="Y116" s="27">
        <f>IF(L116=1,'Specification &amp; Data'!B$56,IF(L116=2,'Specification &amp; Data'!B$57,IF(L116=3,'Specification &amp; Data'!B$58)))</f>
        <v>581.23604096253996</v>
      </c>
      <c r="Z116" s="38">
        <f>Simulation!Y116*Simulation!Q116^2/(2*1000)</f>
        <v>32.044473126189267</v>
      </c>
    </row>
    <row r="117" spans="7:26">
      <c r="G117" s="44">
        <v>6600</v>
      </c>
      <c r="H117" s="44">
        <v>16.8</v>
      </c>
      <c r="I117" s="38">
        <f>Simulation!H117*746/1000</f>
        <v>12.532800000000002</v>
      </c>
      <c r="J117" s="38">
        <f>60*1000*Simulation!I117/(2*PI()*Simulation!G117)</f>
        <v>18.133246098019146</v>
      </c>
      <c r="K117" s="37">
        <v>585.70000000000005</v>
      </c>
      <c r="L117" s="27">
        <f>IF(Q117&lt;='Specification &amp; Data'!I$7,1,IF(AND(Q117&gt;'Specification &amp; Data'!I$7,Q117&lt;='Specification &amp; Data'!I$8),2,IF(Q117&gt;'Specification &amp; Data'!I$8,3)))</f>
        <v>3</v>
      </c>
      <c r="M117" s="33">
        <v>2</v>
      </c>
      <c r="N117" s="33">
        <f t="shared" si="1"/>
        <v>112</v>
      </c>
      <c r="O117" s="27">
        <f>O116+(1/Simulation!Q117)</f>
        <v>29.413013016835464</v>
      </c>
      <c r="P117" s="38">
        <f>Simulation!Q117*3.6</f>
        <v>38.113215605441781</v>
      </c>
      <c r="Q117" s="38">
        <f>MIN('Specification &amp; Data'!I$9,SQRT(2*Simulation!R116+Simulation!Q116^2))</f>
        <v>10.58700433484494</v>
      </c>
      <c r="R117" s="38">
        <f>Simulation!V117/Simulation!Y117</f>
        <v>0.90894517119063956</v>
      </c>
      <c r="S117" s="27">
        <f>'Specification &amp; Data'!B$21*'Specification &amp; Data'!B$11*'Specification &amp; Data'!B$23*(Simulation!Q117+'Specification &amp; Data'!B$22)^2/2</f>
        <v>77.230222567969022</v>
      </c>
      <c r="T117" s="27">
        <f>IF(AND(M117=1,L117=1),'Specification &amp; Data'!E$14,IF(AND(M117=1,L117=2),'Specification &amp; Data'!E$15,IF(AND(M117=1,L117=3),'Specification &amp; Data'!E$16,IF(AND(M117=2,L117=1),'Specification &amp; Data'!F$14,IF(AND(M117=2,L117=2),'Specification &amp; Data'!F$15,IF(AND(M117=2,L117=3),'Specification &amp; Data'!F$16,IF(AND(M117=3,L117=1),'Specification &amp; Data'!I$14,IF(AND(M117=3,L117=2),'Specification &amp; Data'!I$15,IF(AND(M117=3,L117=3),'Specification &amp; Data'!I$16)))))))))</f>
        <v>102.35950200000001</v>
      </c>
      <c r="U117" s="27">
        <f>IF(AND(M117=1,L117=1),'Specification &amp; Data'!E$24,IF(AND(M117=1,L117=2),'Specification &amp; Data'!E$25,IF(AND(M117=1,L117=3),'Specification &amp; Data'!E$26,IF(M117=2,0,IF(AND(M117=3,L117=1),'Specification &amp; Data'!I$24,IF(AND(M117=3,L117=2),'Specification &amp; Data'!I$25,IF(AND(M117=3,L117=3),'Specification &amp; Data'!I$26)))))))</f>
        <v>0</v>
      </c>
      <c r="V117" s="27">
        <f>'Specification &amp; Data'!B$46-Simulation!S117-Simulation!T117-Simulation!U117</f>
        <v>528.31169275486548</v>
      </c>
      <c r="W117" s="27">
        <f>Simulation!V117/Simulation!Y117</f>
        <v>0.90894517119063956</v>
      </c>
      <c r="X117" s="27">
        <f>60*Simulation!Q117/(2*'Specification &amp; Data'!B$15*PI())</f>
        <v>398.02537143918795</v>
      </c>
      <c r="Y117" s="27">
        <f>IF(L117=1,'Specification &amp; Data'!B$56,IF(L117=2,'Specification &amp; Data'!B$57,IF(L117=3,'Specification &amp; Data'!B$58)))</f>
        <v>581.23604096253996</v>
      </c>
      <c r="Z117" s="38">
        <f>Simulation!Y117*Simulation!Q117^2/(2*1000)</f>
        <v>32.573822243949373</v>
      </c>
    </row>
    <row r="118" spans="7:26">
      <c r="G118" s="44">
        <v>6600</v>
      </c>
      <c r="H118" s="44">
        <v>16.8</v>
      </c>
      <c r="I118" s="38">
        <f>Simulation!H118*746/1000</f>
        <v>12.532800000000002</v>
      </c>
      <c r="J118" s="38">
        <f>60*1000*Simulation!I118/(2*PI()*Simulation!G118)</f>
        <v>18.133246098019146</v>
      </c>
      <c r="K118" s="37">
        <v>585.70000000000005</v>
      </c>
      <c r="L118" s="27">
        <f>IF(Q118&lt;='Specification &amp; Data'!I$7,1,IF(AND(Q118&gt;'Specification &amp; Data'!I$7,Q118&lt;='Specification &amp; Data'!I$8),2,IF(Q118&gt;'Specification &amp; Data'!I$8,3)))</f>
        <v>3</v>
      </c>
      <c r="M118" s="33">
        <v>2</v>
      </c>
      <c r="N118" s="33">
        <f t="shared" si="1"/>
        <v>113</v>
      </c>
      <c r="O118" s="27">
        <f>O117+(1/Simulation!Q118)</f>
        <v>29.506711654040085</v>
      </c>
      <c r="P118" s="38">
        <f>Simulation!Q118*3.6</f>
        <v>38.421049733500936</v>
      </c>
      <c r="Q118" s="38">
        <f>MIN('Specification &amp; Data'!I$9,SQRT(2*Simulation!R117+Simulation!Q117^2))</f>
        <v>10.672513814861372</v>
      </c>
      <c r="R118" s="38">
        <f>Simulation!V118/Simulation!Y118</f>
        <v>0.90716632342967696</v>
      </c>
      <c r="S118" s="27">
        <f>'Specification &amp; Data'!B$21*'Specification &amp; Data'!B$11*'Specification &amp; Data'!B$23*(Simulation!Q118+'Specification &amp; Data'!B$22)^2/2</f>
        <v>78.264152998026063</v>
      </c>
      <c r="T118" s="27">
        <f>IF(AND(M118=1,L118=1),'Specification &amp; Data'!E$14,IF(AND(M118=1,L118=2),'Specification &amp; Data'!E$15,IF(AND(M118=1,L118=3),'Specification &amp; Data'!E$16,IF(AND(M118=2,L118=1),'Specification &amp; Data'!F$14,IF(AND(M118=2,L118=2),'Specification &amp; Data'!F$15,IF(AND(M118=2,L118=3),'Specification &amp; Data'!F$16,IF(AND(M118=3,L118=1),'Specification &amp; Data'!I$14,IF(AND(M118=3,L118=2),'Specification &amp; Data'!I$15,IF(AND(M118=3,L118=3),'Specification &amp; Data'!I$16)))))))))</f>
        <v>102.35950200000001</v>
      </c>
      <c r="U118" s="27">
        <f>IF(AND(M118=1,L118=1),'Specification &amp; Data'!E$24,IF(AND(M118=1,L118=2),'Specification &amp; Data'!E$25,IF(AND(M118=1,L118=3),'Specification &amp; Data'!E$26,IF(M118=2,0,IF(AND(M118=3,L118=1),'Specification &amp; Data'!I$24,IF(AND(M118=3,L118=2),'Specification &amp; Data'!I$25,IF(AND(M118=3,L118=3),'Specification &amp; Data'!I$26)))))))</f>
        <v>0</v>
      </c>
      <c r="V118" s="27">
        <f>'Specification &amp; Data'!B$46-Simulation!S118-Simulation!T118-Simulation!U118</f>
        <v>527.27776232480846</v>
      </c>
      <c r="W118" s="27">
        <f>Simulation!V118/Simulation!Y118</f>
        <v>0.90716632342967696</v>
      </c>
      <c r="X118" s="27">
        <f>60*Simulation!Q118/(2*'Specification &amp; Data'!B$15*PI())</f>
        <v>401.24015642166819</v>
      </c>
      <c r="Y118" s="27">
        <f>IF(L118=1,'Specification &amp; Data'!B$56,IF(L118=2,'Specification &amp; Data'!B$57,IF(L118=3,'Specification &amp; Data'!B$58)))</f>
        <v>581.23604096253996</v>
      </c>
      <c r="Z118" s="38">
        <f>Simulation!Y118*Simulation!Q118^2/(2*1000)</f>
        <v>33.102133936704242</v>
      </c>
    </row>
    <row r="119" spans="7:26">
      <c r="G119" s="44">
        <v>6600</v>
      </c>
      <c r="H119" s="44">
        <v>16.8</v>
      </c>
      <c r="I119" s="38">
        <f>Simulation!H119*746/1000</f>
        <v>12.532800000000002</v>
      </c>
      <c r="J119" s="38">
        <f>60*1000*Simulation!I119/(2*PI()*Simulation!G119)</f>
        <v>18.133246098019146</v>
      </c>
      <c r="K119" s="37">
        <v>585.70000000000005</v>
      </c>
      <c r="L119" s="27">
        <f>IF(Q119&lt;='Specification &amp; Data'!I$7,1,IF(AND(Q119&gt;'Specification &amp; Data'!I$7,Q119&lt;='Specification &amp; Data'!I$8),2,IF(Q119&gt;'Specification &amp; Data'!I$8,3)))</f>
        <v>3</v>
      </c>
      <c r="M119" s="33">
        <v>2</v>
      </c>
      <c r="N119" s="33">
        <f t="shared" si="1"/>
        <v>114</v>
      </c>
      <c r="O119" s="27">
        <f>O118+(1/Simulation!Q119)</f>
        <v>29.599672835616563</v>
      </c>
      <c r="P119" s="38">
        <f>Simulation!Q119*3.6</f>
        <v>38.725841678747919</v>
      </c>
      <c r="Q119" s="38">
        <f>MIN('Specification &amp; Data'!I$9,SQRT(2*Simulation!R118+Simulation!Q118^2))</f>
        <v>10.757178244096645</v>
      </c>
      <c r="R119" s="38">
        <f>Simulation!V119/Simulation!Y119</f>
        <v>0.90539340172093397</v>
      </c>
      <c r="S119" s="27">
        <f>'Specification &amp; Data'!B$21*'Specification &amp; Data'!B$11*'Specification &amp; Data'!B$23*(Simulation!Q119+'Specification &amp; Data'!B$22)^2/2</f>
        <v>79.294638992952301</v>
      </c>
      <c r="T119" s="27">
        <f>IF(AND(M119=1,L119=1),'Specification &amp; Data'!E$14,IF(AND(M119=1,L119=2),'Specification &amp; Data'!E$15,IF(AND(M119=1,L119=3),'Specification &amp; Data'!E$16,IF(AND(M119=2,L119=1),'Specification &amp; Data'!F$14,IF(AND(M119=2,L119=2),'Specification &amp; Data'!F$15,IF(AND(M119=2,L119=3),'Specification &amp; Data'!F$16,IF(AND(M119=3,L119=1),'Specification &amp; Data'!I$14,IF(AND(M119=3,L119=2),'Specification &amp; Data'!I$15,IF(AND(M119=3,L119=3),'Specification &amp; Data'!I$16)))))))))</f>
        <v>102.35950200000001</v>
      </c>
      <c r="U119" s="27">
        <f>IF(AND(M119=1,L119=1),'Specification &amp; Data'!E$24,IF(AND(M119=1,L119=2),'Specification &amp; Data'!E$25,IF(AND(M119=1,L119=3),'Specification &amp; Data'!E$26,IF(M119=2,0,IF(AND(M119=3,L119=1),'Specification &amp; Data'!I$24,IF(AND(M119=3,L119=2),'Specification &amp; Data'!I$25,IF(AND(M119=3,L119=3),'Specification &amp; Data'!I$26)))))))</f>
        <v>0</v>
      </c>
      <c r="V119" s="27">
        <f>'Specification &amp; Data'!B$46-Simulation!S119-Simulation!T119-Simulation!U119</f>
        <v>526.2472763298822</v>
      </c>
      <c r="W119" s="27">
        <f>Simulation!V119/Simulation!Y119</f>
        <v>0.90539340172093397</v>
      </c>
      <c r="X119" s="27">
        <f>60*Simulation!Q119/(2*'Specification &amp; Data'!B$15*PI())</f>
        <v>404.4231711658054</v>
      </c>
      <c r="Y119" s="27">
        <f>IF(L119=1,'Specification &amp; Data'!B$56,IF(L119=2,'Specification &amp; Data'!B$57,IF(L119=3,'Specification &amp; Data'!B$58)))</f>
        <v>581.23604096253996</v>
      </c>
      <c r="Z119" s="38">
        <f>Simulation!Y119*Simulation!Q119^2/(2*1000)</f>
        <v>33.629411699029042</v>
      </c>
    </row>
    <row r="120" spans="7:26">
      <c r="G120" s="44">
        <v>6600</v>
      </c>
      <c r="H120" s="44">
        <v>16.8</v>
      </c>
      <c r="I120" s="38">
        <f>Simulation!H120*746/1000</f>
        <v>12.532800000000002</v>
      </c>
      <c r="J120" s="38">
        <f>60*1000*Simulation!I120/(2*PI()*Simulation!G120)</f>
        <v>18.133246098019146</v>
      </c>
      <c r="K120" s="37">
        <v>585.70000000000005</v>
      </c>
      <c r="L120" s="27">
        <f>IF(Q120&lt;='Specification &amp; Data'!I$7,1,IF(AND(Q120&gt;'Specification &amp; Data'!I$7,Q120&lt;='Specification &amp; Data'!I$8),2,IF(Q120&gt;'Specification &amp; Data'!I$8,3)))</f>
        <v>3</v>
      </c>
      <c r="M120" s="33">
        <v>2</v>
      </c>
      <c r="N120" s="33">
        <f t="shared" si="1"/>
        <v>115</v>
      </c>
      <c r="O120" s="27">
        <f>O119+(1/Simulation!Q120)</f>
        <v>29.691915095796176</v>
      </c>
      <c r="P120" s="38">
        <f>Simulation!Q120*3.6</f>
        <v>39.027664684170588</v>
      </c>
      <c r="Q120" s="38">
        <f>MIN('Specification &amp; Data'!I$9,SQRT(2*Simulation!R119+Simulation!Q119^2))</f>
        <v>10.841017967825163</v>
      </c>
      <c r="R120" s="38">
        <f>Simulation!V120/Simulation!Y120</f>
        <v>0.903626323084053</v>
      </c>
      <c r="S120" s="27">
        <f>'Specification &amp; Data'!B$21*'Specification &amp; Data'!B$11*'Specification &amp; Data'!B$23*(Simulation!Q120+'Specification &amp; Data'!B$22)^2/2</f>
        <v>80.321728783922467</v>
      </c>
      <c r="T120" s="27">
        <f>IF(AND(M120=1,L120=1),'Specification &amp; Data'!E$14,IF(AND(M120=1,L120=2),'Specification &amp; Data'!E$15,IF(AND(M120=1,L120=3),'Specification &amp; Data'!E$16,IF(AND(M120=2,L120=1),'Specification &amp; Data'!F$14,IF(AND(M120=2,L120=2),'Specification &amp; Data'!F$15,IF(AND(M120=2,L120=3),'Specification &amp; Data'!F$16,IF(AND(M120=3,L120=1),'Specification &amp; Data'!I$14,IF(AND(M120=3,L120=2),'Specification &amp; Data'!I$15,IF(AND(M120=3,L120=3),'Specification &amp; Data'!I$16)))))))))</f>
        <v>102.35950200000001</v>
      </c>
      <c r="U120" s="27">
        <f>IF(AND(M120=1,L120=1),'Specification &amp; Data'!E$24,IF(AND(M120=1,L120=2),'Specification &amp; Data'!E$25,IF(AND(M120=1,L120=3),'Specification &amp; Data'!E$26,IF(M120=2,0,IF(AND(M120=3,L120=1),'Specification &amp; Data'!I$24,IF(AND(M120=3,L120=2),'Specification &amp; Data'!I$25,IF(AND(M120=3,L120=3),'Specification &amp; Data'!I$26)))))))</f>
        <v>0</v>
      </c>
      <c r="V120" s="27">
        <f>'Specification &amp; Data'!B$46-Simulation!S120-Simulation!T120-Simulation!U120</f>
        <v>525.220186538912</v>
      </c>
      <c r="W120" s="27">
        <f>Simulation!V120/Simulation!Y120</f>
        <v>0.903626323084053</v>
      </c>
      <c r="X120" s="27">
        <f>60*Simulation!Q120/(2*'Specification &amp; Data'!B$15*PI())</f>
        <v>407.57518056553431</v>
      </c>
      <c r="Y120" s="27">
        <f>IF(L120=1,'Specification &amp; Data'!B$56,IF(L120=2,'Specification &amp; Data'!B$57,IF(L120=3,'Specification &amp; Data'!B$58)))</f>
        <v>581.23604096253996</v>
      </c>
      <c r="Z120" s="38">
        <f>Simulation!Y120*Simulation!Q120^2/(2*1000)</f>
        <v>34.155658975358918</v>
      </c>
    </row>
    <row r="121" spans="7:26">
      <c r="G121" s="44">
        <v>6500</v>
      </c>
      <c r="H121" s="44">
        <v>18</v>
      </c>
      <c r="I121" s="38">
        <f>Simulation!H121*746/1000</f>
        <v>13.428000000000001</v>
      </c>
      <c r="J121" s="38">
        <f>60*1000*Simulation!I121/(2*PI()*Simulation!G121)</f>
        <v>19.727377623119729</v>
      </c>
      <c r="K121" s="37">
        <v>585.70000000000005</v>
      </c>
      <c r="L121" s="27">
        <f>IF(Q121&lt;='Specification &amp; Data'!I$7,1,IF(AND(Q121&gt;'Specification &amp; Data'!I$7,Q121&lt;='Specification &amp; Data'!I$8),2,IF(Q121&gt;'Specification &amp; Data'!I$8,3)))</f>
        <v>3</v>
      </c>
      <c r="M121" s="33">
        <v>2</v>
      </c>
      <c r="N121" s="33">
        <f t="shared" si="1"/>
        <v>116</v>
      </c>
      <c r="O121" s="27">
        <f>O120+(1/Simulation!Q121)</f>
        <v>29.783456215646446</v>
      </c>
      <c r="P121" s="38">
        <f>Simulation!Q121*3.6</f>
        <v>39.32658903330411</v>
      </c>
      <c r="Q121" s="38">
        <f>MIN('Specification &amp; Data'!I$9,SQRT(2*Simulation!R120+Simulation!Q120^2))</f>
        <v>10.92405250925114</v>
      </c>
      <c r="R121" s="38">
        <f>Simulation!V121/Simulation!Y121</f>
        <v>0.90186500763846256</v>
      </c>
      <c r="S121" s="27">
        <f>'Specification &amp; Data'!B$21*'Specification &amp; Data'!B$11*'Specification &amp; Data'!B$23*(Simulation!Q121+'Specification &amp; Data'!B$22)^2/2</f>
        <v>81.345468800403594</v>
      </c>
      <c r="T121" s="27">
        <f>IF(AND(M121=1,L121=1),'Specification &amp; Data'!E$14,IF(AND(M121=1,L121=2),'Specification &amp; Data'!E$15,IF(AND(M121=1,L121=3),'Specification &amp; Data'!E$16,IF(AND(M121=2,L121=1),'Specification &amp; Data'!F$14,IF(AND(M121=2,L121=2),'Specification &amp; Data'!F$15,IF(AND(M121=2,L121=3),'Specification &amp; Data'!F$16,IF(AND(M121=3,L121=1),'Specification &amp; Data'!I$14,IF(AND(M121=3,L121=2),'Specification &amp; Data'!I$15,IF(AND(M121=3,L121=3),'Specification &amp; Data'!I$16)))))))))</f>
        <v>102.35950200000001</v>
      </c>
      <c r="U121" s="27">
        <f>IF(AND(M121=1,L121=1),'Specification &amp; Data'!E$24,IF(AND(M121=1,L121=2),'Specification &amp; Data'!E$25,IF(AND(M121=1,L121=3),'Specification &amp; Data'!E$26,IF(M121=2,0,IF(AND(M121=3,L121=1),'Specification &amp; Data'!I$24,IF(AND(M121=3,L121=2),'Specification &amp; Data'!I$25,IF(AND(M121=3,L121=3),'Specification &amp; Data'!I$26)))))))</f>
        <v>0</v>
      </c>
      <c r="V121" s="27">
        <f>'Specification &amp; Data'!B$46-Simulation!S121-Simulation!T121-Simulation!U121</f>
        <v>524.19644652243085</v>
      </c>
      <c r="W121" s="27">
        <f>Simulation!V121/Simulation!Y121</f>
        <v>0.90186500763846256</v>
      </c>
      <c r="X121" s="27">
        <f>60*Simulation!Q121/(2*'Specification &amp; Data'!B$15*PI())</f>
        <v>410.69691860852168</v>
      </c>
      <c r="Y121" s="27">
        <f>IF(L121=1,'Specification &amp; Data'!B$56,IF(L121=2,'Specification &amp; Data'!B$57,IF(L121=3,'Specification &amp; Data'!B$58)))</f>
        <v>581.23604096253996</v>
      </c>
      <c r="Z121" s="38">
        <f>Simulation!Y121*Simulation!Q121^2/(2*1000)</f>
        <v>34.680879161897835</v>
      </c>
    </row>
    <row r="122" spans="7:26">
      <c r="G122" s="44">
        <v>6500</v>
      </c>
      <c r="H122" s="44">
        <v>18</v>
      </c>
      <c r="I122" s="38">
        <f>Simulation!H122*746/1000</f>
        <v>13.428000000000001</v>
      </c>
      <c r="J122" s="38">
        <f>60*1000*Simulation!I122/(2*PI()*Simulation!G122)</f>
        <v>19.727377623119729</v>
      </c>
      <c r="K122" s="37">
        <v>585.70000000000005</v>
      </c>
      <c r="L122" s="27">
        <f>IF(Q122&lt;='Specification &amp; Data'!I$7,1,IF(AND(Q122&gt;'Specification &amp; Data'!I$7,Q122&lt;='Specification &amp; Data'!I$8),2,IF(Q122&gt;'Specification &amp; Data'!I$8,3)))</f>
        <v>3</v>
      </c>
      <c r="M122" s="33">
        <v>2</v>
      </c>
      <c r="N122" s="33">
        <f t="shared" si="1"/>
        <v>117</v>
      </c>
      <c r="O122" s="27">
        <f>O121+(1/Simulation!Q122)</f>
        <v>29.874313265160971</v>
      </c>
      <c r="P122" s="38">
        <f>Simulation!Q122*3.6</f>
        <v>39.622682216028529</v>
      </c>
      <c r="Q122" s="38">
        <f>MIN('Specification &amp; Data'!I$9,SQRT(2*Simulation!R121+Simulation!Q121^2))</f>
        <v>11.006300615563481</v>
      </c>
      <c r="R122" s="38">
        <f>Simulation!V122/Simulation!Y122</f>
        <v>0.90010937843222472</v>
      </c>
      <c r="S122" s="27">
        <f>'Specification &amp; Data'!B$21*'Specification &amp; Data'!B$11*'Specification &amp; Data'!B$23*(Simulation!Q122+'Specification &amp; Data'!B$22)^2/2</f>
        <v>82.365903769635594</v>
      </c>
      <c r="T122" s="27">
        <f>IF(AND(M122=1,L122=1),'Specification &amp; Data'!E$14,IF(AND(M122=1,L122=2),'Specification &amp; Data'!E$15,IF(AND(M122=1,L122=3),'Specification &amp; Data'!E$16,IF(AND(M122=2,L122=1),'Specification &amp; Data'!F$14,IF(AND(M122=2,L122=2),'Specification &amp; Data'!F$15,IF(AND(M122=2,L122=3),'Specification &amp; Data'!F$16,IF(AND(M122=3,L122=1),'Specification &amp; Data'!I$14,IF(AND(M122=3,L122=2),'Specification &amp; Data'!I$15,IF(AND(M122=3,L122=3),'Specification &amp; Data'!I$16)))))))))</f>
        <v>102.35950200000001</v>
      </c>
      <c r="U122" s="27">
        <f>IF(AND(M122=1,L122=1),'Specification &amp; Data'!E$24,IF(AND(M122=1,L122=2),'Specification &amp; Data'!E$25,IF(AND(M122=1,L122=3),'Specification &amp; Data'!E$26,IF(M122=2,0,IF(AND(M122=3,L122=1),'Specification &amp; Data'!I$24,IF(AND(M122=3,L122=2),'Specification &amp; Data'!I$25,IF(AND(M122=3,L122=3),'Specification &amp; Data'!I$26)))))))</f>
        <v>0</v>
      </c>
      <c r="V122" s="27">
        <f>'Specification &amp; Data'!B$46-Simulation!S122-Simulation!T122-Simulation!U122</f>
        <v>523.17601155319892</v>
      </c>
      <c r="W122" s="27">
        <f>Simulation!V122/Simulation!Y122</f>
        <v>0.90010937843222472</v>
      </c>
      <c r="X122" s="27">
        <f>60*Simulation!Q122/(2*'Specification &amp; Data'!B$15*PI())</f>
        <v>413.78909010762959</v>
      </c>
      <c r="Y122" s="27">
        <f>IF(L122=1,'Specification &amp; Data'!B$56,IF(L122=2,'Specification &amp; Data'!B$57,IF(L122=3,'Specification &amp; Data'!B$58)))</f>
        <v>581.23604096253996</v>
      </c>
      <c r="Z122" s="38">
        <f>Simulation!Y122*Simulation!Q122^2/(2*1000)</f>
        <v>35.205075608420259</v>
      </c>
    </row>
    <row r="123" spans="7:26">
      <c r="G123" s="44">
        <v>6500</v>
      </c>
      <c r="H123" s="44">
        <v>18</v>
      </c>
      <c r="I123" s="38">
        <f>Simulation!H123*746/1000</f>
        <v>13.428000000000001</v>
      </c>
      <c r="J123" s="38">
        <f>60*1000*Simulation!I123/(2*PI()*Simulation!G123)</f>
        <v>19.727377623119729</v>
      </c>
      <c r="K123" s="37">
        <v>585.70000000000005</v>
      </c>
      <c r="L123" s="27">
        <f>IF(Q123&lt;='Specification &amp; Data'!I$7,1,IF(AND(Q123&gt;'Specification &amp; Data'!I$7,Q123&lt;='Specification &amp; Data'!I$8),2,IF(Q123&gt;'Specification &amp; Data'!I$8,3)))</f>
        <v>3</v>
      </c>
      <c r="M123" s="33">
        <v>2</v>
      </c>
      <c r="N123" s="33">
        <f t="shared" si="1"/>
        <v>118</v>
      </c>
      <c r="O123" s="27">
        <f>O122+(1/Simulation!Q123)</f>
        <v>29.964502642374292</v>
      </c>
      <c r="P123" s="38">
        <f>Simulation!Q123*3.6</f>
        <v>39.916009082589241</v>
      </c>
      <c r="Q123" s="38">
        <f>MIN('Specification &amp; Data'!I$9,SQRT(2*Simulation!R122+Simulation!Q122^2))</f>
        <v>11.087780300719233</v>
      </c>
      <c r="R123" s="38">
        <f>Simulation!V123/Simulation!Y123</f>
        <v>0.89835936128295835</v>
      </c>
      <c r="S123" s="27">
        <f>'Specification &amp; Data'!B$21*'Specification &amp; Data'!B$11*'Specification &amp; Data'!B$23*(Simulation!Q123+'Specification &amp; Data'!B$22)^2/2</f>
        <v>83.383076809091691</v>
      </c>
      <c r="T123" s="27">
        <f>IF(AND(M123=1,L123=1),'Specification &amp; Data'!E$14,IF(AND(M123=1,L123=2),'Specification &amp; Data'!E$15,IF(AND(M123=1,L123=3),'Specification &amp; Data'!E$16,IF(AND(M123=2,L123=1),'Specification &amp; Data'!F$14,IF(AND(M123=2,L123=2),'Specification &amp; Data'!F$15,IF(AND(M123=2,L123=3),'Specification &amp; Data'!F$16,IF(AND(M123=3,L123=1),'Specification &amp; Data'!I$14,IF(AND(M123=3,L123=2),'Specification &amp; Data'!I$15,IF(AND(M123=3,L123=3),'Specification &amp; Data'!I$16)))))))))</f>
        <v>102.35950200000001</v>
      </c>
      <c r="U123" s="27">
        <f>IF(AND(M123=1,L123=1),'Specification &amp; Data'!E$24,IF(AND(M123=1,L123=2),'Specification &amp; Data'!E$25,IF(AND(M123=1,L123=3),'Specification &amp; Data'!E$26,IF(M123=2,0,IF(AND(M123=3,L123=1),'Specification &amp; Data'!I$24,IF(AND(M123=3,L123=2),'Specification &amp; Data'!I$25,IF(AND(M123=3,L123=3),'Specification &amp; Data'!I$26)))))))</f>
        <v>0</v>
      </c>
      <c r="V123" s="27">
        <f>'Specification &amp; Data'!B$46-Simulation!S123-Simulation!T123-Simulation!U123</f>
        <v>522.15883851374281</v>
      </c>
      <c r="W123" s="27">
        <f>Simulation!V123/Simulation!Y123</f>
        <v>0.89835936128295835</v>
      </c>
      <c r="X123" s="27">
        <f>60*Simulation!Q123/(2*'Specification &amp; Data'!B$15*PI())</f>
        <v>416.85237230938765</v>
      </c>
      <c r="Y123" s="27">
        <f>IF(L123=1,'Specification &amp; Data'!B$56,IF(L123=2,'Specification &amp; Data'!B$57,IF(L123=3,'Specification &amp; Data'!B$58)))</f>
        <v>581.23604096253996</v>
      </c>
      <c r="Z123" s="38">
        <f>Simulation!Y123*Simulation!Q123^2/(2*1000)</f>
        <v>35.728251619973456</v>
      </c>
    </row>
    <row r="124" spans="7:26">
      <c r="G124" s="44">
        <v>6500</v>
      </c>
      <c r="H124" s="44">
        <v>18</v>
      </c>
      <c r="I124" s="38">
        <f>Simulation!H124*746/1000</f>
        <v>13.428000000000001</v>
      </c>
      <c r="J124" s="38">
        <f>60*1000*Simulation!I124/(2*PI()*Simulation!G124)</f>
        <v>19.727377623119729</v>
      </c>
      <c r="K124" s="37">
        <v>585.70000000000005</v>
      </c>
      <c r="L124" s="27">
        <f>IF(Q124&lt;='Specification &amp; Data'!I$7,1,IF(AND(Q124&gt;'Specification &amp; Data'!I$7,Q124&lt;='Specification &amp; Data'!I$8),2,IF(Q124&gt;'Specification &amp; Data'!I$8,3)))</f>
        <v>3</v>
      </c>
      <c r="M124" s="33">
        <v>2</v>
      </c>
      <c r="N124" s="33">
        <f t="shared" si="1"/>
        <v>119</v>
      </c>
      <c r="O124" s="27">
        <f>O123+(1/Simulation!Q124)</f>
        <v>30.054040109754737</v>
      </c>
      <c r="P124" s="38">
        <f>Simulation!Q124*3.6</f>
        <v>40.206631986847654</v>
      </c>
      <c r="Q124" s="38">
        <f>MIN('Specification &amp; Data'!I$9,SQRT(2*Simulation!R123+Simulation!Q123^2))</f>
        <v>11.168508885235459</v>
      </c>
      <c r="R124" s="38">
        <f>Simulation!V124/Simulation!Y124</f>
        <v>0.89661488462981442</v>
      </c>
      <c r="S124" s="27">
        <f>'Specification &amp; Data'!B$21*'Specification &amp; Data'!B$11*'Specification &amp; Data'!B$23*(Simulation!Q124+'Specification &amp; Data'!B$22)^2/2</f>
        <v>84.397029512516568</v>
      </c>
      <c r="T124" s="27">
        <f>IF(AND(M124=1,L124=1),'Specification &amp; Data'!E$14,IF(AND(M124=1,L124=2),'Specification &amp; Data'!E$15,IF(AND(M124=1,L124=3),'Specification &amp; Data'!E$16,IF(AND(M124=2,L124=1),'Specification &amp; Data'!F$14,IF(AND(M124=2,L124=2),'Specification &amp; Data'!F$15,IF(AND(M124=2,L124=3),'Specification &amp; Data'!F$16,IF(AND(M124=3,L124=1),'Specification &amp; Data'!I$14,IF(AND(M124=3,L124=2),'Specification &amp; Data'!I$15,IF(AND(M124=3,L124=3),'Specification &amp; Data'!I$16)))))))))</f>
        <v>102.35950200000001</v>
      </c>
      <c r="U124" s="27">
        <f>IF(AND(M124=1,L124=1),'Specification &amp; Data'!E$24,IF(AND(M124=1,L124=2),'Specification &amp; Data'!E$25,IF(AND(M124=1,L124=3),'Specification &amp; Data'!E$26,IF(M124=2,0,IF(AND(M124=3,L124=1),'Specification &amp; Data'!I$24,IF(AND(M124=3,L124=2),'Specification &amp; Data'!I$25,IF(AND(M124=3,L124=3),'Specification &amp; Data'!I$26)))))))</f>
        <v>0</v>
      </c>
      <c r="V124" s="27">
        <f>'Specification &amp; Data'!B$46-Simulation!S124-Simulation!T124-Simulation!U124</f>
        <v>521.14488581031787</v>
      </c>
      <c r="W124" s="27">
        <f>Simulation!V124/Simulation!Y124</f>
        <v>0.89661488462981442</v>
      </c>
      <c r="X124" s="27">
        <f>60*Simulation!Q124/(2*'Specification &amp; Data'!B$15*PI())</f>
        <v>419.88741638999454</v>
      </c>
      <c r="Y124" s="27">
        <f>IF(L124=1,'Specification &amp; Data'!B$56,IF(L124=2,'Specification &amp; Data'!B$57,IF(L124=3,'Specification &amp; Data'!B$58)))</f>
        <v>581.23604096253996</v>
      </c>
      <c r="Z124" s="38">
        <f>Simulation!Y124*Simulation!Q124^2/(2*1000)</f>
        <v>36.250410458487195</v>
      </c>
    </row>
    <row r="125" spans="7:26">
      <c r="G125" s="44">
        <v>6400</v>
      </c>
      <c r="H125" s="44">
        <v>17.8</v>
      </c>
      <c r="I125" s="38">
        <f>Simulation!H125*746/1000</f>
        <v>13.2788</v>
      </c>
      <c r="J125" s="38">
        <f>60*1000*Simulation!I125/(2*PI()*Simulation!G125)</f>
        <v>19.812999921831185</v>
      </c>
      <c r="K125" s="37">
        <v>585.70000000000005</v>
      </c>
      <c r="L125" s="27">
        <f>IF(Q125&lt;='Specification &amp; Data'!I$7,1,IF(AND(Q125&gt;'Specification &amp; Data'!I$7,Q125&lt;='Specification &amp; Data'!I$8),2,IF(Q125&gt;'Specification &amp; Data'!I$8,3)))</f>
        <v>3</v>
      </c>
      <c r="M125" s="33">
        <v>2</v>
      </c>
      <c r="N125" s="33">
        <f t="shared" si="1"/>
        <v>120</v>
      </c>
      <c r="O125" s="27">
        <f>O124+(1/Simulation!Q125)</f>
        <v>30.142940828103196</v>
      </c>
      <c r="P125" s="38">
        <f>Simulation!Q125*3.6</f>
        <v>40.49461091966937</v>
      </c>
      <c r="Q125" s="38">
        <f>MIN('Specification &amp; Data'!I$9,SQRT(2*Simulation!R124+Simulation!Q124^2))</f>
        <v>11.248503033241491</v>
      </c>
      <c r="R125" s="38">
        <f>Simulation!V125/Simulation!Y125</f>
        <v>0.89487587939557167</v>
      </c>
      <c r="S125" s="27">
        <f>'Specification &amp; Data'!B$21*'Specification &amp; Data'!B$11*'Specification &amp; Data'!B$23*(Simulation!Q125+'Specification &amp; Data'!B$22)^2/2</f>
        <v>85.407802030081001</v>
      </c>
      <c r="T125" s="27">
        <f>IF(AND(M125=1,L125=1),'Specification &amp; Data'!E$14,IF(AND(M125=1,L125=2),'Specification &amp; Data'!E$15,IF(AND(M125=1,L125=3),'Specification &amp; Data'!E$16,IF(AND(M125=2,L125=1),'Specification &amp; Data'!F$14,IF(AND(M125=2,L125=2),'Specification &amp; Data'!F$15,IF(AND(M125=2,L125=3),'Specification &amp; Data'!F$16,IF(AND(M125=3,L125=1),'Specification &amp; Data'!I$14,IF(AND(M125=3,L125=2),'Specification &amp; Data'!I$15,IF(AND(M125=3,L125=3),'Specification &amp; Data'!I$16)))))))))</f>
        <v>102.35950200000001</v>
      </c>
      <c r="U125" s="27">
        <f>IF(AND(M125=1,L125=1),'Specification &amp; Data'!E$24,IF(AND(M125=1,L125=2),'Specification &amp; Data'!E$25,IF(AND(M125=1,L125=3),'Specification &amp; Data'!E$26,IF(M125=2,0,IF(AND(M125=3,L125=1),'Specification &amp; Data'!I$24,IF(AND(M125=3,L125=2),'Specification &amp; Data'!I$25,IF(AND(M125=3,L125=3),'Specification &amp; Data'!I$26)))))))</f>
        <v>0</v>
      </c>
      <c r="V125" s="27">
        <f>'Specification &amp; Data'!B$46-Simulation!S125-Simulation!T125-Simulation!U125</f>
        <v>520.13411329275345</v>
      </c>
      <c r="W125" s="27">
        <f>Simulation!V125/Simulation!Y125</f>
        <v>0.89487587939557167</v>
      </c>
      <c r="X125" s="27">
        <f>60*Simulation!Q125/(2*'Specification &amp; Data'!B$15*PI())</f>
        <v>422.89484884832166</v>
      </c>
      <c r="Y125" s="27">
        <f>IF(L125=1,'Specification &amp; Data'!B$56,IF(L125=2,'Specification &amp; Data'!B$57,IF(L125=3,'Specification &amp; Data'!B$58)))</f>
        <v>581.23604096253996</v>
      </c>
      <c r="Z125" s="38">
        <f>Simulation!Y125*Simulation!Q125^2/(2*1000)</f>
        <v>36.771555344297511</v>
      </c>
    </row>
    <row r="126" spans="7:26">
      <c r="G126" s="44">
        <v>6400</v>
      </c>
      <c r="H126" s="44">
        <v>17.8</v>
      </c>
      <c r="I126" s="38">
        <f>Simulation!H126*746/1000</f>
        <v>13.2788</v>
      </c>
      <c r="J126" s="38">
        <f>60*1000*Simulation!I126/(2*PI()*Simulation!G126)</f>
        <v>19.812999921831185</v>
      </c>
      <c r="K126" s="37">
        <v>585.70000000000005</v>
      </c>
      <c r="L126" s="27">
        <f>IF(Q126&lt;='Specification &amp; Data'!I$7,1,IF(AND(Q126&gt;'Specification &amp; Data'!I$7,Q126&lt;='Specification &amp; Data'!I$8),2,IF(Q126&gt;'Specification &amp; Data'!I$8,3)))</f>
        <v>3</v>
      </c>
      <c r="M126" s="33">
        <v>2</v>
      </c>
      <c r="N126" s="33">
        <f t="shared" si="1"/>
        <v>121</v>
      </c>
      <c r="O126" s="27">
        <f>O125+(1/Simulation!Q126)</f>
        <v>30.231219388163527</v>
      </c>
      <c r="P126" s="38">
        <f>Simulation!Q126*3.6</f>
        <v>40.780003633267853</v>
      </c>
      <c r="Q126" s="38">
        <f>MIN('Specification &amp; Data'!I$9,SQRT(2*Simulation!R125+Simulation!Q125^2))</f>
        <v>11.327778787018847</v>
      </c>
      <c r="R126" s="38">
        <f>Simulation!V126/Simulation!Y126</f>
        <v>0.89314227885801845</v>
      </c>
      <c r="S126" s="27">
        <f>'Specification &amp; Data'!B$21*'Specification &amp; Data'!B$11*'Specification &amp; Data'!B$23*(Simulation!Q126+'Specification &amp; Data'!B$22)^2/2</f>
        <v>86.415433143139055</v>
      </c>
      <c r="T126" s="27">
        <f>IF(AND(M126=1,L126=1),'Specification &amp; Data'!E$14,IF(AND(M126=1,L126=2),'Specification &amp; Data'!E$15,IF(AND(M126=1,L126=3),'Specification &amp; Data'!E$16,IF(AND(M126=2,L126=1),'Specification &amp; Data'!F$14,IF(AND(M126=2,L126=2),'Specification &amp; Data'!F$15,IF(AND(M126=2,L126=3),'Specification &amp; Data'!F$16,IF(AND(M126=3,L126=1),'Specification &amp; Data'!I$14,IF(AND(M126=3,L126=2),'Specification &amp; Data'!I$15,IF(AND(M126=3,L126=3),'Specification &amp; Data'!I$16)))))))))</f>
        <v>102.35950200000001</v>
      </c>
      <c r="U126" s="27">
        <f>IF(AND(M126=1,L126=1),'Specification &amp; Data'!E$24,IF(AND(M126=1,L126=2),'Specification &amp; Data'!E$25,IF(AND(M126=1,L126=3),'Specification &amp; Data'!E$26,IF(M126=2,0,IF(AND(M126=3,L126=1),'Specification &amp; Data'!I$24,IF(AND(M126=3,L126=2),'Specification &amp; Data'!I$25,IF(AND(M126=3,L126=3),'Specification &amp; Data'!I$26)))))))</f>
        <v>0</v>
      </c>
      <c r="V126" s="27">
        <f>'Specification &amp; Data'!B$46-Simulation!S126-Simulation!T126-Simulation!U126</f>
        <v>519.12648217969547</v>
      </c>
      <c r="W126" s="27">
        <f>Simulation!V126/Simulation!Y126</f>
        <v>0.89314227885801845</v>
      </c>
      <c r="X126" s="27">
        <f>60*Simulation!Q126/(2*'Specification &amp; Data'!B$15*PI())</f>
        <v>425.87527280446392</v>
      </c>
      <c r="Y126" s="27">
        <f>IF(L126=1,'Specification &amp; Data'!B$56,IF(L126=2,'Specification &amp; Data'!B$57,IF(L126=3,'Specification &amp; Data'!B$58)))</f>
        <v>581.23604096253996</v>
      </c>
      <c r="Z126" s="38">
        <f>Simulation!Y126*Simulation!Q126^2/(2*1000)</f>
        <v>37.291689457590273</v>
      </c>
    </row>
    <row r="127" spans="7:26">
      <c r="G127" s="44">
        <v>6400</v>
      </c>
      <c r="H127" s="44">
        <v>17.8</v>
      </c>
      <c r="I127" s="38">
        <f>Simulation!H127*746/1000</f>
        <v>13.2788</v>
      </c>
      <c r="J127" s="38">
        <f>60*1000*Simulation!I127/(2*PI()*Simulation!G127)</f>
        <v>19.812999921831185</v>
      </c>
      <c r="K127" s="37">
        <v>585.70000000000005</v>
      </c>
      <c r="L127" s="27">
        <f>IF(Q127&lt;='Specification &amp; Data'!I$7,1,IF(AND(Q127&gt;'Specification &amp; Data'!I$7,Q127&lt;='Specification &amp; Data'!I$8),2,IF(Q127&gt;'Specification &amp; Data'!I$8,3)))</f>
        <v>3</v>
      </c>
      <c r="M127" s="33">
        <v>2</v>
      </c>
      <c r="N127" s="33">
        <f t="shared" si="1"/>
        <v>122</v>
      </c>
      <c r="O127" s="27">
        <f>O126+(1/Simulation!Q127)</f>
        <v>30.318889840130584</v>
      </c>
      <c r="P127" s="38">
        <f>Simulation!Q127*3.6</f>
        <v>41.062865757242747</v>
      </c>
      <c r="Q127" s="38">
        <f>MIN('Specification &amp; Data'!I$9,SQRT(2*Simulation!R126+Simulation!Q126^2))</f>
        <v>11.406351599234096</v>
      </c>
      <c r="R127" s="38">
        <f>Simulation!V127/Simulation!Y127</f>
        <v>0.89141401852986568</v>
      </c>
      <c r="S127" s="27">
        <f>'Specification &amp; Data'!B$21*'Specification &amp; Data'!B$11*'Specification &amp; Data'!B$23*(Simulation!Q127+'Specification &amp; Data'!B$22)^2/2</f>
        <v>87.419960334027053</v>
      </c>
      <c r="T127" s="27">
        <f>IF(AND(M127=1,L127=1),'Specification &amp; Data'!E$14,IF(AND(M127=1,L127=2),'Specification &amp; Data'!E$15,IF(AND(M127=1,L127=3),'Specification &amp; Data'!E$16,IF(AND(M127=2,L127=1),'Specification &amp; Data'!F$14,IF(AND(M127=2,L127=2),'Specification &amp; Data'!F$15,IF(AND(M127=2,L127=3),'Specification &amp; Data'!F$16,IF(AND(M127=3,L127=1),'Specification &amp; Data'!I$14,IF(AND(M127=3,L127=2),'Specification &amp; Data'!I$15,IF(AND(M127=3,L127=3),'Specification &amp; Data'!I$16)))))))))</f>
        <v>102.35950200000001</v>
      </c>
      <c r="U127" s="27">
        <f>IF(AND(M127=1,L127=1),'Specification &amp; Data'!E$24,IF(AND(M127=1,L127=2),'Specification &amp; Data'!E$25,IF(AND(M127=1,L127=3),'Specification &amp; Data'!E$26,IF(M127=2,0,IF(AND(M127=3,L127=1),'Specification &amp; Data'!I$24,IF(AND(M127=3,L127=2),'Specification &amp; Data'!I$25,IF(AND(M127=3,L127=3),'Specification &amp; Data'!I$26)))))))</f>
        <v>0</v>
      </c>
      <c r="V127" s="27">
        <f>'Specification &amp; Data'!B$46-Simulation!S127-Simulation!T127-Simulation!U127</f>
        <v>518.12195498880737</v>
      </c>
      <c r="W127" s="27">
        <f>Simulation!V127/Simulation!Y127</f>
        <v>0.89141401852986568</v>
      </c>
      <c r="X127" s="27">
        <f>60*Simulation!Q127/(2*'Specification &amp; Data'!B$15*PI())</f>
        <v>428.82926921155564</v>
      </c>
      <c r="Y127" s="27">
        <f>IF(L127=1,'Specification &amp; Data'!B$56,IF(L127=2,'Specification &amp; Data'!B$57,IF(L127=3,'Specification &amp; Data'!B$58)))</f>
        <v>581.23604096253996</v>
      </c>
      <c r="Z127" s="38">
        <f>Simulation!Y127*Simulation!Q127^2/(2*1000)</f>
        <v>37.810815939769967</v>
      </c>
    </row>
    <row r="128" spans="7:26">
      <c r="G128" s="44">
        <v>6400</v>
      </c>
      <c r="H128" s="44">
        <v>17.8</v>
      </c>
      <c r="I128" s="38">
        <f>Simulation!H128*746/1000</f>
        <v>13.2788</v>
      </c>
      <c r="J128" s="38">
        <f>60*1000*Simulation!I128/(2*PI()*Simulation!G128)</f>
        <v>19.812999921831185</v>
      </c>
      <c r="K128" s="37">
        <v>585.70000000000005</v>
      </c>
      <c r="L128" s="27">
        <f>IF(Q128&lt;='Specification &amp; Data'!I$7,1,IF(AND(Q128&gt;'Specification &amp; Data'!I$7,Q128&lt;='Specification &amp; Data'!I$8),2,IF(Q128&gt;'Specification &amp; Data'!I$8,3)))</f>
        <v>3</v>
      </c>
      <c r="M128" s="33">
        <v>2</v>
      </c>
      <c r="N128" s="33">
        <f t="shared" si="1"/>
        <v>123</v>
      </c>
      <c r="O128" s="27">
        <f>O127+(1/Simulation!Q128)</f>
        <v>30.405965721224202</v>
      </c>
      <c r="P128" s="38">
        <f>Simulation!Q128*3.6</f>
        <v>41.343250906981581</v>
      </c>
      <c r="Q128" s="38">
        <f>MIN('Specification &amp; Data'!I$9,SQRT(2*Simulation!R127+Simulation!Q127^2))</f>
        <v>11.484236363050439</v>
      </c>
      <c r="R128" s="38">
        <f>Simulation!V128/Simulation!Y128</f>
        <v>0.8896910360465079</v>
      </c>
      <c r="S128" s="27">
        <f>'Specification &amp; Data'!B$21*'Specification &amp; Data'!B$11*'Specification &amp; Data'!B$23*(Simulation!Q128+'Specification &amp; Data'!B$22)^2/2</f>
        <v>88.421419851301792</v>
      </c>
      <c r="T128" s="27">
        <f>IF(AND(M128=1,L128=1),'Specification &amp; Data'!E$14,IF(AND(M128=1,L128=2),'Specification &amp; Data'!E$15,IF(AND(M128=1,L128=3),'Specification &amp; Data'!E$16,IF(AND(M128=2,L128=1),'Specification &amp; Data'!F$14,IF(AND(M128=2,L128=2),'Specification &amp; Data'!F$15,IF(AND(M128=2,L128=3),'Specification &amp; Data'!F$16,IF(AND(M128=3,L128=1),'Specification &amp; Data'!I$14,IF(AND(M128=3,L128=2),'Specification &amp; Data'!I$15,IF(AND(M128=3,L128=3),'Specification &amp; Data'!I$16)))))))))</f>
        <v>102.35950200000001</v>
      </c>
      <c r="U128" s="27">
        <f>IF(AND(M128=1,L128=1),'Specification &amp; Data'!E$24,IF(AND(M128=1,L128=2),'Specification &amp; Data'!E$25,IF(AND(M128=1,L128=3),'Specification &amp; Data'!E$26,IF(M128=2,0,IF(AND(M128=3,L128=1),'Specification &amp; Data'!I$24,IF(AND(M128=3,L128=2),'Specification &amp; Data'!I$25,IF(AND(M128=3,L128=3),'Specification &amp; Data'!I$26)))))))</f>
        <v>0</v>
      </c>
      <c r="V128" s="27">
        <f>'Specification &amp; Data'!B$46-Simulation!S128-Simulation!T128-Simulation!U128</f>
        <v>517.12049547153265</v>
      </c>
      <c r="W128" s="27">
        <f>Simulation!V128/Simulation!Y128</f>
        <v>0.8896910360465079</v>
      </c>
      <c r="X128" s="27">
        <f>60*Simulation!Q128/(2*'Specification &amp; Data'!B$15*PI())</f>
        <v>431.75739798783491</v>
      </c>
      <c r="Y128" s="27">
        <f>IF(L128=1,'Specification &amp; Data'!B$56,IF(L128=2,'Specification &amp; Data'!B$57,IF(L128=3,'Specification &amp; Data'!B$58)))</f>
        <v>581.23604096253996</v>
      </c>
      <c r="Z128" s="38">
        <f>Simulation!Y128*Simulation!Q128^2/(2*1000)</f>
        <v>38.328937894758781</v>
      </c>
    </row>
    <row r="129" spans="7:26">
      <c r="G129" s="44">
        <v>6400</v>
      </c>
      <c r="H129" s="44">
        <v>17.8</v>
      </c>
      <c r="I129" s="38">
        <f>Simulation!H129*746/1000</f>
        <v>13.2788</v>
      </c>
      <c r="J129" s="38">
        <f>60*1000*Simulation!I129/(2*PI()*Simulation!G129)</f>
        <v>19.812999921831185</v>
      </c>
      <c r="K129" s="37">
        <v>585.70000000000005</v>
      </c>
      <c r="L129" s="27">
        <f>IF(Q129&lt;='Specification &amp; Data'!I$7,1,IF(AND(Q129&gt;'Specification &amp; Data'!I$7,Q129&lt;='Specification &amp; Data'!I$8),2,IF(Q129&gt;'Specification &amp; Data'!I$8,3)))</f>
        <v>3</v>
      </c>
      <c r="M129" s="33">
        <v>2</v>
      </c>
      <c r="N129" s="33">
        <f t="shared" si="1"/>
        <v>124</v>
      </c>
      <c r="O129" s="27">
        <f>O128+(1/Simulation!Q129)</f>
        <v>30.492460081481852</v>
      </c>
      <c r="P129" s="38">
        <f>Simulation!Q129*3.6</f>
        <v>41.621210785030733</v>
      </c>
      <c r="Q129" s="38">
        <f>MIN('Specification &amp; Data'!I$9,SQRT(2*Simulation!R128+Simulation!Q128^2))</f>
        <v>11.561447440286315</v>
      </c>
      <c r="R129" s="38">
        <f>Simulation!V129/Simulation!Y129</f>
        <v>0.88797327106100732</v>
      </c>
      <c r="S129" s="27">
        <f>'Specification &amp; Data'!B$21*'Specification &amp; Data'!B$11*'Specification &amp; Data'!B$23*(Simulation!Q129+'Specification &amp; Data'!B$22)^2/2</f>
        <v>89.419846770778236</v>
      </c>
      <c r="T129" s="27">
        <f>IF(AND(M129=1,L129=1),'Specification &amp; Data'!E$14,IF(AND(M129=1,L129=2),'Specification &amp; Data'!E$15,IF(AND(M129=1,L129=3),'Specification &amp; Data'!E$16,IF(AND(M129=2,L129=1),'Specification &amp; Data'!F$14,IF(AND(M129=2,L129=2),'Specification &amp; Data'!F$15,IF(AND(M129=2,L129=3),'Specification &amp; Data'!F$16,IF(AND(M129=3,L129=1),'Specification &amp; Data'!I$14,IF(AND(M129=3,L129=2),'Specification &amp; Data'!I$15,IF(AND(M129=3,L129=3),'Specification &amp; Data'!I$16)))))))))</f>
        <v>102.35950200000001</v>
      </c>
      <c r="U129" s="27">
        <f>IF(AND(M129=1,L129=1),'Specification &amp; Data'!E$24,IF(AND(M129=1,L129=2),'Specification &amp; Data'!E$25,IF(AND(M129=1,L129=3),'Specification &amp; Data'!E$26,IF(M129=2,0,IF(AND(M129=3,L129=1),'Specification &amp; Data'!I$24,IF(AND(M129=3,L129=2),'Specification &amp; Data'!I$25,IF(AND(M129=3,L129=3),'Specification &amp; Data'!I$26)))))))</f>
        <v>0</v>
      </c>
      <c r="V129" s="27">
        <f>'Specification &amp; Data'!B$46-Simulation!S129-Simulation!T129-Simulation!U129</f>
        <v>516.12206855205625</v>
      </c>
      <c r="W129" s="27">
        <f>Simulation!V129/Simulation!Y129</f>
        <v>0.88797327106100732</v>
      </c>
      <c r="X129" s="27">
        <f>60*Simulation!Q129/(2*'Specification &amp; Data'!B$15*PI())</f>
        <v>434.66019907528528</v>
      </c>
      <c r="Y129" s="27">
        <f>IF(L129=1,'Specification &amp; Data'!B$56,IF(L129=2,'Specification &amp; Data'!B$57,IF(L129=3,'Specification &amp; Data'!B$58)))</f>
        <v>581.23604096253996</v>
      </c>
      <c r="Z129" s="38">
        <f>Simulation!Y129*Simulation!Q129^2/(2*1000)</f>
        <v>38.846058390230311</v>
      </c>
    </row>
    <row r="130" spans="7:26">
      <c r="G130" s="44">
        <v>6400</v>
      </c>
      <c r="H130" s="44">
        <v>17.8</v>
      </c>
      <c r="I130" s="38">
        <f>Simulation!H130*746/1000</f>
        <v>13.2788</v>
      </c>
      <c r="J130" s="38">
        <f>60*1000*Simulation!I130/(2*PI()*Simulation!G130)</f>
        <v>19.812999921831185</v>
      </c>
      <c r="K130" s="37">
        <v>585.70000000000005</v>
      </c>
      <c r="L130" s="27">
        <f>IF(Q130&lt;='Specification &amp; Data'!I$7,1,IF(AND(Q130&gt;'Specification &amp; Data'!I$7,Q130&lt;='Specification &amp; Data'!I$8),2,IF(Q130&gt;'Specification &amp; Data'!I$8,3)))</f>
        <v>3</v>
      </c>
      <c r="M130" s="33">
        <v>2</v>
      </c>
      <c r="N130" s="33">
        <f t="shared" si="1"/>
        <v>125</v>
      </c>
      <c r="O130" s="27">
        <f>O129+(1/Simulation!Q130)</f>
        <v>30.578385507908521</v>
      </c>
      <c r="P130" s="38">
        <f>Simulation!Q130*3.6</f>
        <v>41.896795275985731</v>
      </c>
      <c r="Q130" s="38">
        <f>MIN('Specification &amp; Data'!I$9,SQRT(2*Simulation!R129+Simulation!Q129^2))</f>
        <v>11.637998687773814</v>
      </c>
      <c r="R130" s="38">
        <f>Simulation!V130/Simulation!Y130</f>
        <v>0.88626066514574553</v>
      </c>
      <c r="S130" s="27">
        <f>'Specification &amp; Data'!B$21*'Specification &amp; Data'!B$11*'Specification &amp; Data'!B$23*(Simulation!Q130+'Specification &amp; Data'!B$22)^2/2</f>
        <v>90.415275052693985</v>
      </c>
      <c r="T130" s="27">
        <f>IF(AND(M130=1,L130=1),'Specification &amp; Data'!E$14,IF(AND(M130=1,L130=2),'Specification &amp; Data'!E$15,IF(AND(M130=1,L130=3),'Specification &amp; Data'!E$16,IF(AND(M130=2,L130=1),'Specification &amp; Data'!F$14,IF(AND(M130=2,L130=2),'Specification &amp; Data'!F$15,IF(AND(M130=2,L130=3),'Specification &amp; Data'!F$16,IF(AND(M130=3,L130=1),'Specification &amp; Data'!I$14,IF(AND(M130=3,L130=2),'Specification &amp; Data'!I$15,IF(AND(M130=3,L130=3),'Specification &amp; Data'!I$16)))))))))</f>
        <v>102.35950200000001</v>
      </c>
      <c r="U130" s="27">
        <f>IF(AND(M130=1,L130=1),'Specification &amp; Data'!E$24,IF(AND(M130=1,L130=2),'Specification &amp; Data'!E$25,IF(AND(M130=1,L130=3),'Specification &amp; Data'!E$26,IF(M130=2,0,IF(AND(M130=3,L130=1),'Specification &amp; Data'!I$24,IF(AND(M130=3,L130=2),'Specification &amp; Data'!I$25,IF(AND(M130=3,L130=3),'Specification &amp; Data'!I$26)))))))</f>
        <v>0</v>
      </c>
      <c r="V130" s="27">
        <f>'Specification &amp; Data'!B$46-Simulation!S130-Simulation!T130-Simulation!U130</f>
        <v>515.12664027014046</v>
      </c>
      <c r="W130" s="27">
        <f>Simulation!V130/Simulation!Y130</f>
        <v>0.88626066514574553</v>
      </c>
      <c r="X130" s="27">
        <f>60*Simulation!Q130/(2*'Specification &amp; Data'!B$15*PI())</f>
        <v>437.53819343059706</v>
      </c>
      <c r="Y130" s="27">
        <f>IF(L130=1,'Specification &amp; Data'!B$56,IF(L130=2,'Specification &amp; Data'!B$57,IF(L130=3,'Specification &amp; Data'!B$58)))</f>
        <v>581.23604096253996</v>
      </c>
      <c r="Z130" s="38">
        <f>Simulation!Y130*Simulation!Q130^2/(2*1000)</f>
        <v>39.362180458782376</v>
      </c>
    </row>
    <row r="131" spans="7:26">
      <c r="G131" s="44">
        <v>6400</v>
      </c>
      <c r="H131" s="44">
        <v>17.8</v>
      </c>
      <c r="I131" s="38">
        <f>Simulation!H131*746/1000</f>
        <v>13.2788</v>
      </c>
      <c r="J131" s="38">
        <f>60*1000*Simulation!I131/(2*PI()*Simulation!G131)</f>
        <v>19.812999921831185</v>
      </c>
      <c r="K131" s="37">
        <v>585.70000000000005</v>
      </c>
      <c r="L131" s="27">
        <f>IF(Q131&lt;='Specification &amp; Data'!I$7,1,IF(AND(Q131&gt;'Specification &amp; Data'!I$7,Q131&lt;='Specification &amp; Data'!I$8),2,IF(Q131&gt;'Specification &amp; Data'!I$8,3)))</f>
        <v>3</v>
      </c>
      <c r="M131" s="33">
        <v>2</v>
      </c>
      <c r="N131" s="33">
        <f t="shared" si="1"/>
        <v>126</v>
      </c>
      <c r="O131" s="27">
        <f>O130+(1/Simulation!Q131)</f>
        <v>30.663754147109952</v>
      </c>
      <c r="P131" s="38">
        <f>Simulation!Q131*3.6</f>
        <v>42.170052535400501</v>
      </c>
      <c r="Q131" s="38">
        <f>MIN('Specification &amp; Data'!I$9,SQRT(2*Simulation!R130+Simulation!Q130^2))</f>
        <v>11.713903482055695</v>
      </c>
      <c r="R131" s="38">
        <f>Simulation!V131/Simulation!Y131</f>
        <v>0.88455316170022602</v>
      </c>
      <c r="S131" s="27">
        <f>'Specification &amp; Data'!B$21*'Specification &amp; Data'!B$11*'Specification &amp; Data'!B$23*(Simulation!Q131+'Specification &amp; Data'!B$22)^2/2</f>
        <v>91.407737595297647</v>
      </c>
      <c r="T131" s="27">
        <f>IF(AND(M131=1,L131=1),'Specification &amp; Data'!E$14,IF(AND(M131=1,L131=2),'Specification &amp; Data'!E$15,IF(AND(M131=1,L131=3),'Specification &amp; Data'!E$16,IF(AND(M131=2,L131=1),'Specification &amp; Data'!F$14,IF(AND(M131=2,L131=2),'Specification &amp; Data'!F$15,IF(AND(M131=2,L131=3),'Specification &amp; Data'!F$16,IF(AND(M131=3,L131=1),'Specification &amp; Data'!I$14,IF(AND(M131=3,L131=2),'Specification &amp; Data'!I$15,IF(AND(M131=3,L131=3),'Specification &amp; Data'!I$16)))))))))</f>
        <v>102.35950200000001</v>
      </c>
      <c r="U131" s="27">
        <f>IF(AND(M131=1,L131=1),'Specification &amp; Data'!E$24,IF(AND(M131=1,L131=2),'Specification &amp; Data'!E$25,IF(AND(M131=1,L131=3),'Specification &amp; Data'!E$26,IF(M131=2,0,IF(AND(M131=3,L131=1),'Specification &amp; Data'!I$24,IF(AND(M131=3,L131=2),'Specification &amp; Data'!I$25,IF(AND(M131=3,L131=3),'Specification &amp; Data'!I$26)))))))</f>
        <v>0</v>
      </c>
      <c r="V131" s="27">
        <f>'Specification &amp; Data'!B$46-Simulation!S131-Simulation!T131-Simulation!U131</f>
        <v>514.13417772753678</v>
      </c>
      <c r="W131" s="27">
        <f>Simulation!V131/Simulation!Y131</f>
        <v>0.88455316170022602</v>
      </c>
      <c r="X131" s="27">
        <f>60*Simulation!Q131/(2*'Specification &amp; Data'!B$15*PI())</f>
        <v>440.39188395366824</v>
      </c>
      <c r="Y131" s="27">
        <f>IF(L131=1,'Specification &amp; Data'!B$56,IF(L131=2,'Specification &amp; Data'!B$57,IF(L131=3,'Specification &amp; Data'!B$58)))</f>
        <v>581.23604096253996</v>
      </c>
      <c r="Z131" s="38">
        <f>Simulation!Y131*Simulation!Q131^2/(2*1000)</f>
        <v>39.87730709905253</v>
      </c>
    </row>
    <row r="132" spans="7:26">
      <c r="G132" s="44">
        <v>6400</v>
      </c>
      <c r="H132" s="44">
        <v>17.8</v>
      </c>
      <c r="I132" s="38">
        <f>Simulation!H132*746/1000</f>
        <v>13.2788</v>
      </c>
      <c r="J132" s="38">
        <f>60*1000*Simulation!I132/(2*PI()*Simulation!G132)</f>
        <v>19.812999921831185</v>
      </c>
      <c r="K132" s="37">
        <v>585.70000000000005</v>
      </c>
      <c r="L132" s="27">
        <f>IF(Q132&lt;='Specification &amp; Data'!I$7,1,IF(AND(Q132&gt;'Specification &amp; Data'!I$7,Q132&lt;='Specification &amp; Data'!I$8),2,IF(Q132&gt;'Specification &amp; Data'!I$8,3)))</f>
        <v>3</v>
      </c>
      <c r="M132" s="33">
        <v>2</v>
      </c>
      <c r="N132" s="33">
        <f t="shared" si="1"/>
        <v>127</v>
      </c>
      <c r="O132" s="27">
        <f>O131+(1/Simulation!Q132)</f>
        <v>30.748577726523951</v>
      </c>
      <c r="P132" s="38">
        <f>Simulation!Q132*3.6</f>
        <v>42.441029073170554</v>
      </c>
      <c r="Q132" s="38">
        <f>MIN('Specification &amp; Data'!I$9,SQRT(2*Simulation!R131+Simulation!Q131^2))</f>
        <v>11.789174742547376</v>
      </c>
      <c r="R132" s="38">
        <f>Simulation!V132/Simulation!Y132</f>
        <v>0.88285070586456305</v>
      </c>
      <c r="S132" s="27">
        <f>'Specification &amp; Data'!B$21*'Specification &amp; Data'!B$11*'Specification &amp; Data'!B$23*(Simulation!Q132+'Specification &amp; Data'!B$22)^2/2</f>
        <v>92.397266285131991</v>
      </c>
      <c r="T132" s="27">
        <f>IF(AND(M132=1,L132=1),'Specification &amp; Data'!E$14,IF(AND(M132=1,L132=2),'Specification &amp; Data'!E$15,IF(AND(M132=1,L132=3),'Specification &amp; Data'!E$16,IF(AND(M132=2,L132=1),'Specification &amp; Data'!F$14,IF(AND(M132=2,L132=2),'Specification &amp; Data'!F$15,IF(AND(M132=2,L132=3),'Specification &amp; Data'!F$16,IF(AND(M132=3,L132=1),'Specification &amp; Data'!I$14,IF(AND(M132=3,L132=2),'Specification &amp; Data'!I$15,IF(AND(M132=3,L132=3),'Specification &amp; Data'!I$16)))))))))</f>
        <v>102.35950200000001</v>
      </c>
      <c r="U132" s="27">
        <f>IF(AND(M132=1,L132=1),'Specification &amp; Data'!E$24,IF(AND(M132=1,L132=2),'Specification &amp; Data'!E$25,IF(AND(M132=1,L132=3),'Specification &amp; Data'!E$26,IF(M132=2,0,IF(AND(M132=3,L132=1),'Specification &amp; Data'!I$24,IF(AND(M132=3,L132=2),'Specification &amp; Data'!I$25,IF(AND(M132=3,L132=3),'Specification &amp; Data'!I$26)))))))</f>
        <v>0</v>
      </c>
      <c r="V132" s="27">
        <f>'Specification &amp; Data'!B$46-Simulation!S132-Simulation!T132-Simulation!U132</f>
        <v>513.14464903770249</v>
      </c>
      <c r="W132" s="27">
        <f>Simulation!V132/Simulation!Y132</f>
        <v>0.88285070586456305</v>
      </c>
      <c r="X132" s="27">
        <f>60*Simulation!Q132/(2*'Specification &amp; Data'!B$15*PI())</f>
        <v>443.22175635839471</v>
      </c>
      <c r="Y132" s="27">
        <f>IF(L132=1,'Specification &amp; Data'!B$56,IF(L132=2,'Specification &amp; Data'!B$57,IF(L132=3,'Specification &amp; Data'!B$58)))</f>
        <v>581.23604096253996</v>
      </c>
      <c r="Z132" s="38">
        <f>Simulation!Y132*Simulation!Q132^2/(2*1000)</f>
        <v>40.39144127678005</v>
      </c>
    </row>
    <row r="133" spans="7:26">
      <c r="G133" s="44">
        <v>6400</v>
      </c>
      <c r="H133" s="44">
        <v>17.8</v>
      </c>
      <c r="I133" s="38">
        <f>Simulation!H133*746/1000</f>
        <v>13.2788</v>
      </c>
      <c r="J133" s="38">
        <f>60*1000*Simulation!I133/(2*PI()*Simulation!G133)</f>
        <v>19.812999921831185</v>
      </c>
      <c r="K133" s="37">
        <v>525.1</v>
      </c>
      <c r="L133" s="27">
        <f>IF(Q133&lt;='Specification &amp; Data'!I$7,1,IF(AND(Q133&gt;'Specification &amp; Data'!I$7,Q133&lt;='Specification &amp; Data'!I$8),2,IF(Q133&gt;'Specification &amp; Data'!I$8,3)))</f>
        <v>3</v>
      </c>
      <c r="M133" s="33">
        <v>2</v>
      </c>
      <c r="N133" s="33">
        <f t="shared" si="1"/>
        <v>128</v>
      </c>
      <c r="O133" s="27">
        <f>O132+(1/Simulation!Q133)</f>
        <v>30.832867574354488</v>
      </c>
      <c r="P133" s="38">
        <f>Simulation!Q133*3.6</f>
        <v>42.709769831804493</v>
      </c>
      <c r="Q133" s="38">
        <f>MIN('Specification &amp; Data'!I$9,SQRT(2*Simulation!R132+Simulation!Q132^2))</f>
        <v>11.863824953279027</v>
      </c>
      <c r="R133" s="38">
        <f>Simulation!V133/Simulation!Y133</f>
        <v>0.88115324443823317</v>
      </c>
      <c r="S133" s="27">
        <f>'Specification &amp; Data'!B$21*'Specification &amp; Data'!B$11*'Specification &amp; Data'!B$23*(Simulation!Q133+'Specification &amp; Data'!B$22)^2/2</f>
        <v>93.383892044258602</v>
      </c>
      <c r="T133" s="27">
        <f>IF(AND(M133=1,L133=1),'Specification &amp; Data'!E$14,IF(AND(M133=1,L133=2),'Specification &amp; Data'!E$15,IF(AND(M133=1,L133=3),'Specification &amp; Data'!E$16,IF(AND(M133=2,L133=1),'Specification &amp; Data'!F$14,IF(AND(M133=2,L133=2),'Specification &amp; Data'!F$15,IF(AND(M133=2,L133=3),'Specification &amp; Data'!F$16,IF(AND(M133=3,L133=1),'Specification &amp; Data'!I$14,IF(AND(M133=3,L133=2),'Specification &amp; Data'!I$15,IF(AND(M133=3,L133=3),'Specification &amp; Data'!I$16)))))))))</f>
        <v>102.35950200000001</v>
      </c>
      <c r="U133" s="27">
        <f>IF(AND(M133=1,L133=1),'Specification &amp; Data'!E$24,IF(AND(M133=1,L133=2),'Specification &amp; Data'!E$25,IF(AND(M133=1,L133=3),'Specification &amp; Data'!E$26,IF(M133=2,0,IF(AND(M133=3,L133=1),'Specification &amp; Data'!I$24,IF(AND(M133=3,L133=2),'Specification &amp; Data'!I$25,IF(AND(M133=3,L133=3),'Specification &amp; Data'!I$26)))))))</f>
        <v>0</v>
      </c>
      <c r="V133" s="27">
        <f>'Specification &amp; Data'!B$46-Simulation!S133-Simulation!T133-Simulation!U133</f>
        <v>512.15802327857591</v>
      </c>
      <c r="W133" s="27">
        <f>Simulation!V133/Simulation!Y133</f>
        <v>0.88115324443823317</v>
      </c>
      <c r="X133" s="27">
        <f>60*Simulation!Q133/(2*'Specification &amp; Data'!B$15*PI())</f>
        <v>446.02827999007832</v>
      </c>
      <c r="Y133" s="27">
        <f>IF(L133=1,'Specification &amp; Data'!B$56,IF(L133=2,'Specification &amp; Data'!B$57,IF(L133=3,'Specification &amp; Data'!B$58)))</f>
        <v>581.23604096253996</v>
      </c>
      <c r="Z133" s="38">
        <f>Simulation!Y133*Simulation!Q133^2/(2*1000)</f>
        <v>40.904585925817749</v>
      </c>
    </row>
    <row r="134" spans="7:26">
      <c r="G134" s="44">
        <v>6400</v>
      </c>
      <c r="H134" s="44">
        <v>17.8</v>
      </c>
      <c r="I134" s="38">
        <f>Simulation!H134*746/1000</f>
        <v>13.2788</v>
      </c>
      <c r="J134" s="38">
        <f>60*1000*Simulation!I134/(2*PI()*Simulation!G134)</f>
        <v>19.812999921831185</v>
      </c>
      <c r="K134" s="37">
        <v>525.1</v>
      </c>
      <c r="L134" s="27">
        <f>IF(Q134&lt;='Specification &amp; Data'!I$7,1,IF(AND(Q134&gt;'Specification &amp; Data'!I$7,Q134&lt;='Specification &amp; Data'!I$8),2,IF(Q134&gt;'Specification &amp; Data'!I$8,3)))</f>
        <v>3</v>
      </c>
      <c r="M134" s="33">
        <v>2</v>
      </c>
      <c r="N134" s="33">
        <f t="shared" si="1"/>
        <v>129</v>
      </c>
      <c r="O134" s="27">
        <f>O133+(1/Simulation!Q134)</f>
        <v>30.916634638304075</v>
      </c>
      <c r="P134" s="38">
        <f>Simulation!Q134*3.6</f>
        <v>42.976318259962149</v>
      </c>
      <c r="Q134" s="38">
        <f>MIN('Specification &amp; Data'!I$9,SQRT(2*Simulation!R133+Simulation!Q133^2))</f>
        <v>11.93786618332282</v>
      </c>
      <c r="R134" s="38">
        <f>Simulation!V134/Simulation!Y134</f>
        <v>0.8794607258037016</v>
      </c>
      <c r="S134" s="27">
        <f>'Specification &amp; Data'!B$21*'Specification &amp; Data'!B$11*'Specification &amp; Data'!B$23*(Simulation!Q134+'Specification &amp; Data'!B$22)^2/2</f>
        <v>94.367644874649045</v>
      </c>
      <c r="T134" s="27">
        <f>IF(AND(M134=1,L134=1),'Specification &amp; Data'!E$14,IF(AND(M134=1,L134=2),'Specification &amp; Data'!E$15,IF(AND(M134=1,L134=3),'Specification &amp; Data'!E$16,IF(AND(M134=2,L134=1),'Specification &amp; Data'!F$14,IF(AND(M134=2,L134=2),'Specification &amp; Data'!F$15,IF(AND(M134=2,L134=3),'Specification &amp; Data'!F$16,IF(AND(M134=3,L134=1),'Specification &amp; Data'!I$14,IF(AND(M134=3,L134=2),'Specification &amp; Data'!I$15,IF(AND(M134=3,L134=3),'Specification &amp; Data'!I$16)))))))))</f>
        <v>102.35950200000001</v>
      </c>
      <c r="U134" s="27">
        <f>IF(AND(M134=1,L134=1),'Specification &amp; Data'!E$24,IF(AND(M134=1,L134=2),'Specification &amp; Data'!E$25,IF(AND(M134=1,L134=3),'Specification &amp; Data'!E$26,IF(M134=2,0,IF(AND(M134=3,L134=1),'Specification &amp; Data'!I$24,IF(AND(M134=3,L134=2),'Specification &amp; Data'!I$25,IF(AND(M134=3,L134=3),'Specification &amp; Data'!I$26)))))))</f>
        <v>0</v>
      </c>
      <c r="V134" s="27">
        <f>'Specification &amp; Data'!B$46-Simulation!S134-Simulation!T134-Simulation!U134</f>
        <v>511.17427044818544</v>
      </c>
      <c r="W134" s="27">
        <f>Simulation!V134/Simulation!Y134</f>
        <v>0.8794607258037016</v>
      </c>
      <c r="X134" s="27">
        <f>60*Simulation!Q134/(2*'Specification &amp; Data'!B$15*PI())</f>
        <v>448.81190859340279</v>
      </c>
      <c r="Y134" s="27">
        <f>IF(L134=1,'Specification &amp; Data'!B$56,IF(L134=2,'Specification &amp; Data'!B$57,IF(L134=3,'Specification &amp; Data'!B$58)))</f>
        <v>581.23604096253996</v>
      </c>
      <c r="Z134" s="38">
        <f>Simulation!Y134*Simulation!Q134^2/(2*1000)</f>
        <v>41.416743949096329</v>
      </c>
    </row>
    <row r="135" spans="7:26">
      <c r="G135" s="44">
        <v>6400</v>
      </c>
      <c r="H135" s="44">
        <v>17.8</v>
      </c>
      <c r="I135" s="38">
        <f>Simulation!H135*746/1000</f>
        <v>13.2788</v>
      </c>
      <c r="J135" s="38">
        <f>60*1000*Simulation!I135/(2*PI()*Simulation!G135)</f>
        <v>19.812999921831185</v>
      </c>
      <c r="K135" s="37">
        <v>450.8</v>
      </c>
      <c r="L135" s="27">
        <f>IF(Q135&lt;='Specification &amp; Data'!I$7,1,IF(AND(Q135&gt;'Specification &amp; Data'!I$7,Q135&lt;='Specification &amp; Data'!I$8),2,IF(Q135&gt;'Specification &amp; Data'!I$8,3)))</f>
        <v>3</v>
      </c>
      <c r="M135" s="33">
        <v>2</v>
      </c>
      <c r="N135" s="33">
        <f t="shared" ref="N135:N198" si="2">N134+1</f>
        <v>130</v>
      </c>
      <c r="O135" s="27">
        <f>O134+(1/Simulation!Q135)</f>
        <v>30.999889503191824</v>
      </c>
      <c r="P135" s="38">
        <f>Simulation!Q135*3.6</f>
        <v>43.240716381604827</v>
      </c>
      <c r="Q135" s="38">
        <f>MIN('Specification &amp; Data'!I$9,SQRT(2*Simulation!R134+Simulation!Q134^2))</f>
        <v>12.011310106001341</v>
      </c>
      <c r="R135" s="38">
        <f>Simulation!V135/Simulation!Y135</f>
        <v>0.87777309985456831</v>
      </c>
      <c r="S135" s="27">
        <f>'Specification &amp; Data'!B$21*'Specification &amp; Data'!B$11*'Specification &amp; Data'!B$23*(Simulation!Q135+'Specification &amp; Data'!B$22)^2/2</f>
        <v>95.348553899948868</v>
      </c>
      <c r="T135" s="27">
        <f>IF(AND(M135=1,L135=1),'Specification &amp; Data'!E$14,IF(AND(M135=1,L135=2),'Specification &amp; Data'!E$15,IF(AND(M135=1,L135=3),'Specification &amp; Data'!E$16,IF(AND(M135=2,L135=1),'Specification &amp; Data'!F$14,IF(AND(M135=2,L135=2),'Specification &amp; Data'!F$15,IF(AND(M135=2,L135=3),'Specification &amp; Data'!F$16,IF(AND(M135=3,L135=1),'Specification &amp; Data'!I$14,IF(AND(M135=3,L135=2),'Specification &amp; Data'!I$15,IF(AND(M135=3,L135=3),'Specification &amp; Data'!I$16)))))))))</f>
        <v>102.35950200000001</v>
      </c>
      <c r="U135" s="27">
        <f>IF(AND(M135=1,L135=1),'Specification &amp; Data'!E$24,IF(AND(M135=1,L135=2),'Specification &amp; Data'!E$25,IF(AND(M135=1,L135=3),'Specification &amp; Data'!E$26,IF(M135=2,0,IF(AND(M135=3,L135=1),'Specification &amp; Data'!I$24,IF(AND(M135=3,L135=2),'Specification &amp; Data'!I$25,IF(AND(M135=3,L135=3),'Specification &amp; Data'!I$26)))))))</f>
        <v>0</v>
      </c>
      <c r="V135" s="27">
        <f>'Specification &amp; Data'!B$46-Simulation!S135-Simulation!T135-Simulation!U135</f>
        <v>510.19336142288557</v>
      </c>
      <c r="W135" s="27">
        <f>Simulation!V135/Simulation!Y135</f>
        <v>0.87777309985456831</v>
      </c>
      <c r="X135" s="27">
        <f>60*Simulation!Q135/(2*'Specification &amp; Data'!B$15*PI())</f>
        <v>451.57308103458683</v>
      </c>
      <c r="Y135" s="27">
        <f>IF(L135=1,'Specification &amp; Data'!B$56,IF(L135=2,'Specification &amp; Data'!B$57,IF(L135=3,'Specification &amp; Data'!B$58)))</f>
        <v>581.23604096253996</v>
      </c>
      <c r="Z135" s="38">
        <f>Simulation!Y135*Simulation!Q135^2/(2*1000)</f>
        <v>41.927918219544516</v>
      </c>
    </row>
    <row r="136" spans="7:26">
      <c r="G136" s="44">
        <v>6400</v>
      </c>
      <c r="H136" s="44">
        <v>17.8</v>
      </c>
      <c r="I136" s="38">
        <f>Simulation!H136*746/1000</f>
        <v>13.2788</v>
      </c>
      <c r="J136" s="38">
        <f>60*1000*Simulation!I136/(2*PI()*Simulation!G136)</f>
        <v>19.812999921831185</v>
      </c>
      <c r="K136" s="37">
        <v>450.8</v>
      </c>
      <c r="L136" s="27">
        <f>IF(Q136&lt;='Specification &amp; Data'!I$7,1,IF(AND(Q136&gt;'Specification &amp; Data'!I$7,Q136&lt;='Specification &amp; Data'!I$8),2,IF(Q136&gt;'Specification &amp; Data'!I$8,3)))</f>
        <v>3</v>
      </c>
      <c r="M136" s="33">
        <v>2</v>
      </c>
      <c r="N136" s="33">
        <f t="shared" si="2"/>
        <v>131</v>
      </c>
      <c r="O136" s="27">
        <f>O135+(1/Simulation!Q136)</f>
        <v>31.082642407537087</v>
      </c>
      <c r="P136" s="38">
        <f>Simulation!Q136*3.6</f>
        <v>43.50300486107389</v>
      </c>
      <c r="Q136" s="38">
        <f>MIN('Specification &amp; Data'!I$9,SQRT(2*Simulation!R135+Simulation!Q135^2))</f>
        <v>12.08416801696497</v>
      </c>
      <c r="R136" s="38">
        <f>Simulation!V136/Simulation!Y136</f>
        <v>0.87609031792791137</v>
      </c>
      <c r="S136" s="27">
        <f>'Specification &amp; Data'!B$21*'Specification &amp; Data'!B$11*'Specification &amp; Data'!B$23*(Simulation!Q136+'Specification &amp; Data'!B$22)^2/2</f>
        <v>96.326647404802301</v>
      </c>
      <c r="T136" s="27">
        <f>IF(AND(M136=1,L136=1),'Specification &amp; Data'!E$14,IF(AND(M136=1,L136=2),'Specification &amp; Data'!E$15,IF(AND(M136=1,L136=3),'Specification &amp; Data'!E$16,IF(AND(M136=2,L136=1),'Specification &amp; Data'!F$14,IF(AND(M136=2,L136=2),'Specification &amp; Data'!F$15,IF(AND(M136=2,L136=3),'Specification &amp; Data'!F$16,IF(AND(M136=3,L136=1),'Specification &amp; Data'!I$14,IF(AND(M136=3,L136=2),'Specification &amp; Data'!I$15,IF(AND(M136=3,L136=3),'Specification &amp; Data'!I$16)))))))))</f>
        <v>102.35950200000001</v>
      </c>
      <c r="U136" s="27">
        <f>IF(AND(M136=1,L136=1),'Specification &amp; Data'!E$24,IF(AND(M136=1,L136=2),'Specification &amp; Data'!E$25,IF(AND(M136=1,L136=3),'Specification &amp; Data'!E$26,IF(M136=2,0,IF(AND(M136=3,L136=1),'Specification &amp; Data'!I$24,IF(AND(M136=3,L136=2),'Specification &amp; Data'!I$25,IF(AND(M136=3,L136=3),'Specification &amp; Data'!I$26)))))))</f>
        <v>0</v>
      </c>
      <c r="V136" s="27">
        <f>'Specification &amp; Data'!B$46-Simulation!S136-Simulation!T136-Simulation!U136</f>
        <v>509.21526791803217</v>
      </c>
      <c r="W136" s="27">
        <f>Simulation!V136/Simulation!Y136</f>
        <v>0.87609031792791137</v>
      </c>
      <c r="X136" s="27">
        <f>60*Simulation!Q136/(2*'Specification &amp; Data'!B$15*PI())</f>
        <v>454.31222198101455</v>
      </c>
      <c r="Y136" s="27">
        <f>IF(L136=1,'Specification &amp; Data'!B$56,IF(L136=2,'Specification &amp; Data'!B$57,IF(L136=3,'Specification &amp; Data'!B$58)))</f>
        <v>581.23604096253996</v>
      </c>
      <c r="Z136" s="38">
        <f>Simulation!Y136*Simulation!Q136^2/(2*1000)</f>
        <v>42.438111580967401</v>
      </c>
    </row>
    <row r="137" spans="7:26">
      <c r="G137" s="44">
        <v>6400</v>
      </c>
      <c r="H137" s="44">
        <v>17.8</v>
      </c>
      <c r="I137" s="38">
        <f>Simulation!H137*746/1000</f>
        <v>13.2788</v>
      </c>
      <c r="J137" s="38">
        <f>60*1000*Simulation!I137/(2*PI()*Simulation!G137)</f>
        <v>19.812999921831185</v>
      </c>
      <c r="K137" s="37">
        <v>450.8</v>
      </c>
      <c r="L137" s="27">
        <f>IF(Q137&lt;='Specification &amp; Data'!I$7,1,IF(AND(Q137&gt;'Specification &amp; Data'!I$7,Q137&lt;='Specification &amp; Data'!I$8),2,IF(Q137&gt;'Specification &amp; Data'!I$8,3)))</f>
        <v>3</v>
      </c>
      <c r="M137" s="33">
        <v>2</v>
      </c>
      <c r="N137" s="33">
        <f t="shared" si="2"/>
        <v>132</v>
      </c>
      <c r="O137" s="27">
        <f>O136+(1/Simulation!Q137)</f>
        <v>31.164903259181937</v>
      </c>
      <c r="P137" s="38">
        <f>Simulation!Q137*3.6</f>
        <v>43.763223064387184</v>
      </c>
      <c r="Q137" s="38">
        <f>MIN('Specification &amp; Data'!I$9,SQRT(2*Simulation!R136+Simulation!Q136^2))</f>
        <v>12.156450851218661</v>
      </c>
      <c r="R137" s="38">
        <f>Simulation!V137/Simulation!Y137</f>
        <v>0.87441233274052832</v>
      </c>
      <c r="S137" s="27">
        <f>'Specification &amp; Data'!B$21*'Specification &amp; Data'!B$11*'Specification &amp; Data'!B$23*(Simulation!Q137+'Specification &amp; Data'!B$22)^2/2</f>
        <v>97.301952871910672</v>
      </c>
      <c r="T137" s="27">
        <f>IF(AND(M137=1,L137=1),'Specification &amp; Data'!E$14,IF(AND(M137=1,L137=2),'Specification &amp; Data'!E$15,IF(AND(M137=1,L137=3),'Specification &amp; Data'!E$16,IF(AND(M137=2,L137=1),'Specification &amp; Data'!F$14,IF(AND(M137=2,L137=2),'Specification &amp; Data'!F$15,IF(AND(M137=2,L137=3),'Specification &amp; Data'!F$16,IF(AND(M137=3,L137=1),'Specification &amp; Data'!I$14,IF(AND(M137=3,L137=2),'Specification &amp; Data'!I$15,IF(AND(M137=3,L137=3),'Specification &amp; Data'!I$16)))))))))</f>
        <v>102.35950200000001</v>
      </c>
      <c r="U137" s="27">
        <f>IF(AND(M137=1,L137=1),'Specification &amp; Data'!E$24,IF(AND(M137=1,L137=2),'Specification &amp; Data'!E$25,IF(AND(M137=1,L137=3),'Specification &amp; Data'!E$26,IF(M137=2,0,IF(AND(M137=3,L137=1),'Specification &amp; Data'!I$24,IF(AND(M137=3,L137=2),'Specification &amp; Data'!I$25,IF(AND(M137=3,L137=3),'Specification &amp; Data'!I$26)))))))</f>
        <v>0</v>
      </c>
      <c r="V137" s="27">
        <f>'Specification &amp; Data'!B$46-Simulation!S137-Simulation!T137-Simulation!U137</f>
        <v>508.23996245092383</v>
      </c>
      <c r="W137" s="27">
        <f>Simulation!V137/Simulation!Y137</f>
        <v>0.87441233274052832</v>
      </c>
      <c r="X137" s="27">
        <f>60*Simulation!Q137/(2*'Specification &amp; Data'!B$15*PI())</f>
        <v>457.02974254136899</v>
      </c>
      <c r="Y137" s="27">
        <f>IF(L137=1,'Specification &amp; Data'!B$56,IF(L137=2,'Specification &amp; Data'!B$57,IF(L137=3,'Specification &amp; Data'!B$58)))</f>
        <v>581.23604096253996</v>
      </c>
      <c r="Z137" s="38">
        <f>Simulation!Y137*Simulation!Q137^2/(2*1000)</f>
        <v>42.947326848885439</v>
      </c>
    </row>
    <row r="138" spans="7:26">
      <c r="G138" s="44">
        <v>6400</v>
      </c>
      <c r="H138" s="44">
        <v>17.8</v>
      </c>
      <c r="I138" s="38">
        <f>Simulation!H138*746/1000</f>
        <v>13.2788</v>
      </c>
      <c r="J138" s="38">
        <f>60*1000*Simulation!I138/(2*PI()*Simulation!G138)</f>
        <v>19.812999921831185</v>
      </c>
      <c r="K138" s="37">
        <v>450.8</v>
      </c>
      <c r="L138" s="27">
        <f>IF(Q138&lt;='Specification &amp; Data'!I$7,1,IF(AND(Q138&gt;'Specification &amp; Data'!I$7,Q138&lt;='Specification &amp; Data'!I$8),2,IF(Q138&gt;'Specification &amp; Data'!I$8,3)))</f>
        <v>3</v>
      </c>
      <c r="M138" s="33">
        <v>2</v>
      </c>
      <c r="N138" s="33">
        <f t="shared" si="2"/>
        <v>133</v>
      </c>
      <c r="O138" s="27">
        <f>O137+(1/Simulation!Q138)</f>
        <v>31.246681650019685</v>
      </c>
      <c r="P138" s="38">
        <f>Simulation!Q138*3.6</f>
        <v>44.021409117018791</v>
      </c>
      <c r="Q138" s="38">
        <f>MIN('Specification &amp; Data'!I$9,SQRT(2*Simulation!R137+Simulation!Q137^2))</f>
        <v>12.228169199171885</v>
      </c>
      <c r="R138" s="38">
        <f>Simulation!V138/Simulation!Y138</f>
        <v>0.87273909832880581</v>
      </c>
      <c r="S138" s="27">
        <f>'Specification &amp; Data'!B$21*'Specification &amp; Data'!B$11*'Specification &amp; Data'!B$23*(Simulation!Q138+'Specification &amp; Data'!B$22)^2/2</f>
        <v>98.274497016982579</v>
      </c>
      <c r="T138" s="27">
        <f>IF(AND(M138=1,L138=1),'Specification &amp; Data'!E$14,IF(AND(M138=1,L138=2),'Specification &amp; Data'!E$15,IF(AND(M138=1,L138=3),'Specification &amp; Data'!E$16,IF(AND(M138=2,L138=1),'Specification &amp; Data'!F$14,IF(AND(M138=2,L138=2),'Specification &amp; Data'!F$15,IF(AND(M138=2,L138=3),'Specification &amp; Data'!F$16,IF(AND(M138=3,L138=1),'Specification &amp; Data'!I$14,IF(AND(M138=3,L138=2),'Specification &amp; Data'!I$15,IF(AND(M138=3,L138=3),'Specification &amp; Data'!I$16)))))))))</f>
        <v>102.35950200000001</v>
      </c>
      <c r="U138" s="27">
        <f>IF(AND(M138=1,L138=1),'Specification &amp; Data'!E$24,IF(AND(M138=1,L138=2),'Specification &amp; Data'!E$25,IF(AND(M138=1,L138=3),'Specification &amp; Data'!E$26,IF(M138=2,0,IF(AND(M138=3,L138=1),'Specification &amp; Data'!I$24,IF(AND(M138=3,L138=2),'Specification &amp; Data'!I$25,IF(AND(M138=3,L138=3),'Specification &amp; Data'!I$26)))))))</f>
        <v>0</v>
      </c>
      <c r="V138" s="27">
        <f>'Specification &amp; Data'!B$46-Simulation!S138-Simulation!T138-Simulation!U138</f>
        <v>507.26741830585195</v>
      </c>
      <c r="W138" s="27">
        <f>Simulation!V138/Simulation!Y138</f>
        <v>0.87273909832880581</v>
      </c>
      <c r="X138" s="27">
        <f>60*Simulation!Q138/(2*'Specification &amp; Data'!B$15*PI())</f>
        <v>459.72604086903993</v>
      </c>
      <c r="Y138" s="27">
        <f>IF(L138=1,'Specification &amp; Data'!B$56,IF(L138=2,'Specification &amp; Data'!B$57,IF(L138=3,'Specification &amp; Data'!B$58)))</f>
        <v>581.23604096253996</v>
      </c>
      <c r="Z138" s="38">
        <f>Simulation!Y138*Simulation!Q138^2/(2*1000)</f>
        <v>43.455566811336354</v>
      </c>
    </row>
    <row r="139" spans="7:26">
      <c r="G139" s="44">
        <v>6400</v>
      </c>
      <c r="H139" s="44">
        <v>17.8</v>
      </c>
      <c r="I139" s="38">
        <f>Simulation!H139*746/1000</f>
        <v>13.2788</v>
      </c>
      <c r="J139" s="38">
        <f>60*1000*Simulation!I139/(2*PI()*Simulation!G139)</f>
        <v>19.812999921831185</v>
      </c>
      <c r="K139" s="37">
        <v>450.8</v>
      </c>
      <c r="L139" s="27">
        <f>IF(Q139&lt;='Specification &amp; Data'!I$7,1,IF(AND(Q139&gt;'Specification &amp; Data'!I$7,Q139&lt;='Specification &amp; Data'!I$8),2,IF(Q139&gt;'Specification &amp; Data'!I$8,3)))</f>
        <v>3</v>
      </c>
      <c r="M139" s="33">
        <v>2</v>
      </c>
      <c r="N139" s="33">
        <f t="shared" si="2"/>
        <v>134</v>
      </c>
      <c r="O139" s="27">
        <f>O138+(1/Simulation!Q139)</f>
        <v>31.327986869891173</v>
      </c>
      <c r="P139" s="38">
        <f>Simulation!Q139*3.6</f>
        <v>44.277599958405915</v>
      </c>
      <c r="Q139" s="38">
        <f>MIN('Specification &amp; Data'!I$9,SQRT(2*Simulation!R138+Simulation!Q138^2))</f>
        <v>12.29933332177942</v>
      </c>
      <c r="R139" s="38">
        <f>Simulation!V139/Simulation!Y139</f>
        <v>0.87107056999196597</v>
      </c>
      <c r="S139" s="27">
        <f>'Specification &amp; Data'!B$21*'Specification &amp; Data'!B$11*'Specification &amp; Data'!B$23*(Simulation!Q139+'Specification &amp; Data'!B$22)^2/2</f>
        <v>99.244305821721156</v>
      </c>
      <c r="T139" s="27">
        <f>IF(AND(M139=1,L139=1),'Specification &amp; Data'!E$14,IF(AND(M139=1,L139=2),'Specification &amp; Data'!E$15,IF(AND(M139=1,L139=3),'Specification &amp; Data'!E$16,IF(AND(M139=2,L139=1),'Specification &amp; Data'!F$14,IF(AND(M139=2,L139=2),'Specification &amp; Data'!F$15,IF(AND(M139=2,L139=3),'Specification &amp; Data'!F$16,IF(AND(M139=3,L139=1),'Specification &amp; Data'!I$14,IF(AND(M139=3,L139=2),'Specification &amp; Data'!I$15,IF(AND(M139=3,L139=3),'Specification &amp; Data'!I$16)))))))))</f>
        <v>102.35950200000001</v>
      </c>
      <c r="U139" s="27">
        <f>IF(AND(M139=1,L139=1),'Specification &amp; Data'!E$24,IF(AND(M139=1,L139=2),'Specification &amp; Data'!E$25,IF(AND(M139=1,L139=3),'Specification &amp; Data'!E$26,IF(M139=2,0,IF(AND(M139=3,L139=1),'Specification &amp; Data'!I$24,IF(AND(M139=3,L139=2),'Specification &amp; Data'!I$25,IF(AND(M139=3,L139=3),'Specification &amp; Data'!I$26)))))))</f>
        <v>0</v>
      </c>
      <c r="V139" s="27">
        <f>'Specification &amp; Data'!B$46-Simulation!S139-Simulation!T139-Simulation!U139</f>
        <v>506.29760950111336</v>
      </c>
      <c r="W139" s="27">
        <f>Simulation!V139/Simulation!Y139</f>
        <v>0.87107056999196597</v>
      </c>
      <c r="X139" s="27">
        <f>60*Simulation!Q139/(2*'Specification &amp; Data'!B$15*PI())</f>
        <v>462.40150273135174</v>
      </c>
      <c r="Y139" s="27">
        <f>IF(L139=1,'Specification &amp; Data'!B$56,IF(L139=2,'Specification &amp; Data'!B$57,IF(L139=3,'Specification &amp; Data'!B$58)))</f>
        <v>581.23604096253996</v>
      </c>
      <c r="Z139" s="38">
        <f>Simulation!Y139*Simulation!Q139^2/(2*1000)</f>
        <v>43.962834229642205</v>
      </c>
    </row>
    <row r="140" spans="7:26">
      <c r="G140" s="44">
        <v>6400</v>
      </c>
      <c r="H140" s="44">
        <v>17.8</v>
      </c>
      <c r="I140" s="38">
        <f>Simulation!H140*746/1000</f>
        <v>13.2788</v>
      </c>
      <c r="J140" s="38">
        <f>60*1000*Simulation!I140/(2*PI()*Simulation!G140)</f>
        <v>19.812999921831185</v>
      </c>
      <c r="K140" s="37">
        <v>450.8</v>
      </c>
      <c r="L140" s="27">
        <f>IF(Q140&lt;='Specification &amp; Data'!I$7,1,IF(AND(Q140&gt;'Specification &amp; Data'!I$7,Q140&lt;='Specification &amp; Data'!I$8),2,IF(Q140&gt;'Specification &amp; Data'!I$8,3)))</f>
        <v>3</v>
      </c>
      <c r="M140" s="33">
        <v>2</v>
      </c>
      <c r="N140" s="33">
        <f t="shared" si="2"/>
        <v>135</v>
      </c>
      <c r="O140" s="27">
        <f>O139+(1/Simulation!Q140)</f>
        <v>31.408827919705555</v>
      </c>
      <c r="P140" s="38">
        <f>Simulation!Q140*3.6</f>
        <v>44.53183139340689</v>
      </c>
      <c r="Q140" s="38">
        <f>MIN('Specification &amp; Data'!I$9,SQRT(2*Simulation!R139+Simulation!Q139^2))</f>
        <v>12.369953164835247</v>
      </c>
      <c r="R140" s="38">
        <f>Simulation!V140/Simulation!Y140</f>
        <v>0.86940670423845923</v>
      </c>
      <c r="S140" s="27">
        <f>'Specification &amp; Data'!B$21*'Specification &amp; Data'!B$11*'Specification &amp; Data'!B$23*(Simulation!Q140+'Specification &amp; Data'!B$22)^2/2</f>
        <v>100.21140456498262</v>
      </c>
      <c r="T140" s="27">
        <f>IF(AND(M140=1,L140=1),'Specification &amp; Data'!E$14,IF(AND(M140=1,L140=2),'Specification &amp; Data'!E$15,IF(AND(M140=1,L140=3),'Specification &amp; Data'!E$16,IF(AND(M140=2,L140=1),'Specification &amp; Data'!F$14,IF(AND(M140=2,L140=2),'Specification &amp; Data'!F$15,IF(AND(M140=2,L140=3),'Specification &amp; Data'!F$16,IF(AND(M140=3,L140=1),'Specification &amp; Data'!I$14,IF(AND(M140=3,L140=2),'Specification &amp; Data'!I$15,IF(AND(M140=3,L140=3),'Specification &amp; Data'!I$16)))))))))</f>
        <v>102.35950200000001</v>
      </c>
      <c r="U140" s="27">
        <f>IF(AND(M140=1,L140=1),'Specification &amp; Data'!E$24,IF(AND(M140=1,L140=2),'Specification &amp; Data'!E$25,IF(AND(M140=1,L140=3),'Specification &amp; Data'!E$26,IF(M140=2,0,IF(AND(M140=3,L140=1),'Specification &amp; Data'!I$24,IF(AND(M140=3,L140=2),'Specification &amp; Data'!I$25,IF(AND(M140=3,L140=3),'Specification &amp; Data'!I$26)))))))</f>
        <v>0</v>
      </c>
      <c r="V140" s="27">
        <f>'Specification &amp; Data'!B$46-Simulation!S140-Simulation!T140-Simulation!U140</f>
        <v>505.33051075785193</v>
      </c>
      <c r="W140" s="27">
        <f>Simulation!V140/Simulation!Y140</f>
        <v>0.86940670423845923</v>
      </c>
      <c r="X140" s="27">
        <f>60*Simulation!Q140/(2*'Specification &amp; Data'!B$15*PI())</f>
        <v>465.05650204695223</v>
      </c>
      <c r="Y140" s="27">
        <f>IF(L140=1,'Specification &amp; Data'!B$56,IF(L140=2,'Specification &amp; Data'!B$57,IF(L140=3,'Specification &amp; Data'!B$58)))</f>
        <v>581.23604096253996</v>
      </c>
      <c r="Z140" s="38">
        <f>Simulation!Y140*Simulation!Q140^2/(2*1000)</f>
        <v>44.46913183914333</v>
      </c>
    </row>
    <row r="141" spans="7:26">
      <c r="G141" s="44">
        <v>6400</v>
      </c>
      <c r="H141" s="44">
        <v>17.8</v>
      </c>
      <c r="I141" s="38">
        <f>Simulation!H141*746/1000</f>
        <v>13.2788</v>
      </c>
      <c r="J141" s="38">
        <f>60*1000*Simulation!I141/(2*PI()*Simulation!G141)</f>
        <v>19.812999921831185</v>
      </c>
      <c r="K141" s="37">
        <v>450.8</v>
      </c>
      <c r="L141" s="27">
        <f>IF(Q141&lt;='Specification &amp; Data'!I$7,1,IF(AND(Q141&gt;'Specification &amp; Data'!I$7,Q141&lt;='Specification &amp; Data'!I$8),2,IF(Q141&gt;'Specification &amp; Data'!I$8,3)))</f>
        <v>3</v>
      </c>
      <c r="M141" s="33">
        <v>2</v>
      </c>
      <c r="N141" s="33">
        <f t="shared" si="2"/>
        <v>136</v>
      </c>
      <c r="O141" s="27">
        <f>O140+(1/Simulation!Q141)</f>
        <v>31.489213523837812</v>
      </c>
      <c r="P141" s="38">
        <f>Simulation!Q141*3.6</f>
        <v>44.784138140916369</v>
      </c>
      <c r="Q141" s="38">
        <f>MIN('Specification &amp; Data'!I$9,SQRT(2*Simulation!R140+Simulation!Q140^2))</f>
        <v>12.440038372476769</v>
      </c>
      <c r="R141" s="38">
        <f>Simulation!V141/Simulation!Y141</f>
        <v>0.86774745873529269</v>
      </c>
      <c r="S141" s="27">
        <f>'Specification &amp; Data'!B$21*'Specification &amp; Data'!B$11*'Specification &amp; Data'!B$23*(Simulation!Q141+'Specification &amp; Data'!B$22)^2/2</f>
        <v>101.17581785222801</v>
      </c>
      <c r="T141" s="27">
        <f>IF(AND(M141=1,L141=1),'Specification &amp; Data'!E$14,IF(AND(M141=1,L141=2),'Specification &amp; Data'!E$15,IF(AND(M141=1,L141=3),'Specification &amp; Data'!E$16,IF(AND(M141=2,L141=1),'Specification &amp; Data'!F$14,IF(AND(M141=2,L141=2),'Specification &amp; Data'!F$15,IF(AND(M141=2,L141=3),'Specification &amp; Data'!F$16,IF(AND(M141=3,L141=1),'Specification &amp; Data'!I$14,IF(AND(M141=3,L141=2),'Specification &amp; Data'!I$15,IF(AND(M141=3,L141=3),'Specification &amp; Data'!I$16)))))))))</f>
        <v>102.35950200000001</v>
      </c>
      <c r="U141" s="27">
        <f>IF(AND(M141=1,L141=1),'Specification &amp; Data'!E$24,IF(AND(M141=1,L141=2),'Specification &amp; Data'!E$25,IF(AND(M141=1,L141=3),'Specification &amp; Data'!E$26,IF(M141=2,0,IF(AND(M141=3,L141=1),'Specification &amp; Data'!I$24,IF(AND(M141=3,L141=2),'Specification &amp; Data'!I$25,IF(AND(M141=3,L141=3),'Specification &amp; Data'!I$26)))))))</f>
        <v>0</v>
      </c>
      <c r="V141" s="27">
        <f>'Specification &amp; Data'!B$46-Simulation!S141-Simulation!T141-Simulation!U141</f>
        <v>504.36609747060652</v>
      </c>
      <c r="W141" s="27">
        <f>Simulation!V141/Simulation!Y141</f>
        <v>0.86774745873529269</v>
      </c>
      <c r="X141" s="27">
        <f>60*Simulation!Q141/(2*'Specification &amp; Data'!B$15*PI())</f>
        <v>467.69140139351208</v>
      </c>
      <c r="Y141" s="27">
        <f>IF(L141=1,'Specification &amp; Data'!B$56,IF(L141=2,'Specification &amp; Data'!B$57,IF(L141=3,'Specification &amp; Data'!B$58)))</f>
        <v>581.23604096253996</v>
      </c>
      <c r="Z141" s="38">
        <f>Simulation!Y141*Simulation!Q141^2/(2*1000)</f>
        <v>44.974462349901181</v>
      </c>
    </row>
    <row r="142" spans="7:26">
      <c r="G142" s="44">
        <v>6400</v>
      </c>
      <c r="H142" s="44">
        <v>17.8</v>
      </c>
      <c r="I142" s="38">
        <f>Simulation!H142*746/1000</f>
        <v>13.2788</v>
      </c>
      <c r="J142" s="38">
        <f>60*1000*Simulation!I142/(2*PI()*Simulation!G142)</f>
        <v>19.812999921831185</v>
      </c>
      <c r="K142" s="37">
        <v>426.9</v>
      </c>
      <c r="L142" s="27">
        <f>IF(Q142&lt;='Specification &amp; Data'!I$7,1,IF(AND(Q142&gt;'Specification &amp; Data'!I$7,Q142&lt;='Specification &amp; Data'!I$8),2,IF(Q142&gt;'Specification &amp; Data'!I$8,3)))</f>
        <v>3</v>
      </c>
      <c r="M142" s="33">
        <v>2</v>
      </c>
      <c r="N142" s="33">
        <f t="shared" si="2"/>
        <v>137</v>
      </c>
      <c r="O142" s="27">
        <f>O141+(1/Simulation!Q142)</f>
        <v>31.569152141851134</v>
      </c>
      <c r="P142" s="38">
        <f>Simulation!Q142*3.6</f>
        <v>45.034553879827641</v>
      </c>
      <c r="Q142" s="38">
        <f>MIN('Specification &amp; Data'!I$9,SQRT(2*Simulation!R141+Simulation!Q141^2))</f>
        <v>12.509598299952122</v>
      </c>
      <c r="R142" s="38">
        <f>Simulation!V142/Simulation!Y142</f>
        <v>0.86609279226009916</v>
      </c>
      <c r="S142" s="27">
        <f>'Specification &amp; Data'!B$21*'Specification &amp; Data'!B$11*'Specification &amp; Data'!B$23*(Simulation!Q142+'Specification &amp; Data'!B$22)^2/2</f>
        <v>102.13756964338285</v>
      </c>
      <c r="T142" s="27">
        <f>IF(AND(M142=1,L142=1),'Specification &amp; Data'!E$14,IF(AND(M142=1,L142=2),'Specification &amp; Data'!E$15,IF(AND(M142=1,L142=3),'Specification &amp; Data'!E$16,IF(AND(M142=2,L142=1),'Specification &amp; Data'!F$14,IF(AND(M142=2,L142=2),'Specification &amp; Data'!F$15,IF(AND(M142=2,L142=3),'Specification &amp; Data'!F$16,IF(AND(M142=3,L142=1),'Specification &amp; Data'!I$14,IF(AND(M142=3,L142=2),'Specification &amp; Data'!I$15,IF(AND(M142=3,L142=3),'Specification &amp; Data'!I$16)))))))))</f>
        <v>102.35950200000001</v>
      </c>
      <c r="U142" s="27">
        <f>IF(AND(M142=1,L142=1),'Specification &amp; Data'!E$24,IF(AND(M142=1,L142=2),'Specification &amp; Data'!E$25,IF(AND(M142=1,L142=3),'Specification &amp; Data'!E$26,IF(M142=2,0,IF(AND(M142=3,L142=1),'Specification &amp; Data'!I$24,IF(AND(M142=3,L142=2),'Specification &amp; Data'!I$25,IF(AND(M142=3,L142=3),'Specification &amp; Data'!I$26)))))))</f>
        <v>0</v>
      </c>
      <c r="V142" s="27">
        <f>'Specification &amp; Data'!B$46-Simulation!S142-Simulation!T142-Simulation!U142</f>
        <v>503.40434567945158</v>
      </c>
      <c r="W142" s="27">
        <f>Simulation!V142/Simulation!Y142</f>
        <v>0.86609279226009916</v>
      </c>
      <c r="X142" s="27">
        <f>60*Simulation!Q142/(2*'Specification &amp; Data'!B$15*PI())</f>
        <v>470.30655248772064</v>
      </c>
      <c r="Y142" s="27">
        <f>IF(L142=1,'Specification &amp; Data'!B$56,IF(L142=2,'Specification &amp; Data'!B$57,IF(L142=3,'Specification &amp; Data'!B$58)))</f>
        <v>581.23604096253996</v>
      </c>
      <c r="Z142" s="38">
        <f>Simulation!Y142*Simulation!Q142^2/(2*1000)</f>
        <v>45.478828447371782</v>
      </c>
    </row>
    <row r="143" spans="7:26">
      <c r="G143" s="44">
        <v>6400</v>
      </c>
      <c r="H143" s="44">
        <v>17.8</v>
      </c>
      <c r="I143" s="38">
        <f>Simulation!H143*746/1000</f>
        <v>13.2788</v>
      </c>
      <c r="J143" s="38">
        <f>60*1000*Simulation!I143/(2*PI()*Simulation!G143)</f>
        <v>19.812999921831185</v>
      </c>
      <c r="K143" s="37">
        <v>426.9</v>
      </c>
      <c r="L143" s="27">
        <f>IF(Q143&lt;='Specification &amp; Data'!I$7,1,IF(AND(Q143&gt;'Specification &amp; Data'!I$7,Q143&lt;='Specification &amp; Data'!I$8),2,IF(Q143&gt;'Specification &amp; Data'!I$8,3)))</f>
        <v>3</v>
      </c>
      <c r="M143" s="33">
        <v>2</v>
      </c>
      <c r="N143" s="33">
        <f t="shared" si="2"/>
        <v>138</v>
      </c>
      <c r="O143" s="27">
        <f>O142+(1/Simulation!Q143)</f>
        <v>31.648651979588539</v>
      </c>
      <c r="P143" s="38">
        <f>Simulation!Q143*3.6</f>
        <v>45.283111292516999</v>
      </c>
      <c r="Q143" s="38">
        <f>MIN('Specification &amp; Data'!I$9,SQRT(2*Simulation!R142+Simulation!Q142^2))</f>
        <v>12.578642025699166</v>
      </c>
      <c r="R143" s="38">
        <f>Simulation!V143/Simulation!Y143</f>
        <v>0.8644426646557668</v>
      </c>
      <c r="S143" s="27">
        <f>'Specification &amp; Data'!B$21*'Specification &amp; Data'!B$11*'Specification &amp; Data'!B$23*(Simulation!Q143+'Specification &amp; Data'!B$22)^2/2</f>
        <v>103.09668327920802</v>
      </c>
      <c r="T143" s="27">
        <f>IF(AND(M143=1,L143=1),'Specification &amp; Data'!E$14,IF(AND(M143=1,L143=2),'Specification &amp; Data'!E$15,IF(AND(M143=1,L143=3),'Specification &amp; Data'!E$16,IF(AND(M143=2,L143=1),'Specification &amp; Data'!F$14,IF(AND(M143=2,L143=2),'Specification &amp; Data'!F$15,IF(AND(M143=2,L143=3),'Specification &amp; Data'!F$16,IF(AND(M143=3,L143=1),'Specification &amp; Data'!I$14,IF(AND(M143=3,L143=2),'Specification &amp; Data'!I$15,IF(AND(M143=3,L143=3),'Specification &amp; Data'!I$16)))))))))</f>
        <v>102.35950200000001</v>
      </c>
      <c r="U143" s="27">
        <f>IF(AND(M143=1,L143=1),'Specification &amp; Data'!E$24,IF(AND(M143=1,L143=2),'Specification &amp; Data'!E$25,IF(AND(M143=1,L143=3),'Specification &amp; Data'!E$26,IF(M143=2,0,IF(AND(M143=3,L143=1),'Specification &amp; Data'!I$24,IF(AND(M143=3,L143=2),'Specification &amp; Data'!I$25,IF(AND(M143=3,L143=3),'Specification &amp; Data'!I$26)))))))</f>
        <v>0</v>
      </c>
      <c r="V143" s="27">
        <f>'Specification &amp; Data'!B$46-Simulation!S143-Simulation!T143-Simulation!U143</f>
        <v>502.44523204362645</v>
      </c>
      <c r="W143" s="27">
        <f>Simulation!V143/Simulation!Y143</f>
        <v>0.8644426646557668</v>
      </c>
      <c r="X143" s="27">
        <f>60*Simulation!Q143/(2*'Specification &amp; Data'!B$15*PI())</f>
        <v>472.90229663940329</v>
      </c>
      <c r="Y143" s="27">
        <f>IF(L143=1,'Specification &amp; Data'!B$56,IF(L143=2,'Specification &amp; Data'!B$57,IF(L143=3,'Specification &amp; Data'!B$58)))</f>
        <v>581.23604096253996</v>
      </c>
      <c r="Z143" s="38">
        <f>Simulation!Y143*Simulation!Q143^2/(2*1000)</f>
        <v>45.982232793051232</v>
      </c>
    </row>
    <row r="144" spans="7:26">
      <c r="G144" s="44">
        <v>6400</v>
      </c>
      <c r="H144" s="44">
        <v>17.8</v>
      </c>
      <c r="I144" s="38">
        <f>Simulation!H144*746/1000</f>
        <v>13.2788</v>
      </c>
      <c r="J144" s="38">
        <f>60*1000*Simulation!I144/(2*PI()*Simulation!G144)</f>
        <v>19.812999921831185</v>
      </c>
      <c r="K144" s="37">
        <v>426.9</v>
      </c>
      <c r="L144" s="27">
        <f>IF(Q144&lt;='Specification &amp; Data'!I$7,1,IF(AND(Q144&gt;'Specification &amp; Data'!I$7,Q144&lt;='Specification &amp; Data'!I$8),2,IF(Q144&gt;'Specification &amp; Data'!I$8,3)))</f>
        <v>3</v>
      </c>
      <c r="M144" s="33">
        <v>2</v>
      </c>
      <c r="N144" s="33">
        <f t="shared" si="2"/>
        <v>139</v>
      </c>
      <c r="O144" s="27">
        <f>O143+(1/Simulation!Q144)</f>
        <v>31.727720999674702</v>
      </c>
      <c r="P144" s="38">
        <f>Simulation!Q144*3.6</f>
        <v>45.529842106011721</v>
      </c>
      <c r="Q144" s="38">
        <f>MIN('Specification &amp; Data'!I$9,SQRT(2*Simulation!R143+Simulation!Q143^2))</f>
        <v>12.647178362781034</v>
      </c>
      <c r="R144" s="38">
        <f>Simulation!V144/Simulation!Y144</f>
        <v>0.86279703678746211</v>
      </c>
      <c r="S144" s="27">
        <f>'Specification &amp; Data'!B$21*'Specification &amp; Data'!B$11*'Specification &amp; Data'!B$23*(Simulation!Q144+'Specification &amp; Data'!B$22)^2/2</f>
        <v>104.05318150627907</v>
      </c>
      <c r="T144" s="27">
        <f>IF(AND(M144=1,L144=1),'Specification &amp; Data'!E$14,IF(AND(M144=1,L144=2),'Specification &amp; Data'!E$15,IF(AND(M144=1,L144=3),'Specification &amp; Data'!E$16,IF(AND(M144=2,L144=1),'Specification &amp; Data'!F$14,IF(AND(M144=2,L144=2),'Specification &amp; Data'!F$15,IF(AND(M144=2,L144=3),'Specification &amp; Data'!F$16,IF(AND(M144=3,L144=1),'Specification &amp; Data'!I$14,IF(AND(M144=3,L144=2),'Specification &amp; Data'!I$15,IF(AND(M144=3,L144=3),'Specification &amp; Data'!I$16)))))))))</f>
        <v>102.35950200000001</v>
      </c>
      <c r="U144" s="27">
        <f>IF(AND(M144=1,L144=1),'Specification &amp; Data'!E$24,IF(AND(M144=1,L144=2),'Specification &amp; Data'!E$25,IF(AND(M144=1,L144=3),'Specification &amp; Data'!E$26,IF(M144=2,0,IF(AND(M144=3,L144=1),'Specification &amp; Data'!I$24,IF(AND(M144=3,L144=2),'Specification &amp; Data'!I$25,IF(AND(M144=3,L144=3),'Specification &amp; Data'!I$26)))))))</f>
        <v>0</v>
      </c>
      <c r="V144" s="27">
        <f>'Specification &amp; Data'!B$46-Simulation!S144-Simulation!T144-Simulation!U144</f>
        <v>501.4887338165554</v>
      </c>
      <c r="W144" s="27">
        <f>Simulation!V144/Simulation!Y144</f>
        <v>0.86279703678746211</v>
      </c>
      <c r="X144" s="27">
        <f>60*Simulation!Q144/(2*'Specification &amp; Data'!B$15*PI())</f>
        <v>475.47896518144859</v>
      </c>
      <c r="Y144" s="27">
        <f>IF(L144=1,'Specification &amp; Data'!B$56,IF(L144=2,'Specification &amp; Data'!B$57,IF(L144=3,'Specification &amp; Data'!B$58)))</f>
        <v>581.23604096253996</v>
      </c>
      <c r="Z144" s="38">
        <f>Simulation!Y144*Simulation!Q144^2/(2*1000)</f>
        <v>46.484678025094865</v>
      </c>
    </row>
    <row r="145" spans="7:26">
      <c r="G145" s="44">
        <v>6400</v>
      </c>
      <c r="H145" s="44">
        <v>17.8</v>
      </c>
      <c r="I145" s="38">
        <f>Simulation!H145*746/1000</f>
        <v>13.2788</v>
      </c>
      <c r="J145" s="38">
        <f>60*1000*Simulation!I145/(2*PI()*Simulation!G145)</f>
        <v>19.812999921831185</v>
      </c>
      <c r="K145" s="37">
        <v>426.9</v>
      </c>
      <c r="L145" s="27">
        <f>IF(Q145&lt;='Specification &amp; Data'!I$7,1,IF(AND(Q145&gt;'Specification &amp; Data'!I$7,Q145&lt;='Specification &amp; Data'!I$8),2,IF(Q145&gt;'Specification &amp; Data'!I$8,3)))</f>
        <v>3</v>
      </c>
      <c r="M145" s="33">
        <v>2</v>
      </c>
      <c r="N145" s="33">
        <f t="shared" si="2"/>
        <v>140</v>
      </c>
      <c r="O145" s="27">
        <f>O144+(1/Simulation!Q145)</f>
        <v>31.806366931465874</v>
      </c>
      <c r="P145" s="38">
        <f>Simulation!Q145*3.6</f>
        <v>45.77477713099092</v>
      </c>
      <c r="Q145" s="38">
        <f>MIN('Specification &amp; Data'!I$9,SQRT(2*Simulation!R144+Simulation!Q144^2))</f>
        <v>12.7152158697197</v>
      </c>
      <c r="R145" s="38">
        <f>Simulation!V145/Simulation!Y145</f>
        <v>0.86115587050189601</v>
      </c>
      <c r="S145" s="27">
        <f>'Specification &amp; Data'!B$21*'Specification &amp; Data'!B$11*'Specification &amp; Data'!B$23*(Simulation!Q145+'Specification &amp; Data'!B$22)^2/2</f>
        <v>105.00708650066272</v>
      </c>
      <c r="T145" s="27">
        <f>IF(AND(M145=1,L145=1),'Specification &amp; Data'!E$14,IF(AND(M145=1,L145=2),'Specification &amp; Data'!E$15,IF(AND(M145=1,L145=3),'Specification &amp; Data'!E$16,IF(AND(M145=2,L145=1),'Specification &amp; Data'!F$14,IF(AND(M145=2,L145=2),'Specification &amp; Data'!F$15,IF(AND(M145=2,L145=3),'Specification &amp; Data'!F$16,IF(AND(M145=3,L145=1),'Specification &amp; Data'!I$14,IF(AND(M145=3,L145=2),'Specification &amp; Data'!I$15,IF(AND(M145=3,L145=3),'Specification &amp; Data'!I$16)))))))))</f>
        <v>102.35950200000001</v>
      </c>
      <c r="U145" s="27">
        <f>IF(AND(M145=1,L145=1),'Specification &amp; Data'!E$24,IF(AND(M145=1,L145=2),'Specification &amp; Data'!E$25,IF(AND(M145=1,L145=3),'Specification &amp; Data'!E$26,IF(M145=2,0,IF(AND(M145=3,L145=1),'Specification &amp; Data'!I$24,IF(AND(M145=3,L145=2),'Specification &amp; Data'!I$25,IF(AND(M145=3,L145=3),'Specification &amp; Data'!I$26)))))))</f>
        <v>0</v>
      </c>
      <c r="V145" s="27">
        <f>'Specification &amp; Data'!B$46-Simulation!S145-Simulation!T145-Simulation!U145</f>
        <v>500.53482882217179</v>
      </c>
      <c r="W145" s="27">
        <f>Simulation!V145/Simulation!Y145</f>
        <v>0.86115587050189601</v>
      </c>
      <c r="X145" s="27">
        <f>60*Simulation!Q145/(2*'Specification &amp; Data'!B$15*PI())</f>
        <v>478.0368798771031</v>
      </c>
      <c r="Y145" s="27">
        <f>IF(L145=1,'Specification &amp; Data'!B$56,IF(L145=2,'Specification &amp; Data'!B$57,IF(L145=3,'Specification &amp; Data'!B$58)))</f>
        <v>581.23604096253996</v>
      </c>
      <c r="Z145" s="38">
        <f>Simulation!Y145*Simulation!Q145^2/(2*1000)</f>
        <v>46.986166758911423</v>
      </c>
    </row>
    <row r="146" spans="7:26">
      <c r="G146" s="44">
        <v>6400</v>
      </c>
      <c r="H146" s="44">
        <v>17.8</v>
      </c>
      <c r="I146" s="38">
        <f>Simulation!H146*746/1000</f>
        <v>13.2788</v>
      </c>
      <c r="J146" s="38">
        <f>60*1000*Simulation!I146/(2*PI()*Simulation!G146)</f>
        <v>19.812999921831185</v>
      </c>
      <c r="K146" s="37">
        <v>426.9</v>
      </c>
      <c r="L146" s="27">
        <f>IF(Q146&lt;='Specification &amp; Data'!I$7,1,IF(AND(Q146&gt;'Specification &amp; Data'!I$7,Q146&lt;='Specification &amp; Data'!I$8),2,IF(Q146&gt;'Specification &amp; Data'!I$8,3)))</f>
        <v>3</v>
      </c>
      <c r="M146" s="33">
        <v>2</v>
      </c>
      <c r="N146" s="33">
        <f t="shared" si="2"/>
        <v>141</v>
      </c>
      <c r="O146" s="27">
        <f>O145+(1/Simulation!Q146)</f>
        <v>31.884597280482932</v>
      </c>
      <c r="P146" s="38">
        <f>Simulation!Q146*3.6</f>
        <v>46.017946298757167</v>
      </c>
      <c r="Q146" s="38">
        <f>MIN('Specification &amp; Data'!I$9,SQRT(2*Simulation!R145+Simulation!Q145^2))</f>
        <v>12.78276286076588</v>
      </c>
      <c r="R146" s="38">
        <f>Simulation!V146/Simulation!Y146</f>
        <v>0.85951912858868762</v>
      </c>
      <c r="S146" s="27">
        <f>'Specification &amp; Data'!B$21*'Specification &amp; Data'!B$11*'Specification &amp; Data'!B$23*(Simulation!Q146+'Specification &amp; Data'!B$22)^2/2</f>
        <v>105.95841989037341</v>
      </c>
      <c r="T146" s="27">
        <f>IF(AND(M146=1,L146=1),'Specification &amp; Data'!E$14,IF(AND(M146=1,L146=2),'Specification &amp; Data'!E$15,IF(AND(M146=1,L146=3),'Specification &amp; Data'!E$16,IF(AND(M146=2,L146=1),'Specification &amp; Data'!F$14,IF(AND(M146=2,L146=2),'Specification &amp; Data'!F$15,IF(AND(M146=2,L146=3),'Specification &amp; Data'!F$16,IF(AND(M146=3,L146=1),'Specification &amp; Data'!I$14,IF(AND(M146=3,L146=2),'Specification &amp; Data'!I$15,IF(AND(M146=3,L146=3),'Specification &amp; Data'!I$16)))))))))</f>
        <v>102.35950200000001</v>
      </c>
      <c r="U146" s="27">
        <f>IF(AND(M146=1,L146=1),'Specification &amp; Data'!E$24,IF(AND(M146=1,L146=2),'Specification &amp; Data'!E$25,IF(AND(M146=1,L146=3),'Specification &amp; Data'!E$26,IF(M146=2,0,IF(AND(M146=3,L146=1),'Specification &amp; Data'!I$24,IF(AND(M146=3,L146=2),'Specification &amp; Data'!I$25,IF(AND(M146=3,L146=3),'Specification &amp; Data'!I$26)))))))</f>
        <v>0</v>
      </c>
      <c r="V146" s="27">
        <f>'Specification &amp; Data'!B$46-Simulation!S146-Simulation!T146-Simulation!U146</f>
        <v>499.58349543246106</v>
      </c>
      <c r="W146" s="27">
        <f>Simulation!V146/Simulation!Y146</f>
        <v>0.85951912858868762</v>
      </c>
      <c r="X146" s="27">
        <f>60*Simulation!Q146/(2*'Specification &amp; Data'!B$15*PI())</f>
        <v>480.57635330607565</v>
      </c>
      <c r="Y146" s="27">
        <f>IF(L146=1,'Specification &amp; Data'!B$56,IF(L146=2,'Specification &amp; Data'!B$57,IF(L146=3,'Specification &amp; Data'!B$58)))</f>
        <v>581.23604096253996</v>
      </c>
      <c r="Z146" s="38">
        <f>Simulation!Y146*Simulation!Q146^2/(2*1000)</f>
        <v>47.486701587733599</v>
      </c>
    </row>
    <row r="147" spans="7:26">
      <c r="G147" s="44">
        <v>6400</v>
      </c>
      <c r="H147" s="44">
        <v>17.8</v>
      </c>
      <c r="I147" s="38">
        <f>Simulation!H147*746/1000</f>
        <v>13.2788</v>
      </c>
      <c r="J147" s="38">
        <f>60*1000*Simulation!I147/(2*PI()*Simulation!G147)</f>
        <v>19.812999921831185</v>
      </c>
      <c r="K147" s="37">
        <v>426.9</v>
      </c>
      <c r="L147" s="27">
        <f>IF(Q147&lt;='Specification &amp; Data'!I$7,1,IF(AND(Q147&gt;'Specification &amp; Data'!I$7,Q147&lt;='Specification &amp; Data'!I$8),2,IF(Q147&gt;'Specification &amp; Data'!I$8,3)))</f>
        <v>3</v>
      </c>
      <c r="M147" s="33">
        <v>2</v>
      </c>
      <c r="N147" s="33">
        <f t="shared" si="2"/>
        <v>142</v>
      </c>
      <c r="O147" s="27">
        <f>O146+(1/Simulation!Q147)</f>
        <v>31.962419337359961</v>
      </c>
      <c r="P147" s="38">
        <f>Simulation!Q147*3.6</f>
        <v>46.25937869630674</v>
      </c>
      <c r="Q147" s="38">
        <f>MIN('Specification &amp; Data'!I$9,SQRT(2*Simulation!R146+Simulation!Q146^2))</f>
        <v>12.84982741564076</v>
      </c>
      <c r="R147" s="38">
        <f>Simulation!V147/Simulation!Y147</f>
        <v>0.85788677474369679</v>
      </c>
      <c r="S147" s="27">
        <f>'Specification &amp; Data'!B$21*'Specification &amp; Data'!B$11*'Specification &amp; Data'!B$23*(Simulation!Q147+'Specification &amp; Data'!B$22)^2/2</f>
        <v>106.90720277668586</v>
      </c>
      <c r="T147" s="27">
        <f>IF(AND(M147=1,L147=1),'Specification &amp; Data'!E$14,IF(AND(M147=1,L147=2),'Specification &amp; Data'!E$15,IF(AND(M147=1,L147=3),'Specification &amp; Data'!E$16,IF(AND(M147=2,L147=1),'Specification &amp; Data'!F$14,IF(AND(M147=2,L147=2),'Specification &amp; Data'!F$15,IF(AND(M147=2,L147=3),'Specification &amp; Data'!F$16,IF(AND(M147=3,L147=1),'Specification &amp; Data'!I$14,IF(AND(M147=3,L147=2),'Specification &amp; Data'!I$15,IF(AND(M147=3,L147=3),'Specification &amp; Data'!I$16)))))))))</f>
        <v>102.35950200000001</v>
      </c>
      <c r="U147" s="27">
        <f>IF(AND(M147=1,L147=1),'Specification &amp; Data'!E$24,IF(AND(M147=1,L147=2),'Specification &amp; Data'!E$25,IF(AND(M147=1,L147=3),'Specification &amp; Data'!E$26,IF(M147=2,0,IF(AND(M147=3,L147=1),'Specification &amp; Data'!I$24,IF(AND(M147=3,L147=2),'Specification &amp; Data'!I$25,IF(AND(M147=3,L147=3),'Specification &amp; Data'!I$26)))))))</f>
        <v>0</v>
      </c>
      <c r="V147" s="27">
        <f>'Specification &amp; Data'!B$46-Simulation!S147-Simulation!T147-Simulation!U147</f>
        <v>498.63471254614865</v>
      </c>
      <c r="W147" s="27">
        <f>Simulation!V147/Simulation!Y147</f>
        <v>0.85788677474369679</v>
      </c>
      <c r="X147" s="27">
        <f>60*Simulation!Q147/(2*'Specification &amp; Data'!B$15*PI())</f>
        <v>483.09768923078309</v>
      </c>
      <c r="Y147" s="27">
        <f>IF(L147=1,'Specification &amp; Data'!B$56,IF(L147=2,'Specification &amp; Data'!B$57,IF(L147=3,'Specification &amp; Data'!B$58)))</f>
        <v>581.23604096253996</v>
      </c>
      <c r="Z147" s="38">
        <f>Simulation!Y147*Simulation!Q147^2/(2*1000)</f>
        <v>47.986285083166067</v>
      </c>
    </row>
    <row r="148" spans="7:26">
      <c r="G148" s="44">
        <v>6400</v>
      </c>
      <c r="H148" s="44">
        <v>17.8</v>
      </c>
      <c r="I148" s="38">
        <f>Simulation!H148*746/1000</f>
        <v>13.2788</v>
      </c>
      <c r="J148" s="38">
        <f>60*1000*Simulation!I148/(2*PI()*Simulation!G148)</f>
        <v>19.812999921831185</v>
      </c>
      <c r="K148" s="37">
        <v>426.9</v>
      </c>
      <c r="L148" s="27">
        <f>IF(Q148&lt;='Specification &amp; Data'!I$7,1,IF(AND(Q148&gt;'Specification &amp; Data'!I$7,Q148&lt;='Specification &amp; Data'!I$8),2,IF(Q148&gt;'Specification &amp; Data'!I$8,3)))</f>
        <v>3</v>
      </c>
      <c r="M148" s="33">
        <v>2</v>
      </c>
      <c r="N148" s="33">
        <f t="shared" si="2"/>
        <v>143</v>
      </c>
      <c r="O148" s="27">
        <f>O147+(1/Simulation!Q148)</f>
        <v>32.039840186338445</v>
      </c>
      <c r="P148" s="38">
        <f>Simulation!Q148*3.6</f>
        <v>46.499102599616634</v>
      </c>
      <c r="Q148" s="38">
        <f>MIN('Specification &amp; Data'!I$9,SQRT(2*Simulation!R147+Simulation!Q147^2))</f>
        <v>12.916417388782397</v>
      </c>
      <c r="R148" s="38">
        <f>Simulation!V148/Simulation!Y148</f>
        <v>0.8562587735342021</v>
      </c>
      <c r="S148" s="27">
        <f>'Specification &amp; Data'!B$21*'Specification &amp; Data'!B$11*'Specification &amp; Data'!B$23*(Simulation!Q148+'Specification &amp; Data'!B$22)^2/2</f>
        <v>107.85345575437474</v>
      </c>
      <c r="T148" s="27">
        <f>IF(AND(M148=1,L148=1),'Specification &amp; Data'!E$14,IF(AND(M148=1,L148=2),'Specification &amp; Data'!E$15,IF(AND(M148=1,L148=3),'Specification &amp; Data'!E$16,IF(AND(M148=2,L148=1),'Specification &amp; Data'!F$14,IF(AND(M148=2,L148=2),'Specification &amp; Data'!F$15,IF(AND(M148=2,L148=3),'Specification &amp; Data'!F$16,IF(AND(M148=3,L148=1),'Specification &amp; Data'!I$14,IF(AND(M148=3,L148=2),'Specification &amp; Data'!I$15,IF(AND(M148=3,L148=3),'Specification &amp; Data'!I$16)))))))))</f>
        <v>102.35950200000001</v>
      </c>
      <c r="U148" s="27">
        <f>IF(AND(M148=1,L148=1),'Specification &amp; Data'!E$24,IF(AND(M148=1,L148=2),'Specification &amp; Data'!E$25,IF(AND(M148=1,L148=3),'Specification &amp; Data'!E$26,IF(M148=2,0,IF(AND(M148=3,L148=1),'Specification &amp; Data'!I$24,IF(AND(M148=3,L148=2),'Specification &amp; Data'!I$25,IF(AND(M148=3,L148=3),'Specification &amp; Data'!I$26)))))))</f>
        <v>0</v>
      </c>
      <c r="V148" s="27">
        <f>'Specification &amp; Data'!B$46-Simulation!S148-Simulation!T148-Simulation!U148</f>
        <v>497.68845956845973</v>
      </c>
      <c r="W148" s="27">
        <f>Simulation!V148/Simulation!Y148</f>
        <v>0.8562587735342021</v>
      </c>
      <c r="X148" s="27">
        <f>60*Simulation!Q148/(2*'Specification &amp; Data'!B$15*PI())</f>
        <v>485.60118294397557</v>
      </c>
      <c r="Y148" s="27">
        <f>IF(L148=1,'Specification &amp; Data'!B$56,IF(L148=2,'Specification &amp; Data'!B$57,IF(L148=3,'Specification &amp; Data'!B$58)))</f>
        <v>581.23604096253996</v>
      </c>
      <c r="Z148" s="38">
        <f>Simulation!Y148*Simulation!Q148^2/(2*1000)</f>
        <v>48.484919795712216</v>
      </c>
    </row>
    <row r="149" spans="7:26">
      <c r="G149" s="44">
        <v>6400</v>
      </c>
      <c r="H149" s="44">
        <v>17.8</v>
      </c>
      <c r="I149" s="38">
        <f>Simulation!H149*746/1000</f>
        <v>13.2788</v>
      </c>
      <c r="J149" s="38">
        <f>60*1000*Simulation!I149/(2*PI()*Simulation!G149)</f>
        <v>19.812999921831185</v>
      </c>
      <c r="K149" s="37">
        <v>426.9</v>
      </c>
      <c r="L149" s="27">
        <f>IF(Q149&lt;='Specification &amp; Data'!I$7,1,IF(AND(Q149&gt;'Specification &amp; Data'!I$7,Q149&lt;='Specification &amp; Data'!I$8),2,IF(Q149&gt;'Specification &amp; Data'!I$8,3)))</f>
        <v>3</v>
      </c>
      <c r="M149" s="33">
        <v>2</v>
      </c>
      <c r="N149" s="33">
        <f t="shared" si="2"/>
        <v>144</v>
      </c>
      <c r="O149" s="27">
        <f>O148+(1/Simulation!Q149)</f>
        <v>32.116866713334943</v>
      </c>
      <c r="P149" s="38">
        <f>Simulation!Q149*3.6</f>
        <v>46.737145505258241</v>
      </c>
      <c r="Q149" s="38">
        <f>MIN('Specification &amp; Data'!I$9,SQRT(2*Simulation!R148+Simulation!Q148^2))</f>
        <v>12.982540418127289</v>
      </c>
      <c r="R149" s="38">
        <f>Simulation!V149/Simulation!Y149</f>
        <v>0.85463509036581287</v>
      </c>
      <c r="S149" s="27">
        <f>'Specification &amp; Data'!B$21*'Specification &amp; Data'!B$11*'Specification &amp; Data'!B$23*(Simulation!Q149+'Specification &amp; Data'!B$22)^2/2</f>
        <v>108.79719893094683</v>
      </c>
      <c r="T149" s="27">
        <f>IF(AND(M149=1,L149=1),'Specification &amp; Data'!E$14,IF(AND(M149=1,L149=2),'Specification &amp; Data'!E$15,IF(AND(M149=1,L149=3),'Specification &amp; Data'!E$16,IF(AND(M149=2,L149=1),'Specification &amp; Data'!F$14,IF(AND(M149=2,L149=2),'Specification &amp; Data'!F$15,IF(AND(M149=2,L149=3),'Specification &amp; Data'!F$16,IF(AND(M149=3,L149=1),'Specification &amp; Data'!I$14,IF(AND(M149=3,L149=2),'Specification &amp; Data'!I$15,IF(AND(M149=3,L149=3),'Specification &amp; Data'!I$16)))))))))</f>
        <v>102.35950200000001</v>
      </c>
      <c r="U149" s="27">
        <f>IF(AND(M149=1,L149=1),'Specification &amp; Data'!E$24,IF(AND(M149=1,L149=2),'Specification &amp; Data'!E$25,IF(AND(M149=1,L149=3),'Specification &amp; Data'!E$26,IF(M149=2,0,IF(AND(M149=3,L149=1),'Specification &amp; Data'!I$24,IF(AND(M149=3,L149=2),'Specification &amp; Data'!I$25,IF(AND(M149=3,L149=3),'Specification &amp; Data'!I$26)))))))</f>
        <v>0</v>
      </c>
      <c r="V149" s="27">
        <f>'Specification &amp; Data'!B$46-Simulation!S149-Simulation!T149-Simulation!U149</f>
        <v>496.74471639188766</v>
      </c>
      <c r="W149" s="27">
        <f>Simulation!V149/Simulation!Y149</f>
        <v>0.85463509036581287</v>
      </c>
      <c r="X149" s="27">
        <f>60*Simulation!Q149/(2*'Specification &amp; Data'!B$15*PI())</f>
        <v>488.08712159888501</v>
      </c>
      <c r="Y149" s="27">
        <f>IF(L149=1,'Specification &amp; Data'!B$56,IF(L149=2,'Specification &amp; Data'!B$57,IF(L149=3,'Specification &amp; Data'!B$58)))</f>
        <v>581.23604096253996</v>
      </c>
      <c r="Z149" s="38">
        <f>Simulation!Y149*Simulation!Q149^2/(2*1000)</f>
        <v>48.982608255280667</v>
      </c>
    </row>
    <row r="150" spans="7:26">
      <c r="G150" s="44">
        <v>6400</v>
      </c>
      <c r="H150" s="44">
        <v>17.8</v>
      </c>
      <c r="I150" s="38">
        <f>Simulation!H150*746/1000</f>
        <v>13.2788</v>
      </c>
      <c r="J150" s="38">
        <f>60*1000*Simulation!I150/(2*PI()*Simulation!G150)</f>
        <v>19.812999921831185</v>
      </c>
      <c r="K150" s="37">
        <v>426.9</v>
      </c>
      <c r="L150" s="27">
        <f>IF(Q150&lt;='Specification &amp; Data'!I$7,1,IF(AND(Q150&gt;'Specification &amp; Data'!I$7,Q150&lt;='Specification &amp; Data'!I$8),2,IF(Q150&gt;'Specification &amp; Data'!I$8,3)))</f>
        <v>3</v>
      </c>
      <c r="M150" s="33">
        <v>2</v>
      </c>
      <c r="N150" s="33">
        <f t="shared" si="2"/>
        <v>145</v>
      </c>
      <c r="O150" s="27">
        <f>O149+(1/Simulation!Q150)</f>
        <v>32.19350561360811</v>
      </c>
      <c r="P150" s="38">
        <f>Simulation!Q150*3.6</f>
        <v>46.97353416043935</v>
      </c>
      <c r="Q150" s="38">
        <f>MIN('Specification &amp; Data'!I$9,SQRT(2*Simulation!R149+Simulation!Q149^2))</f>
        <v>13.048203933455374</v>
      </c>
      <c r="R150" s="38">
        <f>Simulation!V150/Simulation!Y150</f>
        <v>0.85301569145100831</v>
      </c>
      <c r="S150" s="27">
        <f>'Specification &amp; Data'!B$21*'Specification &amp; Data'!B$11*'Specification &amp; Data'!B$23*(Simulation!Q150+'Specification &amp; Data'!B$22)^2/2</f>
        <v>109.73845194492681</v>
      </c>
      <c r="T150" s="27">
        <f>IF(AND(M150=1,L150=1),'Specification &amp; Data'!E$14,IF(AND(M150=1,L150=2),'Specification &amp; Data'!E$15,IF(AND(M150=1,L150=3),'Specification &amp; Data'!E$16,IF(AND(M150=2,L150=1),'Specification &amp; Data'!F$14,IF(AND(M150=2,L150=2),'Specification &amp; Data'!F$15,IF(AND(M150=2,L150=3),'Specification &amp; Data'!F$16,IF(AND(M150=3,L150=1),'Specification &amp; Data'!I$14,IF(AND(M150=3,L150=2),'Specification &amp; Data'!I$15,IF(AND(M150=3,L150=3),'Specification &amp; Data'!I$16)))))))))</f>
        <v>102.35950200000001</v>
      </c>
      <c r="U150" s="27">
        <f>IF(AND(M150=1,L150=1),'Specification &amp; Data'!E$24,IF(AND(M150=1,L150=2),'Specification &amp; Data'!E$25,IF(AND(M150=1,L150=3),'Specification &amp; Data'!E$26,IF(M150=2,0,IF(AND(M150=3,L150=1),'Specification &amp; Data'!I$24,IF(AND(M150=3,L150=2),'Specification &amp; Data'!I$25,IF(AND(M150=3,L150=3),'Specification &amp; Data'!I$26)))))))</f>
        <v>0</v>
      </c>
      <c r="V150" s="27">
        <f>'Specification &amp; Data'!B$46-Simulation!S150-Simulation!T150-Simulation!U150</f>
        <v>495.80346337790763</v>
      </c>
      <c r="W150" s="27">
        <f>Simulation!V150/Simulation!Y150</f>
        <v>0.85301569145100831</v>
      </c>
      <c r="X150" s="27">
        <f>60*Simulation!Q150/(2*'Specification &amp; Data'!B$15*PI())</f>
        <v>490.55578452296106</v>
      </c>
      <c r="Y150" s="27">
        <f>IF(L150=1,'Specification &amp; Data'!B$56,IF(L150=2,'Specification &amp; Data'!B$57,IF(L150=3,'Specification &amp; Data'!B$58)))</f>
        <v>581.23604096253996</v>
      </c>
      <c r="Z150" s="38">
        <f>Simulation!Y150*Simulation!Q150^2/(2*1000)</f>
        <v>49.479352971672554</v>
      </c>
    </row>
    <row r="151" spans="7:26">
      <c r="G151" s="44">
        <v>6400</v>
      </c>
      <c r="H151" s="44">
        <v>17.8</v>
      </c>
      <c r="I151" s="38">
        <f>Simulation!H151*746/1000</f>
        <v>13.2788</v>
      </c>
      <c r="J151" s="38">
        <f>60*1000*Simulation!I151/(2*PI()*Simulation!G151)</f>
        <v>19.812999921831185</v>
      </c>
      <c r="K151" s="37">
        <v>426.9</v>
      </c>
      <c r="L151" s="27">
        <f>IF(Q151&lt;='Specification &amp; Data'!I$7,1,IF(AND(Q151&gt;'Specification &amp; Data'!I$7,Q151&lt;='Specification &amp; Data'!I$8),2,IF(Q151&gt;'Specification &amp; Data'!I$8,3)))</f>
        <v>3</v>
      </c>
      <c r="M151" s="33">
        <v>2</v>
      </c>
      <c r="N151" s="33">
        <f t="shared" si="2"/>
        <v>146</v>
      </c>
      <c r="O151" s="27">
        <f>O150+(1/Simulation!Q151)</f>
        <v>32.269763399049125</v>
      </c>
      <c r="P151" s="38">
        <f>Simulation!Q151*3.6</f>
        <v>47.2082945915691</v>
      </c>
      <c r="Q151" s="38">
        <f>MIN('Specification &amp; Data'!I$9,SQRT(2*Simulation!R150+Simulation!Q150^2))</f>
        <v>13.113415164324749</v>
      </c>
      <c r="R151" s="38">
        <f>Simulation!V151/Simulation!Y151</f>
        <v>0.8514005437792096</v>
      </c>
      <c r="S151" s="27">
        <f>'Specification &amp; Data'!B$21*'Specification &amp; Data'!B$11*'Specification &amp; Data'!B$23*(Simulation!Q151+'Specification &amp; Data'!B$22)^2/2</f>
        <v>110.67723398325299</v>
      </c>
      <c r="T151" s="27">
        <f>IF(AND(M151=1,L151=1),'Specification &amp; Data'!E$14,IF(AND(M151=1,L151=2),'Specification &amp; Data'!E$15,IF(AND(M151=1,L151=3),'Specification &amp; Data'!E$16,IF(AND(M151=2,L151=1),'Specification &amp; Data'!F$14,IF(AND(M151=2,L151=2),'Specification &amp; Data'!F$15,IF(AND(M151=2,L151=3),'Specification &amp; Data'!F$16,IF(AND(M151=3,L151=1),'Specification &amp; Data'!I$14,IF(AND(M151=3,L151=2),'Specification &amp; Data'!I$15,IF(AND(M151=3,L151=3),'Specification &amp; Data'!I$16)))))))))</f>
        <v>102.35950200000001</v>
      </c>
      <c r="U151" s="27">
        <f>IF(AND(M151=1,L151=1),'Specification &amp; Data'!E$24,IF(AND(M151=1,L151=2),'Specification &amp; Data'!E$25,IF(AND(M151=1,L151=3),'Specification &amp; Data'!E$26,IF(M151=2,0,IF(AND(M151=3,L151=1),'Specification &amp; Data'!I$24,IF(AND(M151=3,L151=2),'Specification &amp; Data'!I$25,IF(AND(M151=3,L151=3),'Specification &amp; Data'!I$26)))))))</f>
        <v>0</v>
      </c>
      <c r="V151" s="27">
        <f>'Specification &amp; Data'!B$46-Simulation!S151-Simulation!T151-Simulation!U151</f>
        <v>494.86468133958147</v>
      </c>
      <c r="W151" s="27">
        <f>Simulation!V151/Simulation!Y151</f>
        <v>0.8514005437792096</v>
      </c>
      <c r="X151" s="27">
        <f>60*Simulation!Q151/(2*'Specification &amp; Data'!B$15*PI())</f>
        <v>493.00744351618181</v>
      </c>
      <c r="Y151" s="27">
        <f>IF(L151=1,'Specification &amp; Data'!B$56,IF(L151=2,'Specification &amp; Data'!B$57,IF(L151=3,'Specification &amp; Data'!B$58)))</f>
        <v>581.23604096253996</v>
      </c>
      <c r="Z151" s="38">
        <f>Simulation!Y151*Simulation!Q151^2/(2*1000)</f>
        <v>49.975156435050458</v>
      </c>
    </row>
    <row r="152" spans="7:26">
      <c r="G152" s="44">
        <v>6400</v>
      </c>
      <c r="H152" s="44">
        <v>17.8</v>
      </c>
      <c r="I152" s="38">
        <f>Simulation!H152*746/1000</f>
        <v>13.2788</v>
      </c>
      <c r="J152" s="38">
        <f>60*1000*Simulation!I152/(2*PI()*Simulation!G152)</f>
        <v>19.812999921831185</v>
      </c>
      <c r="K152" s="37">
        <v>426.9</v>
      </c>
      <c r="L152" s="27">
        <f>IF(Q152&lt;='Specification &amp; Data'!I$7,1,IF(AND(Q152&gt;'Specification &amp; Data'!I$7,Q152&lt;='Specification &amp; Data'!I$8),2,IF(Q152&gt;'Specification &amp; Data'!I$8,3)))</f>
        <v>3</v>
      </c>
      <c r="M152" s="33">
        <v>2</v>
      </c>
      <c r="N152" s="33">
        <f t="shared" si="2"/>
        <v>147</v>
      </c>
      <c r="O152" s="27">
        <f>O151+(1/Simulation!Q152)</f>
        <v>32.345646405117876</v>
      </c>
      <c r="P152" s="38">
        <f>Simulation!Q152*3.6</f>
        <v>47.441452131433849</v>
      </c>
      <c r="Q152" s="38">
        <f>MIN('Specification &amp; Data'!I$9,SQRT(2*Simulation!R151+Simulation!Q151^2))</f>
        <v>13.178181147620514</v>
      </c>
      <c r="R152" s="38">
        <f>Simulation!V152/Simulation!Y152</f>
        <v>0.84978961508828987</v>
      </c>
      <c r="S152" s="27">
        <f>'Specification &amp; Data'!B$21*'Specification &amp; Data'!B$11*'Specification &amp; Data'!B$23*(Simulation!Q152+'Specification &amp; Data'!B$22)^2/2</f>
        <v>111.61356379783616</v>
      </c>
      <c r="T152" s="27">
        <f>IF(AND(M152=1,L152=1),'Specification &amp; Data'!E$14,IF(AND(M152=1,L152=2),'Specification &amp; Data'!E$15,IF(AND(M152=1,L152=3),'Specification &amp; Data'!E$16,IF(AND(M152=2,L152=1),'Specification &amp; Data'!F$14,IF(AND(M152=2,L152=2),'Specification &amp; Data'!F$15,IF(AND(M152=2,L152=3),'Specification &amp; Data'!F$16,IF(AND(M152=3,L152=1),'Specification &amp; Data'!I$14,IF(AND(M152=3,L152=2),'Specification &amp; Data'!I$15,IF(AND(M152=3,L152=3),'Specification &amp; Data'!I$16)))))))))</f>
        <v>102.35950200000001</v>
      </c>
      <c r="U152" s="27">
        <f>IF(AND(M152=1,L152=1),'Specification &amp; Data'!E$24,IF(AND(M152=1,L152=2),'Specification &amp; Data'!E$25,IF(AND(M152=1,L152=3),'Specification &amp; Data'!E$26,IF(M152=2,0,IF(AND(M152=3,L152=1),'Specification &amp; Data'!I$24,IF(AND(M152=3,L152=2),'Specification &amp; Data'!I$25,IF(AND(M152=3,L152=3),'Specification &amp; Data'!I$26)))))))</f>
        <v>0</v>
      </c>
      <c r="V152" s="27">
        <f>'Specification &amp; Data'!B$46-Simulation!S152-Simulation!T152-Simulation!U152</f>
        <v>493.92835152499833</v>
      </c>
      <c r="W152" s="27">
        <f>Simulation!V152/Simulation!Y152</f>
        <v>0.84978961508828987</v>
      </c>
      <c r="X152" s="27">
        <f>60*Simulation!Q152/(2*'Specification &amp; Data'!B$15*PI())</f>
        <v>495.44236313485771</v>
      </c>
      <c r="Y152" s="27">
        <f>IF(L152=1,'Specification &amp; Data'!B$56,IF(L152=2,'Specification &amp; Data'!B$57,IF(L152=3,'Specification &amp; Data'!B$58)))</f>
        <v>581.23604096253996</v>
      </c>
      <c r="Z152" s="38">
        <f>Simulation!Y152*Simulation!Q152^2/(2*1000)</f>
        <v>50.470021116390036</v>
      </c>
    </row>
    <row r="153" spans="7:26">
      <c r="G153" s="44">
        <v>6400</v>
      </c>
      <c r="H153" s="44">
        <v>17.8</v>
      </c>
      <c r="I153" s="38">
        <f>Simulation!H153*746/1000</f>
        <v>13.2788</v>
      </c>
      <c r="J153" s="38">
        <f>60*1000*Simulation!I153/(2*PI()*Simulation!G153)</f>
        <v>19.812999921831185</v>
      </c>
      <c r="K153" s="37">
        <v>426.9</v>
      </c>
      <c r="L153" s="27">
        <f>IF(Q153&lt;='Specification &amp; Data'!I$7,1,IF(AND(Q153&gt;'Specification &amp; Data'!I$7,Q153&lt;='Specification &amp; Data'!I$8),2,IF(Q153&gt;'Specification &amp; Data'!I$8,3)))</f>
        <v>3</v>
      </c>
      <c r="M153" s="33">
        <v>2</v>
      </c>
      <c r="N153" s="33">
        <f t="shared" si="2"/>
        <v>148</v>
      </c>
      <c r="O153" s="27">
        <f>O152+(1/Simulation!Q153)</f>
        <v>32.421160797445715</v>
      </c>
      <c r="P153" s="38">
        <f>Simulation!Q153*3.6</f>
        <v>47.673031445065639</v>
      </c>
      <c r="Q153" s="38">
        <f>MIN('Specification &amp; Data'!I$9,SQRT(2*Simulation!R152+Simulation!Q152^2))</f>
        <v>13.242508734740456</v>
      </c>
      <c r="R153" s="38">
        <f>Simulation!V153/Simulation!Y153</f>
        <v>0.84818287383744262</v>
      </c>
      <c r="S153" s="27">
        <f>'Specification &amp; Data'!B$21*'Specification &amp; Data'!B$11*'Specification &amp; Data'!B$23*(Simulation!Q153+'Specification &amp; Data'!B$22)^2/2</f>
        <v>112.54745972132982</v>
      </c>
      <c r="T153" s="27">
        <f>IF(AND(M153=1,L153=1),'Specification &amp; Data'!E$14,IF(AND(M153=1,L153=2),'Specification &amp; Data'!E$15,IF(AND(M153=1,L153=3),'Specification &amp; Data'!E$16,IF(AND(M153=2,L153=1),'Specification &amp; Data'!F$14,IF(AND(M153=2,L153=2),'Specification &amp; Data'!F$15,IF(AND(M153=2,L153=3),'Specification &amp; Data'!F$16,IF(AND(M153=3,L153=1),'Specification &amp; Data'!I$14,IF(AND(M153=3,L153=2),'Specification &amp; Data'!I$15,IF(AND(M153=3,L153=3),'Specification &amp; Data'!I$16)))))))))</f>
        <v>102.35950200000001</v>
      </c>
      <c r="U153" s="27">
        <f>IF(AND(M153=1,L153=1),'Specification &amp; Data'!E$24,IF(AND(M153=1,L153=2),'Specification &amp; Data'!E$25,IF(AND(M153=1,L153=3),'Specification &amp; Data'!E$26,IF(M153=2,0,IF(AND(M153=3,L153=1),'Specification &amp; Data'!I$24,IF(AND(M153=3,L153=2),'Specification &amp; Data'!I$25,IF(AND(M153=3,L153=3),'Specification &amp; Data'!I$26)))))))</f>
        <v>0</v>
      </c>
      <c r="V153" s="27">
        <f>'Specification &amp; Data'!B$46-Simulation!S153-Simulation!T153-Simulation!U153</f>
        <v>492.99445560150468</v>
      </c>
      <c r="W153" s="27">
        <f>Simulation!V153/Simulation!Y153</f>
        <v>0.84818287383744262</v>
      </c>
      <c r="X153" s="27">
        <f>60*Simulation!Q153/(2*'Specification &amp; Data'!B$15*PI())</f>
        <v>497.8608009617821</v>
      </c>
      <c r="Y153" s="27">
        <f>IF(L153=1,'Specification &amp; Data'!B$56,IF(L153=2,'Specification &amp; Data'!B$57,IF(L153=3,'Specification &amp; Data'!B$58)))</f>
        <v>581.23604096253996</v>
      </c>
      <c r="Z153" s="38">
        <f>Simulation!Y153*Simulation!Q153^2/(2*1000)</f>
        <v>50.963949467915029</v>
      </c>
    </row>
    <row r="154" spans="7:26">
      <c r="G154" s="44">
        <v>6400</v>
      </c>
      <c r="H154" s="44">
        <v>17.8</v>
      </c>
      <c r="I154" s="38">
        <f>Simulation!H154*746/1000</f>
        <v>13.2788</v>
      </c>
      <c r="J154" s="38">
        <f>60*1000*Simulation!I154/(2*PI()*Simulation!G154)</f>
        <v>19.812999921831185</v>
      </c>
      <c r="K154" s="37">
        <v>426.9</v>
      </c>
      <c r="L154" s="27">
        <f>IF(Q154&lt;='Specification &amp; Data'!I$7,1,IF(AND(Q154&gt;'Specification &amp; Data'!I$7,Q154&lt;='Specification &amp; Data'!I$8),2,IF(Q154&gt;'Specification &amp; Data'!I$8,3)))</f>
        <v>3</v>
      </c>
      <c r="M154" s="33">
        <v>2</v>
      </c>
      <c r="N154" s="33">
        <f t="shared" si="2"/>
        <v>149</v>
      </c>
      <c r="O154" s="27">
        <f>O153+(1/Simulation!Q154)</f>
        <v>32.496312578124119</v>
      </c>
      <c r="P154" s="38">
        <f>Simulation!Q154*3.6</f>
        <v>47.903056554379539</v>
      </c>
      <c r="Q154" s="38">
        <f>MIN('Specification &amp; Data'!I$9,SQRT(2*Simulation!R153+Simulation!Q153^2))</f>
        <v>13.30640459843876</v>
      </c>
      <c r="R154" s="38">
        <f>Simulation!V154/Simulation!Y154</f>
        <v>0.84658028918132633</v>
      </c>
      <c r="S154" s="27">
        <f>'Specification &amp; Data'!B$21*'Specification &amp; Data'!B$11*'Specification &amp; Data'!B$23*(Simulation!Q154+'Specification &amp; Data'!B$22)^2/2</f>
        <v>113.47893968215811</v>
      </c>
      <c r="T154" s="27">
        <f>IF(AND(M154=1,L154=1),'Specification &amp; Data'!E$14,IF(AND(M154=1,L154=2),'Specification &amp; Data'!E$15,IF(AND(M154=1,L154=3),'Specification &amp; Data'!E$16,IF(AND(M154=2,L154=1),'Specification &amp; Data'!F$14,IF(AND(M154=2,L154=2),'Specification &amp; Data'!F$15,IF(AND(M154=2,L154=3),'Specification &amp; Data'!F$16,IF(AND(M154=3,L154=1),'Specification &amp; Data'!I$14,IF(AND(M154=3,L154=2),'Specification &amp; Data'!I$15,IF(AND(M154=3,L154=3),'Specification &amp; Data'!I$16)))))))))</f>
        <v>102.35950200000001</v>
      </c>
      <c r="U154" s="27">
        <f>IF(AND(M154=1,L154=1),'Specification &amp; Data'!E$24,IF(AND(M154=1,L154=2),'Specification &amp; Data'!E$25,IF(AND(M154=1,L154=3),'Specification &amp; Data'!E$26,IF(M154=2,0,IF(AND(M154=3,L154=1),'Specification &amp; Data'!I$24,IF(AND(M154=3,L154=2),'Specification &amp; Data'!I$25,IF(AND(M154=3,L154=3),'Specification &amp; Data'!I$26)))))))</f>
        <v>0</v>
      </c>
      <c r="V154" s="27">
        <f>'Specification &amp; Data'!B$46-Simulation!S154-Simulation!T154-Simulation!U154</f>
        <v>492.06297564067631</v>
      </c>
      <c r="W154" s="27">
        <f>Simulation!V154/Simulation!Y154</f>
        <v>0.84658028918132633</v>
      </c>
      <c r="X154" s="27">
        <f>60*Simulation!Q154/(2*'Specification &amp; Data'!B$15*PI())</f>
        <v>500.26300786352493</v>
      </c>
      <c r="Y154" s="27">
        <f>IF(L154=1,'Specification &amp; Data'!B$56,IF(L154=2,'Specification &amp; Data'!B$57,IF(L154=3,'Specification &amp; Data'!B$58)))</f>
        <v>581.23604096253996</v>
      </c>
      <c r="Z154" s="38">
        <f>Simulation!Y154*Simulation!Q154^2/(2*1000)</f>
        <v>51.456943923516548</v>
      </c>
    </row>
    <row r="155" spans="7:26">
      <c r="G155" s="44">
        <v>6400</v>
      </c>
      <c r="H155" s="44">
        <v>17.8</v>
      </c>
      <c r="I155" s="38">
        <f>Simulation!H155*746/1000</f>
        <v>13.2788</v>
      </c>
      <c r="J155" s="38">
        <f>60*1000*Simulation!I155/(2*PI()*Simulation!G155)</f>
        <v>19.812999921831185</v>
      </c>
      <c r="K155" s="37">
        <v>426.9</v>
      </c>
      <c r="L155" s="27">
        <f>IF(Q155&lt;='Specification &amp; Data'!I$7,1,IF(AND(Q155&gt;'Specification &amp; Data'!I$7,Q155&lt;='Specification &amp; Data'!I$8),2,IF(Q155&gt;'Specification &amp; Data'!I$8,3)))</f>
        <v>3</v>
      </c>
      <c r="M155" s="33">
        <v>2</v>
      </c>
      <c r="N155" s="33">
        <f t="shared" si="2"/>
        <v>150</v>
      </c>
      <c r="O155" s="27">
        <f>O154+(1/Simulation!Q155)</f>
        <v>32.571107591697398</v>
      </c>
      <c r="P155" s="38">
        <f>Simulation!Q155*3.6</f>
        <v>48.131550861650666</v>
      </c>
      <c r="Q155" s="38">
        <f>MIN('Specification &amp; Data'!I$9,SQRT(2*Simulation!R154+Simulation!Q154^2))</f>
        <v>13.369875239347406</v>
      </c>
      <c r="R155" s="38">
        <f>Simulation!V155/Simulation!Y155</f>
        <v>0.84498183094541457</v>
      </c>
      <c r="S155" s="27">
        <f>'Specification &amp; Data'!B$21*'Specification &amp; Data'!B$11*'Specification &amp; Data'!B$23*(Simulation!Q155+'Specification &amp; Data'!B$22)^2/2</f>
        <v>114.40802121884354</v>
      </c>
      <c r="T155" s="27">
        <f>IF(AND(M155=1,L155=1),'Specification &amp; Data'!E$14,IF(AND(M155=1,L155=2),'Specification &amp; Data'!E$15,IF(AND(M155=1,L155=3),'Specification &amp; Data'!E$16,IF(AND(M155=2,L155=1),'Specification &amp; Data'!F$14,IF(AND(M155=2,L155=2),'Specification &amp; Data'!F$15,IF(AND(M155=2,L155=3),'Specification &amp; Data'!F$16,IF(AND(M155=3,L155=1),'Specification &amp; Data'!I$14,IF(AND(M155=3,L155=2),'Specification &amp; Data'!I$15,IF(AND(M155=3,L155=3),'Specification &amp; Data'!I$16)))))))))</f>
        <v>102.35950200000001</v>
      </c>
      <c r="U155" s="27">
        <f>IF(AND(M155=1,L155=1),'Specification &amp; Data'!E$24,IF(AND(M155=1,L155=2),'Specification &amp; Data'!E$25,IF(AND(M155=1,L155=3),'Specification &amp; Data'!E$26,IF(M155=2,0,IF(AND(M155=3,L155=1),'Specification &amp; Data'!I$24,IF(AND(M155=3,L155=2),'Specification &amp; Data'!I$25,IF(AND(M155=3,L155=3),'Specification &amp; Data'!I$26)))))))</f>
        <v>0</v>
      </c>
      <c r="V155" s="27">
        <f>'Specification &amp; Data'!B$46-Simulation!S155-Simulation!T155-Simulation!U155</f>
        <v>491.133894103991</v>
      </c>
      <c r="W155" s="27">
        <f>Simulation!V155/Simulation!Y155</f>
        <v>0.84498183094541457</v>
      </c>
      <c r="X155" s="27">
        <f>60*Simulation!Q155/(2*'Specification &amp; Data'!B$15*PI())</f>
        <v>502.64922823560875</v>
      </c>
      <c r="Y155" s="27">
        <f>IF(L155=1,'Specification &amp; Data'!B$56,IF(L155=2,'Specification &amp; Data'!B$57,IF(L155=3,'Specification &amp; Data'!B$58)))</f>
        <v>581.23604096253996</v>
      </c>
      <c r="Z155" s="38">
        <f>Simulation!Y155*Simulation!Q155^2/(2*1000)</f>
        <v>51.949006899157226</v>
      </c>
    </row>
    <row r="156" spans="7:26">
      <c r="G156" s="44">
        <v>6400</v>
      </c>
      <c r="H156" s="44">
        <v>17.8</v>
      </c>
      <c r="I156" s="38">
        <f>Simulation!H156*746/1000</f>
        <v>13.2788</v>
      </c>
      <c r="J156" s="38">
        <f>60*1000*Simulation!I156/(2*PI()*Simulation!G156)</f>
        <v>19.812999921831185</v>
      </c>
      <c r="K156" s="37">
        <v>492.1</v>
      </c>
      <c r="L156" s="27">
        <f>IF(Q156&lt;='Specification &amp; Data'!I$7,1,IF(AND(Q156&gt;'Specification &amp; Data'!I$7,Q156&lt;='Specification &amp; Data'!I$8),2,IF(Q156&gt;'Specification &amp; Data'!I$8,3)))</f>
        <v>3</v>
      </c>
      <c r="M156" s="33">
        <v>2</v>
      </c>
      <c r="N156" s="33">
        <f t="shared" si="2"/>
        <v>151</v>
      </c>
      <c r="O156" s="27">
        <f>O155+(1/Simulation!Q156)</f>
        <v>32.64555153087619</v>
      </c>
      <c r="P156" s="38">
        <f>Simulation!Q156*3.6</f>
        <v>48.358537171897268</v>
      </c>
      <c r="Q156" s="38">
        <f>MIN('Specification &amp; Data'!I$9,SQRT(2*Simulation!R155+Simulation!Q155^2))</f>
        <v>13.432926992193686</v>
      </c>
      <c r="R156" s="38">
        <f>Simulation!V156/Simulation!Y156</f>
        <v>0.84338746960248023</v>
      </c>
      <c r="S156" s="27">
        <f>'Specification &amp; Data'!B$21*'Specification &amp; Data'!B$11*'Specification &amp; Data'!B$23*(Simulation!Q156+'Specification &amp; Data'!B$22)^2/2</f>
        <v>115.33472149367431</v>
      </c>
      <c r="T156" s="27">
        <f>IF(AND(M156=1,L156=1),'Specification &amp; Data'!E$14,IF(AND(M156=1,L156=2),'Specification &amp; Data'!E$15,IF(AND(M156=1,L156=3),'Specification &amp; Data'!E$16,IF(AND(M156=2,L156=1),'Specification &amp; Data'!F$14,IF(AND(M156=2,L156=2),'Specification &amp; Data'!F$15,IF(AND(M156=2,L156=3),'Specification &amp; Data'!F$16,IF(AND(M156=3,L156=1),'Specification &amp; Data'!I$14,IF(AND(M156=3,L156=2),'Specification &amp; Data'!I$15,IF(AND(M156=3,L156=3),'Specification &amp; Data'!I$16)))))))))</f>
        <v>102.35950200000001</v>
      </c>
      <c r="U156" s="27">
        <f>IF(AND(M156=1,L156=1),'Specification &amp; Data'!E$24,IF(AND(M156=1,L156=2),'Specification &amp; Data'!E$25,IF(AND(M156=1,L156=3),'Specification &amp; Data'!E$26,IF(M156=2,0,IF(AND(M156=3,L156=1),'Specification &amp; Data'!I$24,IF(AND(M156=3,L156=2),'Specification &amp; Data'!I$25,IF(AND(M156=3,L156=3),'Specification &amp; Data'!I$26)))))))</f>
        <v>0</v>
      </c>
      <c r="V156" s="27">
        <f>'Specification &amp; Data'!B$46-Simulation!S156-Simulation!T156-Simulation!U156</f>
        <v>490.20719382916013</v>
      </c>
      <c r="W156" s="27">
        <f>Simulation!V156/Simulation!Y156</f>
        <v>0.84338746960248023</v>
      </c>
      <c r="X156" s="27">
        <f>60*Simulation!Q156/(2*'Specification &amp; Data'!B$15*PI())</f>
        <v>505.0197002362608</v>
      </c>
      <c r="Y156" s="27">
        <f>IF(L156=1,'Specification &amp; Data'!B$56,IF(L156=2,'Specification &amp; Data'!B$57,IF(L156=3,'Specification &amp; Data'!B$58)))</f>
        <v>581.23604096253996</v>
      </c>
      <c r="Z156" s="38">
        <f>Simulation!Y156*Simulation!Q156^2/(2*1000)</f>
        <v>52.440140793261214</v>
      </c>
    </row>
    <row r="157" spans="7:26">
      <c r="G157" s="44">
        <v>6400</v>
      </c>
      <c r="H157" s="44">
        <v>17.8</v>
      </c>
      <c r="I157" s="38">
        <f>Simulation!H157*746/1000</f>
        <v>13.2788</v>
      </c>
      <c r="J157" s="38">
        <f>60*1000*Simulation!I157/(2*PI()*Simulation!G157)</f>
        <v>19.812999921831185</v>
      </c>
      <c r="K157" s="37">
        <v>492.1</v>
      </c>
      <c r="L157" s="27">
        <f>IF(Q157&lt;='Specification &amp; Data'!I$7,1,IF(AND(Q157&gt;'Specification &amp; Data'!I$7,Q157&lt;='Specification &amp; Data'!I$8),2,IF(Q157&gt;'Specification &amp; Data'!I$8,3)))</f>
        <v>3</v>
      </c>
      <c r="M157" s="33">
        <v>2</v>
      </c>
      <c r="N157" s="33">
        <f t="shared" si="2"/>
        <v>152</v>
      </c>
      <c r="O157" s="27">
        <f>O156+(1/Simulation!Q157)</f>
        <v>32.719649941987569</v>
      </c>
      <c r="P157" s="38">
        <f>Simulation!Q157*3.6</f>
        <v>48.584037714231471</v>
      </c>
      <c r="Q157" s="38">
        <f>MIN('Specification &amp; Data'!I$9,SQRT(2*Simulation!R156+Simulation!Q156^2))</f>
        <v>13.495566031730965</v>
      </c>
      <c r="R157" s="38">
        <f>Simulation!V157/Simulation!Y157</f>
        <v>0.84179717625015582</v>
      </c>
      <c r="S157" s="27">
        <f>'Specification &amp; Data'!B$21*'Specification &amp; Data'!B$11*'Specification &amp; Data'!B$23*(Simulation!Q157+'Specification &amp; Data'!B$22)^2/2</f>
        <v>116.25905730574841</v>
      </c>
      <c r="T157" s="27">
        <f>IF(AND(M157=1,L157=1),'Specification &amp; Data'!E$14,IF(AND(M157=1,L157=2),'Specification &amp; Data'!E$15,IF(AND(M157=1,L157=3),'Specification &amp; Data'!E$16,IF(AND(M157=2,L157=1),'Specification &amp; Data'!F$14,IF(AND(M157=2,L157=2),'Specification &amp; Data'!F$15,IF(AND(M157=2,L157=3),'Specification &amp; Data'!F$16,IF(AND(M157=3,L157=1),'Specification &amp; Data'!I$14,IF(AND(M157=3,L157=2),'Specification &amp; Data'!I$15,IF(AND(M157=3,L157=3),'Specification &amp; Data'!I$16)))))))))</f>
        <v>102.35950200000001</v>
      </c>
      <c r="U157" s="27">
        <f>IF(AND(M157=1,L157=1),'Specification &amp; Data'!E$24,IF(AND(M157=1,L157=2),'Specification &amp; Data'!E$25,IF(AND(M157=1,L157=3),'Specification &amp; Data'!E$26,IF(M157=2,0,IF(AND(M157=3,L157=1),'Specification &amp; Data'!I$24,IF(AND(M157=3,L157=2),'Specification &amp; Data'!I$25,IF(AND(M157=3,L157=3),'Specification &amp; Data'!I$26)))))))</f>
        <v>0</v>
      </c>
      <c r="V157" s="27">
        <f>'Specification &amp; Data'!B$46-Simulation!S157-Simulation!T157-Simulation!U157</f>
        <v>489.28285801708603</v>
      </c>
      <c r="W157" s="27">
        <f>Simulation!V157/Simulation!Y157</f>
        <v>0.84179717625015582</v>
      </c>
      <c r="X157" s="27">
        <f>60*Simulation!Q157/(2*'Specification &amp; Data'!B$15*PI())</f>
        <v>507.37465600938367</v>
      </c>
      <c r="Y157" s="27">
        <f>IF(L157=1,'Specification &amp; Data'!B$56,IF(L157=2,'Specification &amp; Data'!B$57,IF(L157=3,'Specification &amp; Data'!B$58)))</f>
        <v>581.23604096253996</v>
      </c>
      <c r="Z157" s="38">
        <f>Simulation!Y157*Simulation!Q157^2/(2*1000)</f>
        <v>52.930347987090379</v>
      </c>
    </row>
    <row r="158" spans="7:26">
      <c r="G158" s="44">
        <v>6400</v>
      </c>
      <c r="H158" s="44">
        <v>17.8</v>
      </c>
      <c r="I158" s="38">
        <f>Simulation!H158*746/1000</f>
        <v>13.2788</v>
      </c>
      <c r="J158" s="38">
        <f>60*1000*Simulation!I158/(2*PI()*Simulation!G158)</f>
        <v>19.812999921831185</v>
      </c>
      <c r="K158" s="37">
        <v>492.1</v>
      </c>
      <c r="L158" s="27">
        <f>IF(Q158&lt;='Specification &amp; Data'!I$7,1,IF(AND(Q158&gt;'Specification &amp; Data'!I$7,Q158&lt;='Specification &amp; Data'!I$8),2,IF(Q158&gt;'Specification &amp; Data'!I$8,3)))</f>
        <v>3</v>
      </c>
      <c r="M158" s="33">
        <v>2</v>
      </c>
      <c r="N158" s="33">
        <f t="shared" si="2"/>
        <v>153</v>
      </c>
      <c r="O158" s="27">
        <f>O157+(1/Simulation!Q158)</f>
        <v>32.793408230176404</v>
      </c>
      <c r="P158" s="38">
        <f>Simulation!Q158*3.6</f>
        <v>48.808074162235393</v>
      </c>
      <c r="Q158" s="38">
        <f>MIN('Specification &amp; Data'!I$9,SQRT(2*Simulation!R157+Simulation!Q157^2))</f>
        <v>13.55779837839872</v>
      </c>
      <c r="R158" s="38">
        <f>Simulation!V158/Simulation!Y158</f>
        <v>0.84021092258950247</v>
      </c>
      <c r="S158" s="27">
        <f>'Specification &amp; Data'!B$21*'Specification &amp; Data'!B$11*'Specification &amp; Data'!B$23*(Simulation!Q158+'Specification &amp; Data'!B$22)^2/2</f>
        <v>117.18104510342894</v>
      </c>
      <c r="T158" s="27">
        <f>IF(AND(M158=1,L158=1),'Specification &amp; Data'!E$14,IF(AND(M158=1,L158=2),'Specification &amp; Data'!E$15,IF(AND(M158=1,L158=3),'Specification &amp; Data'!E$16,IF(AND(M158=2,L158=1),'Specification &amp; Data'!F$14,IF(AND(M158=2,L158=2),'Specification &amp; Data'!F$15,IF(AND(M158=2,L158=3),'Specification &amp; Data'!F$16,IF(AND(M158=3,L158=1),'Specification &amp; Data'!I$14,IF(AND(M158=3,L158=2),'Specification &amp; Data'!I$15,IF(AND(M158=3,L158=3),'Specification &amp; Data'!I$16)))))))))</f>
        <v>102.35950200000001</v>
      </c>
      <c r="U158" s="27">
        <f>IF(AND(M158=1,L158=1),'Specification &amp; Data'!E$24,IF(AND(M158=1,L158=2),'Specification &amp; Data'!E$25,IF(AND(M158=1,L158=3),'Specification &amp; Data'!E$26,IF(M158=2,0,IF(AND(M158=3,L158=1),'Specification &amp; Data'!I$24,IF(AND(M158=3,L158=2),'Specification &amp; Data'!I$25,IF(AND(M158=3,L158=3),'Specification &amp; Data'!I$26)))))))</f>
        <v>0</v>
      </c>
      <c r="V158" s="27">
        <f>'Specification &amp; Data'!B$46-Simulation!S158-Simulation!T158-Simulation!U158</f>
        <v>488.36087021940557</v>
      </c>
      <c r="W158" s="27">
        <f>Simulation!V158/Simulation!Y158</f>
        <v>0.84021092258950247</v>
      </c>
      <c r="X158" s="27">
        <f>60*Simulation!Q158/(2*'Specification &amp; Data'!B$15*PI())</f>
        <v>509.71432189734787</v>
      </c>
      <c r="Y158" s="27">
        <f>IF(L158=1,'Specification &amp; Data'!B$56,IF(L158=2,'Specification &amp; Data'!B$57,IF(L158=3,'Specification &amp; Data'!B$58)))</f>
        <v>581.23604096253996</v>
      </c>
      <c r="Z158" s="38">
        <f>Simulation!Y158*Simulation!Q158^2/(2*1000)</f>
        <v>53.419630845107463</v>
      </c>
    </row>
    <row r="159" spans="7:26">
      <c r="G159" s="44">
        <v>6400</v>
      </c>
      <c r="H159" s="44">
        <v>17.8</v>
      </c>
      <c r="I159" s="38">
        <f>Simulation!H159*746/1000</f>
        <v>13.2788</v>
      </c>
      <c r="J159" s="38">
        <f>60*1000*Simulation!I159/(2*PI()*Simulation!G159)</f>
        <v>19.812999921831185</v>
      </c>
      <c r="K159" s="37">
        <v>492.1</v>
      </c>
      <c r="L159" s="27">
        <f>IF(Q159&lt;='Specification &amp; Data'!I$7,1,IF(AND(Q159&gt;'Specification &amp; Data'!I$7,Q159&lt;='Specification &amp; Data'!I$8),2,IF(Q159&gt;'Specification &amp; Data'!I$8,3)))</f>
        <v>3</v>
      </c>
      <c r="M159" s="33">
        <v>2</v>
      </c>
      <c r="N159" s="33">
        <f t="shared" si="2"/>
        <v>154</v>
      </c>
      <c r="O159" s="27">
        <f>O158+(1/Simulation!Q159)</f>
        <v>32.867057113587919</v>
      </c>
      <c r="P159" s="38">
        <f>Simulation!Q159*3.6</f>
        <v>48.880578132934232</v>
      </c>
      <c r="Q159" s="38">
        <f>MIN('Specification &amp; Data'!I$9,SQRT(2*Simulation!R158+Simulation!Q158^2))</f>
        <v>13.577938370259508</v>
      </c>
      <c r="R159" s="38">
        <f>Simulation!V159/Simulation!Y159</f>
        <v>0.83969622816293377</v>
      </c>
      <c r="S159" s="27">
        <f>'Specification &amp; Data'!B$21*'Specification &amp; Data'!B$11*'Specification &amp; Data'!B$23*(Simulation!Q159+'Specification &amp; Data'!B$22)^2/2</f>
        <v>117.48020405423323</v>
      </c>
      <c r="T159" s="27">
        <f>IF(AND(M159=1,L159=1),'Specification &amp; Data'!E$14,IF(AND(M159=1,L159=2),'Specification &amp; Data'!E$15,IF(AND(M159=1,L159=3),'Specification &amp; Data'!E$16,IF(AND(M159=2,L159=1),'Specification &amp; Data'!F$14,IF(AND(M159=2,L159=2),'Specification &amp; Data'!F$15,IF(AND(M159=2,L159=3),'Specification &amp; Data'!F$16,IF(AND(M159=3,L159=1),'Specification &amp; Data'!I$14,IF(AND(M159=3,L159=2),'Specification &amp; Data'!I$15,IF(AND(M159=3,L159=3),'Specification &amp; Data'!I$16)))))))))</f>
        <v>102.35950200000001</v>
      </c>
      <c r="U159" s="27">
        <f>IF(AND(M159=1,L159=1),'Specification &amp; Data'!E$24,IF(AND(M159=1,L159=2),'Specification &amp; Data'!E$25,IF(AND(M159=1,L159=3),'Specification &amp; Data'!E$26,IF(M159=2,0,IF(AND(M159=3,L159=1),'Specification &amp; Data'!I$24,IF(AND(M159=3,L159=2),'Specification &amp; Data'!I$25,IF(AND(M159=3,L159=3),'Specification &amp; Data'!I$26)))))))</f>
        <v>0</v>
      </c>
      <c r="V159" s="27">
        <f>'Specification &amp; Data'!B$46-Simulation!S159-Simulation!T159-Simulation!U159</f>
        <v>488.06171126860124</v>
      </c>
      <c r="W159" s="27">
        <f>Simulation!V159/Simulation!Y159</f>
        <v>0.83969622816293377</v>
      </c>
      <c r="X159" s="27">
        <f>60*Simulation!Q159/(2*'Specification &amp; Data'!B$15*PI())</f>
        <v>510.47149810013718</v>
      </c>
      <c r="Y159" s="27">
        <f>IF(L159=1,'Specification &amp; Data'!B$56,IF(L159=2,'Specification &amp; Data'!B$57,IF(L159=3,'Specification &amp; Data'!B$58)))</f>
        <v>581.23604096253996</v>
      </c>
      <c r="Z159" s="38">
        <f>Simulation!Y159*Simulation!Q159^2/(2*1000)</f>
        <v>53.578457521658208</v>
      </c>
    </row>
    <row r="160" spans="7:26">
      <c r="G160" s="44">
        <v>6400</v>
      </c>
      <c r="H160" s="44">
        <v>17.8</v>
      </c>
      <c r="I160" s="38">
        <f>Simulation!H160*746/1000</f>
        <v>13.2788</v>
      </c>
      <c r="J160" s="38">
        <f>60*1000*Simulation!I160/(2*PI()*Simulation!G160)</f>
        <v>19.812999921831185</v>
      </c>
      <c r="K160" s="37">
        <v>492.1</v>
      </c>
      <c r="L160" s="27">
        <f>IF(Q160&lt;='Specification &amp; Data'!I$7,1,IF(AND(Q160&gt;'Specification &amp; Data'!I$7,Q160&lt;='Specification &amp; Data'!I$8),2,IF(Q160&gt;'Specification &amp; Data'!I$8,3)))</f>
        <v>3</v>
      </c>
      <c r="M160" s="33">
        <v>2</v>
      </c>
      <c r="N160" s="33">
        <f t="shared" si="2"/>
        <v>155</v>
      </c>
      <c r="O160" s="27">
        <f>O159+(1/Simulation!Q160)</f>
        <v>32.940705996999434</v>
      </c>
      <c r="P160" s="38">
        <f>Simulation!Q160*3.6</f>
        <v>48.880578132934232</v>
      </c>
      <c r="Q160" s="38">
        <f>MIN('Specification &amp; Data'!I$9,SQRT(2*Simulation!R159+Simulation!Q159^2))</f>
        <v>13.577938370259508</v>
      </c>
      <c r="R160" s="38">
        <f>Simulation!V160/Simulation!Y160</f>
        <v>0.83969622816293377</v>
      </c>
      <c r="S160" s="27">
        <f>'Specification &amp; Data'!B$21*'Specification &amp; Data'!B$11*'Specification &amp; Data'!B$23*(Simulation!Q160+'Specification &amp; Data'!B$22)^2/2</f>
        <v>117.48020405423323</v>
      </c>
      <c r="T160" s="27">
        <f>IF(AND(M160=1,L160=1),'Specification &amp; Data'!E$14,IF(AND(M160=1,L160=2),'Specification &amp; Data'!E$15,IF(AND(M160=1,L160=3),'Specification &amp; Data'!E$16,IF(AND(M160=2,L160=1),'Specification &amp; Data'!F$14,IF(AND(M160=2,L160=2),'Specification &amp; Data'!F$15,IF(AND(M160=2,L160=3),'Specification &amp; Data'!F$16,IF(AND(M160=3,L160=1),'Specification &amp; Data'!I$14,IF(AND(M160=3,L160=2),'Specification &amp; Data'!I$15,IF(AND(M160=3,L160=3),'Specification &amp; Data'!I$16)))))))))</f>
        <v>102.35950200000001</v>
      </c>
      <c r="U160" s="27">
        <f>IF(AND(M160=1,L160=1),'Specification &amp; Data'!E$24,IF(AND(M160=1,L160=2),'Specification &amp; Data'!E$25,IF(AND(M160=1,L160=3),'Specification &amp; Data'!E$26,IF(M160=2,0,IF(AND(M160=3,L160=1),'Specification &amp; Data'!I$24,IF(AND(M160=3,L160=2),'Specification &amp; Data'!I$25,IF(AND(M160=3,L160=3),'Specification &amp; Data'!I$26)))))))</f>
        <v>0</v>
      </c>
      <c r="V160" s="27">
        <f>'Specification &amp; Data'!B$46-Simulation!S160-Simulation!T160-Simulation!U160</f>
        <v>488.06171126860124</v>
      </c>
      <c r="W160" s="27">
        <f>Simulation!V160/Simulation!Y160</f>
        <v>0.83969622816293377</v>
      </c>
      <c r="X160" s="27">
        <f>60*Simulation!Q160/(2*'Specification &amp; Data'!B$15*PI())</f>
        <v>510.47149810013718</v>
      </c>
      <c r="Y160" s="27">
        <f>IF(L160=1,'Specification &amp; Data'!B$56,IF(L160=2,'Specification &amp; Data'!B$57,IF(L160=3,'Specification &amp; Data'!B$58)))</f>
        <v>581.23604096253996</v>
      </c>
      <c r="Z160" s="38">
        <f>Simulation!Y160*Simulation!Q160^2/(2*1000)</f>
        <v>53.578457521658208</v>
      </c>
    </row>
    <row r="161" spans="7:26">
      <c r="G161" s="44">
        <v>6400</v>
      </c>
      <c r="H161" s="44">
        <v>17.8</v>
      </c>
      <c r="I161" s="38">
        <f>Simulation!H161*746/1000</f>
        <v>13.2788</v>
      </c>
      <c r="J161" s="38">
        <f>60*1000*Simulation!I161/(2*PI()*Simulation!G161)</f>
        <v>19.812999921831185</v>
      </c>
      <c r="K161" s="37">
        <v>492.1</v>
      </c>
      <c r="L161" s="27">
        <f>IF(Q161&lt;='Specification &amp; Data'!I$7,1,IF(AND(Q161&gt;'Specification &amp; Data'!I$7,Q161&lt;='Specification &amp; Data'!I$8),2,IF(Q161&gt;'Specification &amp; Data'!I$8,3)))</f>
        <v>3</v>
      </c>
      <c r="M161" s="33">
        <v>2</v>
      </c>
      <c r="N161" s="33">
        <f t="shared" si="2"/>
        <v>156</v>
      </c>
      <c r="O161" s="27">
        <f>O160+(1/Simulation!Q161)</f>
        <v>33.014354880410949</v>
      </c>
      <c r="P161" s="38">
        <f>Simulation!Q161*3.6</f>
        <v>48.880578132934232</v>
      </c>
      <c r="Q161" s="38">
        <f>MIN('Specification &amp; Data'!I$9,SQRT(2*Simulation!R160+Simulation!Q160^2))</f>
        <v>13.577938370259508</v>
      </c>
      <c r="R161" s="38">
        <f>Simulation!V161/Simulation!Y161</f>
        <v>0.83969622816293377</v>
      </c>
      <c r="S161" s="27">
        <f>'Specification &amp; Data'!B$21*'Specification &amp; Data'!B$11*'Specification &amp; Data'!B$23*(Simulation!Q161+'Specification &amp; Data'!B$22)^2/2</f>
        <v>117.48020405423323</v>
      </c>
      <c r="T161" s="27">
        <f>IF(AND(M161=1,L161=1),'Specification &amp; Data'!E$14,IF(AND(M161=1,L161=2),'Specification &amp; Data'!E$15,IF(AND(M161=1,L161=3),'Specification &amp; Data'!E$16,IF(AND(M161=2,L161=1),'Specification &amp; Data'!F$14,IF(AND(M161=2,L161=2),'Specification &amp; Data'!F$15,IF(AND(M161=2,L161=3),'Specification &amp; Data'!F$16,IF(AND(M161=3,L161=1),'Specification &amp; Data'!I$14,IF(AND(M161=3,L161=2),'Specification &amp; Data'!I$15,IF(AND(M161=3,L161=3),'Specification &amp; Data'!I$16)))))))))</f>
        <v>102.35950200000001</v>
      </c>
      <c r="U161" s="27">
        <f>IF(AND(M161=1,L161=1),'Specification &amp; Data'!E$24,IF(AND(M161=1,L161=2),'Specification &amp; Data'!E$25,IF(AND(M161=1,L161=3),'Specification &amp; Data'!E$26,IF(M161=2,0,IF(AND(M161=3,L161=1),'Specification &amp; Data'!I$24,IF(AND(M161=3,L161=2),'Specification &amp; Data'!I$25,IF(AND(M161=3,L161=3),'Specification &amp; Data'!I$26)))))))</f>
        <v>0</v>
      </c>
      <c r="V161" s="27">
        <f>'Specification &amp; Data'!B$46-Simulation!S161-Simulation!T161-Simulation!U161</f>
        <v>488.06171126860124</v>
      </c>
      <c r="W161" s="27">
        <f>Simulation!V161/Simulation!Y161</f>
        <v>0.83969622816293377</v>
      </c>
      <c r="X161" s="27">
        <f>60*Simulation!Q161/(2*'Specification &amp; Data'!B$15*PI())</f>
        <v>510.47149810013718</v>
      </c>
      <c r="Y161" s="27">
        <f>IF(L161=1,'Specification &amp; Data'!B$56,IF(L161=2,'Specification &amp; Data'!B$57,IF(L161=3,'Specification &amp; Data'!B$58)))</f>
        <v>581.23604096253996</v>
      </c>
      <c r="Z161" s="38">
        <f>Simulation!Y161*Simulation!Q161^2/(2*1000)</f>
        <v>53.578457521658208</v>
      </c>
    </row>
    <row r="162" spans="7:26">
      <c r="G162" s="44">
        <v>6400</v>
      </c>
      <c r="H162" s="44">
        <v>17.8</v>
      </c>
      <c r="I162" s="38">
        <f>Simulation!H162*746/1000</f>
        <v>13.2788</v>
      </c>
      <c r="J162" s="38">
        <f>60*1000*Simulation!I162/(2*PI()*Simulation!G162)</f>
        <v>19.812999921831185</v>
      </c>
      <c r="K162" s="37">
        <v>492.1</v>
      </c>
      <c r="L162" s="27">
        <f>IF(Q162&lt;='Specification &amp; Data'!I$7,1,IF(AND(Q162&gt;'Specification &amp; Data'!I$7,Q162&lt;='Specification &amp; Data'!I$8),2,IF(Q162&gt;'Specification &amp; Data'!I$8,3)))</f>
        <v>3</v>
      </c>
      <c r="M162" s="33">
        <v>2</v>
      </c>
      <c r="N162" s="33">
        <f t="shared" si="2"/>
        <v>157</v>
      </c>
      <c r="O162" s="27">
        <f>O161+(1/Simulation!Q162)</f>
        <v>33.088003763822464</v>
      </c>
      <c r="P162" s="38">
        <f>Simulation!Q162*3.6</f>
        <v>48.880578132934232</v>
      </c>
      <c r="Q162" s="38">
        <f>MIN('Specification &amp; Data'!I$9,SQRT(2*Simulation!R161+Simulation!Q161^2))</f>
        <v>13.577938370259508</v>
      </c>
      <c r="R162" s="38">
        <f>Simulation!V162/Simulation!Y162</f>
        <v>0.83969622816293377</v>
      </c>
      <c r="S162" s="27">
        <f>'Specification &amp; Data'!B$21*'Specification &amp; Data'!B$11*'Specification &amp; Data'!B$23*(Simulation!Q162+'Specification &amp; Data'!B$22)^2/2</f>
        <v>117.48020405423323</v>
      </c>
      <c r="T162" s="27">
        <f>IF(AND(M162=1,L162=1),'Specification &amp; Data'!E$14,IF(AND(M162=1,L162=2),'Specification &amp; Data'!E$15,IF(AND(M162=1,L162=3),'Specification &amp; Data'!E$16,IF(AND(M162=2,L162=1),'Specification &amp; Data'!F$14,IF(AND(M162=2,L162=2),'Specification &amp; Data'!F$15,IF(AND(M162=2,L162=3),'Specification &amp; Data'!F$16,IF(AND(M162=3,L162=1),'Specification &amp; Data'!I$14,IF(AND(M162=3,L162=2),'Specification &amp; Data'!I$15,IF(AND(M162=3,L162=3),'Specification &amp; Data'!I$16)))))))))</f>
        <v>102.35950200000001</v>
      </c>
      <c r="U162" s="27">
        <f>IF(AND(M162=1,L162=1),'Specification &amp; Data'!E$24,IF(AND(M162=1,L162=2),'Specification &amp; Data'!E$25,IF(AND(M162=1,L162=3),'Specification &amp; Data'!E$26,IF(M162=2,0,IF(AND(M162=3,L162=1),'Specification &amp; Data'!I$24,IF(AND(M162=3,L162=2),'Specification &amp; Data'!I$25,IF(AND(M162=3,L162=3),'Specification &amp; Data'!I$26)))))))</f>
        <v>0</v>
      </c>
      <c r="V162" s="27">
        <f>'Specification &amp; Data'!B$46-Simulation!S162-Simulation!T162-Simulation!U162</f>
        <v>488.06171126860124</v>
      </c>
      <c r="W162" s="27">
        <f>Simulation!V162/Simulation!Y162</f>
        <v>0.83969622816293377</v>
      </c>
      <c r="X162" s="27">
        <f>60*Simulation!Q162/(2*'Specification &amp; Data'!B$15*PI())</f>
        <v>510.47149810013718</v>
      </c>
      <c r="Y162" s="27">
        <f>IF(L162=1,'Specification &amp; Data'!B$56,IF(L162=2,'Specification &amp; Data'!B$57,IF(L162=3,'Specification &amp; Data'!B$58)))</f>
        <v>581.23604096253996</v>
      </c>
      <c r="Z162" s="38">
        <f>Simulation!Y162*Simulation!Q162^2/(2*1000)</f>
        <v>53.578457521658208</v>
      </c>
    </row>
    <row r="163" spans="7:26">
      <c r="G163" s="44">
        <v>6400</v>
      </c>
      <c r="H163" s="44">
        <v>17.8</v>
      </c>
      <c r="I163" s="38">
        <f>Simulation!H163*746/1000</f>
        <v>13.2788</v>
      </c>
      <c r="J163" s="38">
        <f>60*1000*Simulation!I163/(2*PI()*Simulation!G163)</f>
        <v>19.812999921831185</v>
      </c>
      <c r="K163" s="37">
        <v>492.1</v>
      </c>
      <c r="L163" s="27">
        <f>IF(Q163&lt;='Specification &amp; Data'!I$7,1,IF(AND(Q163&gt;'Specification &amp; Data'!I$7,Q163&lt;='Specification &amp; Data'!I$8),2,IF(Q163&gt;'Specification &amp; Data'!I$8,3)))</f>
        <v>3</v>
      </c>
      <c r="M163" s="33">
        <v>2</v>
      </c>
      <c r="N163" s="33">
        <f t="shared" si="2"/>
        <v>158</v>
      </c>
      <c r="O163" s="27">
        <f>O162+(1/Simulation!Q163)</f>
        <v>33.161652647233979</v>
      </c>
      <c r="P163" s="38">
        <f>Simulation!Q163*3.6</f>
        <v>48.880578132934232</v>
      </c>
      <c r="Q163" s="38">
        <f>MIN('Specification &amp; Data'!I$9,SQRT(2*Simulation!R162+Simulation!Q162^2))</f>
        <v>13.577938370259508</v>
      </c>
      <c r="R163" s="38">
        <f>Simulation!V163/Simulation!Y163</f>
        <v>0.83969622816293377</v>
      </c>
      <c r="S163" s="27">
        <f>'Specification &amp; Data'!B$21*'Specification &amp; Data'!B$11*'Specification &amp; Data'!B$23*(Simulation!Q163+'Specification &amp; Data'!B$22)^2/2</f>
        <v>117.48020405423323</v>
      </c>
      <c r="T163" s="27">
        <f>IF(AND(M163=1,L163=1),'Specification &amp; Data'!E$14,IF(AND(M163=1,L163=2),'Specification &amp; Data'!E$15,IF(AND(M163=1,L163=3),'Specification &amp; Data'!E$16,IF(AND(M163=2,L163=1),'Specification &amp; Data'!F$14,IF(AND(M163=2,L163=2),'Specification &amp; Data'!F$15,IF(AND(M163=2,L163=3),'Specification &amp; Data'!F$16,IF(AND(M163=3,L163=1),'Specification &amp; Data'!I$14,IF(AND(M163=3,L163=2),'Specification &amp; Data'!I$15,IF(AND(M163=3,L163=3),'Specification &amp; Data'!I$16)))))))))</f>
        <v>102.35950200000001</v>
      </c>
      <c r="U163" s="27">
        <f>IF(AND(M163=1,L163=1),'Specification &amp; Data'!E$24,IF(AND(M163=1,L163=2),'Specification &amp; Data'!E$25,IF(AND(M163=1,L163=3),'Specification &amp; Data'!E$26,IF(M163=2,0,IF(AND(M163=3,L163=1),'Specification &amp; Data'!I$24,IF(AND(M163=3,L163=2),'Specification &amp; Data'!I$25,IF(AND(M163=3,L163=3),'Specification &amp; Data'!I$26)))))))</f>
        <v>0</v>
      </c>
      <c r="V163" s="27">
        <f>'Specification &amp; Data'!B$46-Simulation!S163-Simulation!T163-Simulation!U163</f>
        <v>488.06171126860124</v>
      </c>
      <c r="W163" s="27">
        <f>Simulation!V163/Simulation!Y163</f>
        <v>0.83969622816293377</v>
      </c>
      <c r="X163" s="27">
        <f>60*Simulation!Q163/(2*'Specification &amp; Data'!B$15*PI())</f>
        <v>510.47149810013718</v>
      </c>
      <c r="Y163" s="27">
        <f>IF(L163=1,'Specification &amp; Data'!B$56,IF(L163=2,'Specification &amp; Data'!B$57,IF(L163=3,'Specification &amp; Data'!B$58)))</f>
        <v>581.23604096253996</v>
      </c>
      <c r="Z163" s="38">
        <f>Simulation!Y163*Simulation!Q163^2/(2*1000)</f>
        <v>53.578457521658208</v>
      </c>
    </row>
    <row r="164" spans="7:26">
      <c r="G164" s="44">
        <v>6400</v>
      </c>
      <c r="H164" s="44">
        <v>17.8</v>
      </c>
      <c r="I164" s="38">
        <f>Simulation!H164*746/1000</f>
        <v>13.2788</v>
      </c>
      <c r="J164" s="38">
        <f>60*1000*Simulation!I164/(2*PI()*Simulation!G164)</f>
        <v>19.812999921831185</v>
      </c>
      <c r="K164" s="37">
        <v>492.1</v>
      </c>
      <c r="L164" s="27">
        <f>IF(Q164&lt;='Specification &amp; Data'!I$7,1,IF(AND(Q164&gt;'Specification &amp; Data'!I$7,Q164&lt;='Specification &amp; Data'!I$8),2,IF(Q164&gt;'Specification &amp; Data'!I$8,3)))</f>
        <v>3</v>
      </c>
      <c r="M164" s="33">
        <v>2</v>
      </c>
      <c r="N164" s="33">
        <f t="shared" si="2"/>
        <v>159</v>
      </c>
      <c r="O164" s="27">
        <f>O163+(1/Simulation!Q164)</f>
        <v>33.235301530645494</v>
      </c>
      <c r="P164" s="38">
        <f>Simulation!Q164*3.6</f>
        <v>48.880578132934232</v>
      </c>
      <c r="Q164" s="38">
        <f>MIN('Specification &amp; Data'!I$9,SQRT(2*Simulation!R163+Simulation!Q163^2))</f>
        <v>13.577938370259508</v>
      </c>
      <c r="R164" s="38">
        <f>Simulation!V164/Simulation!Y164</f>
        <v>0.83969622816293377</v>
      </c>
      <c r="S164" s="27">
        <f>'Specification &amp; Data'!B$21*'Specification &amp; Data'!B$11*'Specification &amp; Data'!B$23*(Simulation!Q164+'Specification &amp; Data'!B$22)^2/2</f>
        <v>117.48020405423323</v>
      </c>
      <c r="T164" s="27">
        <f>IF(AND(M164=1,L164=1),'Specification &amp; Data'!E$14,IF(AND(M164=1,L164=2),'Specification &amp; Data'!E$15,IF(AND(M164=1,L164=3),'Specification &amp; Data'!E$16,IF(AND(M164=2,L164=1),'Specification &amp; Data'!F$14,IF(AND(M164=2,L164=2),'Specification &amp; Data'!F$15,IF(AND(M164=2,L164=3),'Specification &amp; Data'!F$16,IF(AND(M164=3,L164=1),'Specification &amp; Data'!I$14,IF(AND(M164=3,L164=2),'Specification &amp; Data'!I$15,IF(AND(M164=3,L164=3),'Specification &amp; Data'!I$16)))))))))</f>
        <v>102.35950200000001</v>
      </c>
      <c r="U164" s="27">
        <f>IF(AND(M164=1,L164=1),'Specification &amp; Data'!E$24,IF(AND(M164=1,L164=2),'Specification &amp; Data'!E$25,IF(AND(M164=1,L164=3),'Specification &amp; Data'!E$26,IF(M164=2,0,IF(AND(M164=3,L164=1),'Specification &amp; Data'!I$24,IF(AND(M164=3,L164=2),'Specification &amp; Data'!I$25,IF(AND(M164=3,L164=3),'Specification &amp; Data'!I$26)))))))</f>
        <v>0</v>
      </c>
      <c r="V164" s="27">
        <f>'Specification &amp; Data'!B$46-Simulation!S164-Simulation!T164-Simulation!U164</f>
        <v>488.06171126860124</v>
      </c>
      <c r="W164" s="27">
        <f>Simulation!V164/Simulation!Y164</f>
        <v>0.83969622816293377</v>
      </c>
      <c r="X164" s="27">
        <f>60*Simulation!Q164/(2*'Specification &amp; Data'!B$15*PI())</f>
        <v>510.47149810013718</v>
      </c>
      <c r="Y164" s="27">
        <f>IF(L164=1,'Specification &amp; Data'!B$56,IF(L164=2,'Specification &amp; Data'!B$57,IF(L164=3,'Specification &amp; Data'!B$58)))</f>
        <v>581.23604096253996</v>
      </c>
      <c r="Z164" s="38">
        <f>Simulation!Y164*Simulation!Q164^2/(2*1000)</f>
        <v>53.578457521658208</v>
      </c>
    </row>
    <row r="165" spans="7:26">
      <c r="G165" s="44">
        <v>6400</v>
      </c>
      <c r="H165" s="44">
        <v>17.8</v>
      </c>
      <c r="I165" s="38">
        <f>Simulation!H165*746/1000</f>
        <v>13.2788</v>
      </c>
      <c r="J165" s="38">
        <f>60*1000*Simulation!I165/(2*PI()*Simulation!G165)</f>
        <v>19.812999921831185</v>
      </c>
      <c r="K165" s="37">
        <v>504.4</v>
      </c>
      <c r="L165" s="27">
        <f>IF(Q165&lt;='Specification &amp; Data'!I$7,1,IF(AND(Q165&gt;'Specification &amp; Data'!I$7,Q165&lt;='Specification &amp; Data'!I$8),2,IF(Q165&gt;'Specification &amp; Data'!I$8,3)))</f>
        <v>3</v>
      </c>
      <c r="M165" s="33">
        <v>2</v>
      </c>
      <c r="N165" s="33">
        <f t="shared" si="2"/>
        <v>160</v>
      </c>
      <c r="O165" s="27">
        <f>O164+(1/Simulation!Q165)</f>
        <v>33.308950414057009</v>
      </c>
      <c r="P165" s="38">
        <f>Simulation!Q165*3.6</f>
        <v>48.880578132934232</v>
      </c>
      <c r="Q165" s="38">
        <f>MIN('Specification &amp; Data'!I$9,SQRT(2*Simulation!R164+Simulation!Q164^2))</f>
        <v>13.577938370259508</v>
      </c>
      <c r="R165" s="38">
        <f>Simulation!V165/Simulation!Y165</f>
        <v>0.83969622816293377</v>
      </c>
      <c r="S165" s="27">
        <f>'Specification &amp; Data'!B$21*'Specification &amp; Data'!B$11*'Specification &amp; Data'!B$23*(Simulation!Q165+'Specification &amp; Data'!B$22)^2/2</f>
        <v>117.48020405423323</v>
      </c>
      <c r="T165" s="27">
        <f>IF(AND(M165=1,L165=1),'Specification &amp; Data'!E$14,IF(AND(M165=1,L165=2),'Specification &amp; Data'!E$15,IF(AND(M165=1,L165=3),'Specification &amp; Data'!E$16,IF(AND(M165=2,L165=1),'Specification &amp; Data'!F$14,IF(AND(M165=2,L165=2),'Specification &amp; Data'!F$15,IF(AND(M165=2,L165=3),'Specification &amp; Data'!F$16,IF(AND(M165=3,L165=1),'Specification &amp; Data'!I$14,IF(AND(M165=3,L165=2),'Specification &amp; Data'!I$15,IF(AND(M165=3,L165=3),'Specification &amp; Data'!I$16)))))))))</f>
        <v>102.35950200000001</v>
      </c>
      <c r="U165" s="27">
        <f>IF(AND(M165=1,L165=1),'Specification &amp; Data'!E$24,IF(AND(M165=1,L165=2),'Specification &amp; Data'!E$25,IF(AND(M165=1,L165=3),'Specification &amp; Data'!E$26,IF(M165=2,0,IF(AND(M165=3,L165=1),'Specification &amp; Data'!I$24,IF(AND(M165=3,L165=2),'Specification &amp; Data'!I$25,IF(AND(M165=3,L165=3),'Specification &amp; Data'!I$26)))))))</f>
        <v>0</v>
      </c>
      <c r="V165" s="27">
        <f>'Specification &amp; Data'!B$46-Simulation!S165-Simulation!T165-Simulation!U165</f>
        <v>488.06171126860124</v>
      </c>
      <c r="W165" s="27">
        <f>Simulation!V165/Simulation!Y165</f>
        <v>0.83969622816293377</v>
      </c>
      <c r="X165" s="27">
        <f>60*Simulation!Q165/(2*'Specification &amp; Data'!B$15*PI())</f>
        <v>510.47149810013718</v>
      </c>
      <c r="Y165" s="27">
        <f>IF(L165=1,'Specification &amp; Data'!B$56,IF(L165=2,'Specification &amp; Data'!B$57,IF(L165=3,'Specification &amp; Data'!B$58)))</f>
        <v>581.23604096253996</v>
      </c>
      <c r="Z165" s="38">
        <f>Simulation!Y165*Simulation!Q165^2/(2*1000)</f>
        <v>53.578457521658208</v>
      </c>
    </row>
    <row r="166" spans="7:26">
      <c r="G166" s="44">
        <v>6400</v>
      </c>
      <c r="H166" s="44">
        <v>17.8</v>
      </c>
      <c r="I166" s="38">
        <f>Simulation!H166*746/1000</f>
        <v>13.2788</v>
      </c>
      <c r="J166" s="38">
        <f>60*1000*Simulation!I166/(2*PI()*Simulation!G166)</f>
        <v>19.812999921831185</v>
      </c>
      <c r="K166" s="37">
        <v>504.4</v>
      </c>
      <c r="L166" s="27">
        <f>IF(Q166&lt;='Specification &amp; Data'!I$7,1,IF(AND(Q166&gt;'Specification &amp; Data'!I$7,Q166&lt;='Specification &amp; Data'!I$8),2,IF(Q166&gt;'Specification &amp; Data'!I$8,3)))</f>
        <v>3</v>
      </c>
      <c r="M166" s="33">
        <v>2</v>
      </c>
      <c r="N166" s="33">
        <f t="shared" si="2"/>
        <v>161</v>
      </c>
      <c r="O166" s="27">
        <f>O165+(1/Simulation!Q166)</f>
        <v>33.382599297468524</v>
      </c>
      <c r="P166" s="38">
        <f>Simulation!Q166*3.6</f>
        <v>48.880578132934232</v>
      </c>
      <c r="Q166" s="38">
        <f>MIN('Specification &amp; Data'!I$9,SQRT(2*Simulation!R165+Simulation!Q165^2))</f>
        <v>13.577938370259508</v>
      </c>
      <c r="R166" s="38">
        <f>Simulation!V166/Simulation!Y166</f>
        <v>0.83969622816293377</v>
      </c>
      <c r="S166" s="27">
        <f>'Specification &amp; Data'!B$21*'Specification &amp; Data'!B$11*'Specification &amp; Data'!B$23*(Simulation!Q166+'Specification &amp; Data'!B$22)^2/2</f>
        <v>117.48020405423323</v>
      </c>
      <c r="T166" s="27">
        <f>IF(AND(M166=1,L166=1),'Specification &amp; Data'!E$14,IF(AND(M166=1,L166=2),'Specification &amp; Data'!E$15,IF(AND(M166=1,L166=3),'Specification &amp; Data'!E$16,IF(AND(M166=2,L166=1),'Specification &amp; Data'!F$14,IF(AND(M166=2,L166=2),'Specification &amp; Data'!F$15,IF(AND(M166=2,L166=3),'Specification &amp; Data'!F$16,IF(AND(M166=3,L166=1),'Specification &amp; Data'!I$14,IF(AND(M166=3,L166=2),'Specification &amp; Data'!I$15,IF(AND(M166=3,L166=3),'Specification &amp; Data'!I$16)))))))))</f>
        <v>102.35950200000001</v>
      </c>
      <c r="U166" s="27">
        <f>IF(AND(M166=1,L166=1),'Specification &amp; Data'!E$24,IF(AND(M166=1,L166=2),'Specification &amp; Data'!E$25,IF(AND(M166=1,L166=3),'Specification &amp; Data'!E$26,IF(M166=2,0,IF(AND(M166=3,L166=1),'Specification &amp; Data'!I$24,IF(AND(M166=3,L166=2),'Specification &amp; Data'!I$25,IF(AND(M166=3,L166=3),'Specification &amp; Data'!I$26)))))))</f>
        <v>0</v>
      </c>
      <c r="V166" s="27">
        <f>'Specification &amp; Data'!B$46-Simulation!S166-Simulation!T166-Simulation!U166</f>
        <v>488.06171126860124</v>
      </c>
      <c r="W166" s="27">
        <f>Simulation!V166/Simulation!Y166</f>
        <v>0.83969622816293377</v>
      </c>
      <c r="X166" s="27">
        <f>60*Simulation!Q166/(2*'Specification &amp; Data'!B$15*PI())</f>
        <v>510.47149810013718</v>
      </c>
      <c r="Y166" s="27">
        <f>IF(L166=1,'Specification &amp; Data'!B$56,IF(L166=2,'Specification &amp; Data'!B$57,IF(L166=3,'Specification &amp; Data'!B$58)))</f>
        <v>581.23604096253996</v>
      </c>
      <c r="Z166" s="38">
        <f>Simulation!Y166*Simulation!Q166^2/(2*1000)</f>
        <v>53.578457521658208</v>
      </c>
    </row>
    <row r="167" spans="7:26">
      <c r="G167" s="44">
        <v>6400</v>
      </c>
      <c r="H167" s="44">
        <v>17.8</v>
      </c>
      <c r="I167" s="38">
        <f>Simulation!H167*746/1000</f>
        <v>13.2788</v>
      </c>
      <c r="J167" s="38">
        <f>60*1000*Simulation!I167/(2*PI()*Simulation!G167)</f>
        <v>19.812999921831185</v>
      </c>
      <c r="K167" s="37">
        <v>504.4</v>
      </c>
      <c r="L167" s="27">
        <f>IF(Q167&lt;='Specification &amp; Data'!I$7,1,IF(AND(Q167&gt;'Specification &amp; Data'!I$7,Q167&lt;='Specification &amp; Data'!I$8),2,IF(Q167&gt;'Specification &amp; Data'!I$8,3)))</f>
        <v>3</v>
      </c>
      <c r="M167" s="33">
        <v>2</v>
      </c>
      <c r="N167" s="33">
        <f t="shared" si="2"/>
        <v>162</v>
      </c>
      <c r="O167" s="27">
        <f>O166+(1/Simulation!Q167)</f>
        <v>33.456248180880038</v>
      </c>
      <c r="P167" s="38">
        <f>Simulation!Q167*3.6</f>
        <v>48.880578132934232</v>
      </c>
      <c r="Q167" s="38">
        <f>MIN('Specification &amp; Data'!I$9,SQRT(2*Simulation!R166+Simulation!Q166^2))</f>
        <v>13.577938370259508</v>
      </c>
      <c r="R167" s="38">
        <f>Simulation!V167/Simulation!Y167</f>
        <v>0.83969622816293377</v>
      </c>
      <c r="S167" s="27">
        <f>'Specification &amp; Data'!B$21*'Specification &amp; Data'!B$11*'Specification &amp; Data'!B$23*(Simulation!Q167+'Specification &amp; Data'!B$22)^2/2</f>
        <v>117.48020405423323</v>
      </c>
      <c r="T167" s="27">
        <f>IF(AND(M167=1,L167=1),'Specification &amp; Data'!E$14,IF(AND(M167=1,L167=2),'Specification &amp; Data'!E$15,IF(AND(M167=1,L167=3),'Specification &amp; Data'!E$16,IF(AND(M167=2,L167=1),'Specification &amp; Data'!F$14,IF(AND(M167=2,L167=2),'Specification &amp; Data'!F$15,IF(AND(M167=2,L167=3),'Specification &amp; Data'!F$16,IF(AND(M167=3,L167=1),'Specification &amp; Data'!I$14,IF(AND(M167=3,L167=2),'Specification &amp; Data'!I$15,IF(AND(M167=3,L167=3),'Specification &amp; Data'!I$16)))))))))</f>
        <v>102.35950200000001</v>
      </c>
      <c r="U167" s="27">
        <f>IF(AND(M167=1,L167=1),'Specification &amp; Data'!E$24,IF(AND(M167=1,L167=2),'Specification &amp; Data'!E$25,IF(AND(M167=1,L167=3),'Specification &amp; Data'!E$26,IF(M167=2,0,IF(AND(M167=3,L167=1),'Specification &amp; Data'!I$24,IF(AND(M167=3,L167=2),'Specification &amp; Data'!I$25,IF(AND(M167=3,L167=3),'Specification &amp; Data'!I$26)))))))</f>
        <v>0</v>
      </c>
      <c r="V167" s="27">
        <f>'Specification &amp; Data'!B$46-Simulation!S167-Simulation!T167-Simulation!U167</f>
        <v>488.06171126860124</v>
      </c>
      <c r="W167" s="27">
        <f>Simulation!V167/Simulation!Y167</f>
        <v>0.83969622816293377</v>
      </c>
      <c r="X167" s="27">
        <f>60*Simulation!Q167/(2*'Specification &amp; Data'!B$15*PI())</f>
        <v>510.47149810013718</v>
      </c>
      <c r="Y167" s="27">
        <f>IF(L167=1,'Specification &amp; Data'!B$56,IF(L167=2,'Specification &amp; Data'!B$57,IF(L167=3,'Specification &amp; Data'!B$58)))</f>
        <v>581.23604096253996</v>
      </c>
      <c r="Z167" s="38">
        <f>Simulation!Y167*Simulation!Q167^2/(2*1000)</f>
        <v>53.578457521658208</v>
      </c>
    </row>
    <row r="168" spans="7:26">
      <c r="G168" s="44">
        <v>6400</v>
      </c>
      <c r="H168" s="44">
        <v>17.8</v>
      </c>
      <c r="I168" s="38">
        <f>Simulation!H168*746/1000</f>
        <v>13.2788</v>
      </c>
      <c r="J168" s="38">
        <f>60*1000*Simulation!I168/(2*PI()*Simulation!G168)</f>
        <v>19.812999921831185</v>
      </c>
      <c r="K168" s="37">
        <v>504.4</v>
      </c>
      <c r="L168" s="27">
        <f>IF(Q168&lt;='Specification &amp; Data'!I$7,1,IF(AND(Q168&gt;'Specification &amp; Data'!I$7,Q168&lt;='Specification &amp; Data'!I$8),2,IF(Q168&gt;'Specification &amp; Data'!I$8,3)))</f>
        <v>3</v>
      </c>
      <c r="M168" s="33">
        <v>2</v>
      </c>
      <c r="N168" s="33">
        <f t="shared" si="2"/>
        <v>163</v>
      </c>
      <c r="O168" s="27">
        <f>O167+(1/Simulation!Q168)</f>
        <v>33.529897064291553</v>
      </c>
      <c r="P168" s="38">
        <f>Simulation!Q168*3.6</f>
        <v>48.880578132934232</v>
      </c>
      <c r="Q168" s="38">
        <f>MIN('Specification &amp; Data'!I$9,SQRT(2*Simulation!R167+Simulation!Q167^2))</f>
        <v>13.577938370259508</v>
      </c>
      <c r="R168" s="38">
        <f>Simulation!V168/Simulation!Y168</f>
        <v>0.83969622816293377</v>
      </c>
      <c r="S168" s="27">
        <f>'Specification &amp; Data'!B$21*'Specification &amp; Data'!B$11*'Specification &amp; Data'!B$23*(Simulation!Q168+'Specification &amp; Data'!B$22)^2/2</f>
        <v>117.48020405423323</v>
      </c>
      <c r="T168" s="27">
        <f>IF(AND(M168=1,L168=1),'Specification &amp; Data'!E$14,IF(AND(M168=1,L168=2),'Specification &amp; Data'!E$15,IF(AND(M168=1,L168=3),'Specification &amp; Data'!E$16,IF(AND(M168=2,L168=1),'Specification &amp; Data'!F$14,IF(AND(M168=2,L168=2),'Specification &amp; Data'!F$15,IF(AND(M168=2,L168=3),'Specification &amp; Data'!F$16,IF(AND(M168=3,L168=1),'Specification &amp; Data'!I$14,IF(AND(M168=3,L168=2),'Specification &amp; Data'!I$15,IF(AND(M168=3,L168=3),'Specification &amp; Data'!I$16)))))))))</f>
        <v>102.35950200000001</v>
      </c>
      <c r="U168" s="27">
        <f>IF(AND(M168=1,L168=1),'Specification &amp; Data'!E$24,IF(AND(M168=1,L168=2),'Specification &amp; Data'!E$25,IF(AND(M168=1,L168=3),'Specification &amp; Data'!E$26,IF(M168=2,0,IF(AND(M168=3,L168=1),'Specification &amp; Data'!I$24,IF(AND(M168=3,L168=2),'Specification &amp; Data'!I$25,IF(AND(M168=3,L168=3),'Specification &amp; Data'!I$26)))))))</f>
        <v>0</v>
      </c>
      <c r="V168" s="27">
        <f>'Specification &amp; Data'!B$46-Simulation!S168-Simulation!T168-Simulation!U168</f>
        <v>488.06171126860124</v>
      </c>
      <c r="W168" s="27">
        <f>Simulation!V168/Simulation!Y168</f>
        <v>0.83969622816293377</v>
      </c>
      <c r="X168" s="27">
        <f>60*Simulation!Q168/(2*'Specification &amp; Data'!B$15*PI())</f>
        <v>510.47149810013718</v>
      </c>
      <c r="Y168" s="27">
        <f>IF(L168=1,'Specification &amp; Data'!B$56,IF(L168=2,'Specification &amp; Data'!B$57,IF(L168=3,'Specification &amp; Data'!B$58)))</f>
        <v>581.23604096253996</v>
      </c>
      <c r="Z168" s="38">
        <f>Simulation!Y168*Simulation!Q168^2/(2*1000)</f>
        <v>53.578457521658208</v>
      </c>
    </row>
    <row r="169" spans="7:26">
      <c r="G169" s="44">
        <v>6400</v>
      </c>
      <c r="H169" s="44">
        <v>17.8</v>
      </c>
      <c r="I169" s="38">
        <f>Simulation!H169*746/1000</f>
        <v>13.2788</v>
      </c>
      <c r="J169" s="38">
        <f>60*1000*Simulation!I169/(2*PI()*Simulation!G169)</f>
        <v>19.812999921831185</v>
      </c>
      <c r="K169" s="37">
        <v>494.4</v>
      </c>
      <c r="L169" s="27">
        <f>IF(Q169&lt;='Specification &amp; Data'!I$7,1,IF(AND(Q169&gt;'Specification &amp; Data'!I$7,Q169&lt;='Specification &amp; Data'!I$8),2,IF(Q169&gt;'Specification &amp; Data'!I$8,3)))</f>
        <v>3</v>
      </c>
      <c r="M169" s="33">
        <v>2</v>
      </c>
      <c r="N169" s="33">
        <f t="shared" si="2"/>
        <v>164</v>
      </c>
      <c r="O169" s="27">
        <f>O168+(1/Simulation!Q169)</f>
        <v>33.603545947703068</v>
      </c>
      <c r="P169" s="38">
        <f>Simulation!Q169*3.6</f>
        <v>48.880578132934232</v>
      </c>
      <c r="Q169" s="38">
        <f>MIN('Specification &amp; Data'!I$9,SQRT(2*Simulation!R168+Simulation!Q168^2))</f>
        <v>13.577938370259508</v>
      </c>
      <c r="R169" s="38">
        <f>Simulation!V169/Simulation!Y169</f>
        <v>0.83969622816293377</v>
      </c>
      <c r="S169" s="27">
        <f>'Specification &amp; Data'!B$21*'Specification &amp; Data'!B$11*'Specification &amp; Data'!B$23*(Simulation!Q169+'Specification &amp; Data'!B$22)^2/2</f>
        <v>117.48020405423323</v>
      </c>
      <c r="T169" s="27">
        <f>IF(AND(M169=1,L169=1),'Specification &amp; Data'!E$14,IF(AND(M169=1,L169=2),'Specification &amp; Data'!E$15,IF(AND(M169=1,L169=3),'Specification &amp; Data'!E$16,IF(AND(M169=2,L169=1),'Specification &amp; Data'!F$14,IF(AND(M169=2,L169=2),'Specification &amp; Data'!F$15,IF(AND(M169=2,L169=3),'Specification &amp; Data'!F$16,IF(AND(M169=3,L169=1),'Specification &amp; Data'!I$14,IF(AND(M169=3,L169=2),'Specification &amp; Data'!I$15,IF(AND(M169=3,L169=3),'Specification &amp; Data'!I$16)))))))))</f>
        <v>102.35950200000001</v>
      </c>
      <c r="U169" s="27">
        <f>IF(AND(M169=1,L169=1),'Specification &amp; Data'!E$24,IF(AND(M169=1,L169=2),'Specification &amp; Data'!E$25,IF(AND(M169=1,L169=3),'Specification &amp; Data'!E$26,IF(M169=2,0,IF(AND(M169=3,L169=1),'Specification &amp; Data'!I$24,IF(AND(M169=3,L169=2),'Specification &amp; Data'!I$25,IF(AND(M169=3,L169=3),'Specification &amp; Data'!I$26)))))))</f>
        <v>0</v>
      </c>
      <c r="V169" s="27">
        <f>'Specification &amp; Data'!B$46-Simulation!S169-Simulation!T169-Simulation!U169</f>
        <v>488.06171126860124</v>
      </c>
      <c r="W169" s="27">
        <f>Simulation!V169/Simulation!Y169</f>
        <v>0.83969622816293377</v>
      </c>
      <c r="X169" s="27">
        <f>60*Simulation!Q169/(2*'Specification &amp; Data'!B$15*PI())</f>
        <v>510.47149810013718</v>
      </c>
      <c r="Y169" s="27">
        <f>IF(L169=1,'Specification &amp; Data'!B$56,IF(L169=2,'Specification &amp; Data'!B$57,IF(L169=3,'Specification &amp; Data'!B$58)))</f>
        <v>581.23604096253996</v>
      </c>
      <c r="Z169" s="38">
        <f>Simulation!Y169*Simulation!Q169^2/(2*1000)</f>
        <v>53.578457521658208</v>
      </c>
    </row>
    <row r="170" spans="7:26">
      <c r="G170" s="44">
        <v>6400</v>
      </c>
      <c r="H170" s="44">
        <v>17.8</v>
      </c>
      <c r="I170" s="38">
        <f>Simulation!H170*746/1000</f>
        <v>13.2788</v>
      </c>
      <c r="J170" s="38">
        <f>60*1000*Simulation!I170/(2*PI()*Simulation!G170)</f>
        <v>19.812999921831185</v>
      </c>
      <c r="K170" s="37">
        <v>494.4</v>
      </c>
      <c r="L170" s="27">
        <f>IF(Q170&lt;='Specification &amp; Data'!I$7,1,IF(AND(Q170&gt;'Specification &amp; Data'!I$7,Q170&lt;='Specification &amp; Data'!I$8),2,IF(Q170&gt;'Specification &amp; Data'!I$8,3)))</f>
        <v>3</v>
      </c>
      <c r="M170" s="33">
        <v>2</v>
      </c>
      <c r="N170" s="33">
        <f t="shared" si="2"/>
        <v>165</v>
      </c>
      <c r="O170" s="27">
        <f>O169+(1/Simulation!Q170)</f>
        <v>33.677194831114583</v>
      </c>
      <c r="P170" s="38">
        <f>Simulation!Q170*3.6</f>
        <v>48.880578132934232</v>
      </c>
      <c r="Q170" s="38">
        <f>MIN('Specification &amp; Data'!I$9,SQRT(2*Simulation!R169+Simulation!Q169^2))</f>
        <v>13.577938370259508</v>
      </c>
      <c r="R170" s="38">
        <f>Simulation!V170/Simulation!Y170</f>
        <v>0.83969622816293377</v>
      </c>
      <c r="S170" s="27">
        <f>'Specification &amp; Data'!B$21*'Specification &amp; Data'!B$11*'Specification &amp; Data'!B$23*(Simulation!Q170+'Specification &amp; Data'!B$22)^2/2</f>
        <v>117.48020405423323</v>
      </c>
      <c r="T170" s="27">
        <f>IF(AND(M170=1,L170=1),'Specification &amp; Data'!E$14,IF(AND(M170=1,L170=2),'Specification &amp; Data'!E$15,IF(AND(M170=1,L170=3),'Specification &amp; Data'!E$16,IF(AND(M170=2,L170=1),'Specification &amp; Data'!F$14,IF(AND(M170=2,L170=2),'Specification &amp; Data'!F$15,IF(AND(M170=2,L170=3),'Specification &amp; Data'!F$16,IF(AND(M170=3,L170=1),'Specification &amp; Data'!I$14,IF(AND(M170=3,L170=2),'Specification &amp; Data'!I$15,IF(AND(M170=3,L170=3),'Specification &amp; Data'!I$16)))))))))</f>
        <v>102.35950200000001</v>
      </c>
      <c r="U170" s="27">
        <f>IF(AND(M170=1,L170=1),'Specification &amp; Data'!E$24,IF(AND(M170=1,L170=2),'Specification &amp; Data'!E$25,IF(AND(M170=1,L170=3),'Specification &amp; Data'!E$26,IF(M170=2,0,IF(AND(M170=3,L170=1),'Specification &amp; Data'!I$24,IF(AND(M170=3,L170=2),'Specification &amp; Data'!I$25,IF(AND(M170=3,L170=3),'Specification &amp; Data'!I$26)))))))</f>
        <v>0</v>
      </c>
      <c r="V170" s="27">
        <f>'Specification &amp; Data'!B$46-Simulation!S170-Simulation!T170-Simulation!U170</f>
        <v>488.06171126860124</v>
      </c>
      <c r="W170" s="27">
        <f>Simulation!V170/Simulation!Y170</f>
        <v>0.83969622816293377</v>
      </c>
      <c r="X170" s="27">
        <f>60*Simulation!Q170/(2*'Specification &amp; Data'!B$15*PI())</f>
        <v>510.47149810013718</v>
      </c>
      <c r="Y170" s="27">
        <f>IF(L170=1,'Specification &amp; Data'!B$56,IF(L170=2,'Specification &amp; Data'!B$57,IF(L170=3,'Specification &amp; Data'!B$58)))</f>
        <v>581.23604096253996</v>
      </c>
      <c r="Z170" s="38">
        <f>Simulation!Y170*Simulation!Q170^2/(2*1000)</f>
        <v>53.578457521658208</v>
      </c>
    </row>
    <row r="171" spans="7:26">
      <c r="G171" s="44">
        <v>6400</v>
      </c>
      <c r="H171" s="44">
        <v>17.8</v>
      </c>
      <c r="I171" s="38">
        <f>Simulation!H171*746/1000</f>
        <v>13.2788</v>
      </c>
      <c r="J171" s="38">
        <f>60*1000*Simulation!I171/(2*PI()*Simulation!G171)</f>
        <v>19.812999921831185</v>
      </c>
      <c r="K171" s="37">
        <v>494.4</v>
      </c>
      <c r="L171" s="27">
        <f>IF(Q171&lt;='Specification &amp; Data'!I$7,1,IF(AND(Q171&gt;'Specification &amp; Data'!I$7,Q171&lt;='Specification &amp; Data'!I$8),2,IF(Q171&gt;'Specification &amp; Data'!I$8,3)))</f>
        <v>3</v>
      </c>
      <c r="M171" s="33">
        <v>2</v>
      </c>
      <c r="N171" s="33">
        <f t="shared" si="2"/>
        <v>166</v>
      </c>
      <c r="O171" s="27">
        <f>O170+(1/Simulation!Q171)</f>
        <v>33.750843714526098</v>
      </c>
      <c r="P171" s="38">
        <f>Simulation!Q171*3.6</f>
        <v>48.880578132934232</v>
      </c>
      <c r="Q171" s="38">
        <f>MIN('Specification &amp; Data'!I$9,SQRT(2*Simulation!R170+Simulation!Q170^2))</f>
        <v>13.577938370259508</v>
      </c>
      <c r="R171" s="38">
        <f>Simulation!V171/Simulation!Y171</f>
        <v>0.83969622816293377</v>
      </c>
      <c r="S171" s="27">
        <f>'Specification &amp; Data'!B$21*'Specification &amp; Data'!B$11*'Specification &amp; Data'!B$23*(Simulation!Q171+'Specification &amp; Data'!B$22)^2/2</f>
        <v>117.48020405423323</v>
      </c>
      <c r="T171" s="27">
        <f>IF(AND(M171=1,L171=1),'Specification &amp; Data'!E$14,IF(AND(M171=1,L171=2),'Specification &amp; Data'!E$15,IF(AND(M171=1,L171=3),'Specification &amp; Data'!E$16,IF(AND(M171=2,L171=1),'Specification &amp; Data'!F$14,IF(AND(M171=2,L171=2),'Specification &amp; Data'!F$15,IF(AND(M171=2,L171=3),'Specification &amp; Data'!F$16,IF(AND(M171=3,L171=1),'Specification &amp; Data'!I$14,IF(AND(M171=3,L171=2),'Specification &amp; Data'!I$15,IF(AND(M171=3,L171=3),'Specification &amp; Data'!I$16)))))))))</f>
        <v>102.35950200000001</v>
      </c>
      <c r="U171" s="27">
        <f>IF(AND(M171=1,L171=1),'Specification &amp; Data'!E$24,IF(AND(M171=1,L171=2),'Specification &amp; Data'!E$25,IF(AND(M171=1,L171=3),'Specification &amp; Data'!E$26,IF(M171=2,0,IF(AND(M171=3,L171=1),'Specification &amp; Data'!I$24,IF(AND(M171=3,L171=2),'Specification &amp; Data'!I$25,IF(AND(M171=3,L171=3),'Specification &amp; Data'!I$26)))))))</f>
        <v>0</v>
      </c>
      <c r="V171" s="27">
        <f>'Specification &amp; Data'!B$46-Simulation!S171-Simulation!T171-Simulation!U171</f>
        <v>488.06171126860124</v>
      </c>
      <c r="W171" s="27">
        <f>Simulation!V171/Simulation!Y171</f>
        <v>0.83969622816293377</v>
      </c>
      <c r="X171" s="27">
        <f>60*Simulation!Q171/(2*'Specification &amp; Data'!B$15*PI())</f>
        <v>510.47149810013718</v>
      </c>
      <c r="Y171" s="27">
        <f>IF(L171=1,'Specification &amp; Data'!B$56,IF(L171=2,'Specification &amp; Data'!B$57,IF(L171=3,'Specification &amp; Data'!B$58)))</f>
        <v>581.23604096253996</v>
      </c>
      <c r="Z171" s="38">
        <f>Simulation!Y171*Simulation!Q171^2/(2*1000)</f>
        <v>53.578457521658208</v>
      </c>
    </row>
    <row r="172" spans="7:26">
      <c r="G172" s="44">
        <v>6500</v>
      </c>
      <c r="H172" s="44">
        <v>17.8</v>
      </c>
      <c r="I172" s="38">
        <f>Simulation!H172*746/1000</f>
        <v>13.2788</v>
      </c>
      <c r="J172" s="38">
        <f>60*1000*Simulation!I172/(2*PI()*Simulation!G172)</f>
        <v>19.508184538418398</v>
      </c>
      <c r="K172" s="37">
        <v>494.4</v>
      </c>
      <c r="L172" s="27">
        <f>IF(Q172&lt;='Specification &amp; Data'!I$7,1,IF(AND(Q172&gt;'Specification &amp; Data'!I$7,Q172&lt;='Specification &amp; Data'!I$8),2,IF(Q172&gt;'Specification &amp; Data'!I$8,3)))</f>
        <v>3</v>
      </c>
      <c r="M172" s="33">
        <v>2</v>
      </c>
      <c r="N172" s="33">
        <f t="shared" si="2"/>
        <v>167</v>
      </c>
      <c r="O172" s="27">
        <f>O171+(1/Simulation!Q172)</f>
        <v>33.824492597937613</v>
      </c>
      <c r="P172" s="38">
        <f>Simulation!Q172*3.6</f>
        <v>48.880578132934232</v>
      </c>
      <c r="Q172" s="38">
        <f>MIN('Specification &amp; Data'!I$9,SQRT(2*Simulation!R171+Simulation!Q171^2))</f>
        <v>13.577938370259508</v>
      </c>
      <c r="R172" s="38">
        <f>Simulation!V172/Simulation!Y172</f>
        <v>0.83969622816293377</v>
      </c>
      <c r="S172" s="27">
        <f>'Specification &amp; Data'!B$21*'Specification &amp; Data'!B$11*'Specification &amp; Data'!B$23*(Simulation!Q172+'Specification &amp; Data'!B$22)^2/2</f>
        <v>117.48020405423323</v>
      </c>
      <c r="T172" s="27">
        <f>IF(AND(M172=1,L172=1),'Specification &amp; Data'!E$14,IF(AND(M172=1,L172=2),'Specification &amp; Data'!E$15,IF(AND(M172=1,L172=3),'Specification &amp; Data'!E$16,IF(AND(M172=2,L172=1),'Specification &amp; Data'!F$14,IF(AND(M172=2,L172=2),'Specification &amp; Data'!F$15,IF(AND(M172=2,L172=3),'Specification &amp; Data'!F$16,IF(AND(M172=3,L172=1),'Specification &amp; Data'!I$14,IF(AND(M172=3,L172=2),'Specification &amp; Data'!I$15,IF(AND(M172=3,L172=3),'Specification &amp; Data'!I$16)))))))))</f>
        <v>102.35950200000001</v>
      </c>
      <c r="U172" s="27">
        <f>IF(AND(M172=1,L172=1),'Specification &amp; Data'!E$24,IF(AND(M172=1,L172=2),'Specification &amp; Data'!E$25,IF(AND(M172=1,L172=3),'Specification &amp; Data'!E$26,IF(M172=2,0,IF(AND(M172=3,L172=1),'Specification &amp; Data'!I$24,IF(AND(M172=3,L172=2),'Specification &amp; Data'!I$25,IF(AND(M172=3,L172=3),'Specification &amp; Data'!I$26)))))))</f>
        <v>0</v>
      </c>
      <c r="V172" s="27">
        <f>'Specification &amp; Data'!B$46-Simulation!S172-Simulation!T172-Simulation!U172</f>
        <v>488.06171126860124</v>
      </c>
      <c r="W172" s="27">
        <f>Simulation!V172/Simulation!Y172</f>
        <v>0.83969622816293377</v>
      </c>
      <c r="X172" s="27">
        <f>60*Simulation!Q172/(2*'Specification &amp; Data'!B$15*PI())</f>
        <v>510.47149810013718</v>
      </c>
      <c r="Y172" s="27">
        <f>IF(L172=1,'Specification &amp; Data'!B$56,IF(L172=2,'Specification &amp; Data'!B$57,IF(L172=3,'Specification &amp; Data'!B$58)))</f>
        <v>581.23604096253996</v>
      </c>
      <c r="Z172" s="38">
        <f>Simulation!Y172*Simulation!Q172^2/(2*1000)</f>
        <v>53.578457521658208</v>
      </c>
    </row>
    <row r="173" spans="7:26">
      <c r="G173" s="44">
        <v>6500</v>
      </c>
      <c r="H173" s="44">
        <v>17.8</v>
      </c>
      <c r="I173" s="38">
        <f>Simulation!H173*746/1000</f>
        <v>13.2788</v>
      </c>
      <c r="J173" s="38">
        <f>60*1000*Simulation!I173/(2*PI()*Simulation!G173)</f>
        <v>19.508184538418398</v>
      </c>
      <c r="K173" s="37">
        <v>494.4</v>
      </c>
      <c r="L173" s="27">
        <f>IF(Q173&lt;='Specification &amp; Data'!I$7,1,IF(AND(Q173&gt;'Specification &amp; Data'!I$7,Q173&lt;='Specification &amp; Data'!I$8),2,IF(Q173&gt;'Specification &amp; Data'!I$8,3)))</f>
        <v>3</v>
      </c>
      <c r="M173" s="33">
        <v>2</v>
      </c>
      <c r="N173" s="33">
        <f t="shared" si="2"/>
        <v>168</v>
      </c>
      <c r="O173" s="27">
        <f>O172+(1/Simulation!Q173)</f>
        <v>33.898141481349128</v>
      </c>
      <c r="P173" s="38">
        <f>Simulation!Q173*3.6</f>
        <v>48.880578132934232</v>
      </c>
      <c r="Q173" s="38">
        <f>MIN('Specification &amp; Data'!I$9,SQRT(2*Simulation!R172+Simulation!Q172^2))</f>
        <v>13.577938370259508</v>
      </c>
      <c r="R173" s="38">
        <f>Simulation!V173/Simulation!Y173</f>
        <v>0.83969622816293377</v>
      </c>
      <c r="S173" s="27">
        <f>'Specification &amp; Data'!B$21*'Specification &amp; Data'!B$11*'Specification &amp; Data'!B$23*(Simulation!Q173+'Specification &amp; Data'!B$22)^2/2</f>
        <v>117.48020405423323</v>
      </c>
      <c r="T173" s="27">
        <f>IF(AND(M173=1,L173=1),'Specification &amp; Data'!E$14,IF(AND(M173=1,L173=2),'Specification &amp; Data'!E$15,IF(AND(M173=1,L173=3),'Specification &amp; Data'!E$16,IF(AND(M173=2,L173=1),'Specification &amp; Data'!F$14,IF(AND(M173=2,L173=2),'Specification &amp; Data'!F$15,IF(AND(M173=2,L173=3),'Specification &amp; Data'!F$16,IF(AND(M173=3,L173=1),'Specification &amp; Data'!I$14,IF(AND(M173=3,L173=2),'Specification &amp; Data'!I$15,IF(AND(M173=3,L173=3),'Specification &amp; Data'!I$16)))))))))</f>
        <v>102.35950200000001</v>
      </c>
      <c r="U173" s="27">
        <f>IF(AND(M173=1,L173=1),'Specification &amp; Data'!E$24,IF(AND(M173=1,L173=2),'Specification &amp; Data'!E$25,IF(AND(M173=1,L173=3),'Specification &amp; Data'!E$26,IF(M173=2,0,IF(AND(M173=3,L173=1),'Specification &amp; Data'!I$24,IF(AND(M173=3,L173=2),'Specification &amp; Data'!I$25,IF(AND(M173=3,L173=3),'Specification &amp; Data'!I$26)))))))</f>
        <v>0</v>
      </c>
      <c r="V173" s="27">
        <f>'Specification &amp; Data'!B$46-Simulation!S173-Simulation!T173-Simulation!U173</f>
        <v>488.06171126860124</v>
      </c>
      <c r="W173" s="27">
        <f>Simulation!V173/Simulation!Y173</f>
        <v>0.83969622816293377</v>
      </c>
      <c r="X173" s="27">
        <f>60*Simulation!Q173/(2*'Specification &amp; Data'!B$15*PI())</f>
        <v>510.47149810013718</v>
      </c>
      <c r="Y173" s="27">
        <f>IF(L173=1,'Specification &amp; Data'!B$56,IF(L173=2,'Specification &amp; Data'!B$57,IF(L173=3,'Specification &amp; Data'!B$58)))</f>
        <v>581.23604096253996</v>
      </c>
      <c r="Z173" s="38">
        <f>Simulation!Y173*Simulation!Q173^2/(2*1000)</f>
        <v>53.578457521658208</v>
      </c>
    </row>
    <row r="174" spans="7:26">
      <c r="G174" s="44">
        <v>6500</v>
      </c>
      <c r="H174" s="44">
        <v>17.8</v>
      </c>
      <c r="I174" s="38">
        <f>Simulation!H174*746/1000</f>
        <v>13.2788</v>
      </c>
      <c r="J174" s="38">
        <f>60*1000*Simulation!I174/(2*PI()*Simulation!G174)</f>
        <v>19.508184538418398</v>
      </c>
      <c r="K174" s="37">
        <v>494.4</v>
      </c>
      <c r="L174" s="27">
        <f>IF(Q174&lt;='Specification &amp; Data'!I$7,1,IF(AND(Q174&gt;'Specification &amp; Data'!I$7,Q174&lt;='Specification &amp; Data'!I$8),2,IF(Q174&gt;'Specification &amp; Data'!I$8,3)))</f>
        <v>3</v>
      </c>
      <c r="M174" s="33">
        <v>2</v>
      </c>
      <c r="N174" s="33">
        <f t="shared" si="2"/>
        <v>169</v>
      </c>
      <c r="O174" s="27">
        <f>O173+(1/Simulation!Q174)</f>
        <v>33.971790364760643</v>
      </c>
      <c r="P174" s="38">
        <f>Simulation!Q174*3.6</f>
        <v>48.880578132934232</v>
      </c>
      <c r="Q174" s="38">
        <f>MIN('Specification &amp; Data'!I$9,SQRT(2*Simulation!R173+Simulation!Q173^2))</f>
        <v>13.577938370259508</v>
      </c>
      <c r="R174" s="38">
        <f>Simulation!V174/Simulation!Y174</f>
        <v>0.83969622816293377</v>
      </c>
      <c r="S174" s="27">
        <f>'Specification &amp; Data'!B$21*'Specification &amp; Data'!B$11*'Specification &amp; Data'!B$23*(Simulation!Q174+'Specification &amp; Data'!B$22)^2/2</f>
        <v>117.48020405423323</v>
      </c>
      <c r="T174" s="27">
        <f>IF(AND(M174=1,L174=1),'Specification &amp; Data'!E$14,IF(AND(M174=1,L174=2),'Specification &amp; Data'!E$15,IF(AND(M174=1,L174=3),'Specification &amp; Data'!E$16,IF(AND(M174=2,L174=1),'Specification &amp; Data'!F$14,IF(AND(M174=2,L174=2),'Specification &amp; Data'!F$15,IF(AND(M174=2,L174=3),'Specification &amp; Data'!F$16,IF(AND(M174=3,L174=1),'Specification &amp; Data'!I$14,IF(AND(M174=3,L174=2),'Specification &amp; Data'!I$15,IF(AND(M174=3,L174=3),'Specification &amp; Data'!I$16)))))))))</f>
        <v>102.35950200000001</v>
      </c>
      <c r="U174" s="27">
        <f>IF(AND(M174=1,L174=1),'Specification &amp; Data'!E$24,IF(AND(M174=1,L174=2),'Specification &amp; Data'!E$25,IF(AND(M174=1,L174=3),'Specification &amp; Data'!E$26,IF(M174=2,0,IF(AND(M174=3,L174=1),'Specification &amp; Data'!I$24,IF(AND(M174=3,L174=2),'Specification &amp; Data'!I$25,IF(AND(M174=3,L174=3),'Specification &amp; Data'!I$26)))))))</f>
        <v>0</v>
      </c>
      <c r="V174" s="27">
        <f>'Specification &amp; Data'!B$46-Simulation!S174-Simulation!T174-Simulation!U174</f>
        <v>488.06171126860124</v>
      </c>
      <c r="W174" s="27">
        <f>Simulation!V174/Simulation!Y174</f>
        <v>0.83969622816293377</v>
      </c>
      <c r="X174" s="27">
        <f>60*Simulation!Q174/(2*'Specification &amp; Data'!B$15*PI())</f>
        <v>510.47149810013718</v>
      </c>
      <c r="Y174" s="27">
        <f>IF(L174=1,'Specification &amp; Data'!B$56,IF(L174=2,'Specification &amp; Data'!B$57,IF(L174=3,'Specification &amp; Data'!B$58)))</f>
        <v>581.23604096253996</v>
      </c>
      <c r="Z174" s="38">
        <f>Simulation!Y174*Simulation!Q174^2/(2*1000)</f>
        <v>53.578457521658208</v>
      </c>
    </row>
    <row r="175" spans="7:26">
      <c r="G175" s="44">
        <v>5100</v>
      </c>
      <c r="H175" s="44">
        <v>15.59</v>
      </c>
      <c r="I175" s="38">
        <f>Simulation!H175*746/1000</f>
        <v>11.630139999999999</v>
      </c>
      <c r="J175" s="38">
        <f>60*1000*Simulation!I175/(2*PI()*Simulation!G175)</f>
        <v>21.776403174715004</v>
      </c>
      <c r="K175" s="37">
        <v>494.4</v>
      </c>
      <c r="L175" s="27">
        <f>IF(Q175&lt;='Specification &amp; Data'!I$7,1,IF(AND(Q175&gt;'Specification &amp; Data'!I$7,Q175&lt;='Specification &amp; Data'!I$8),2,IF(Q175&gt;'Specification &amp; Data'!I$8,3)))</f>
        <v>3</v>
      </c>
      <c r="M175" s="33">
        <v>2</v>
      </c>
      <c r="N175" s="33">
        <f t="shared" si="2"/>
        <v>170</v>
      </c>
      <c r="O175" s="27">
        <f>O174+(1/Simulation!Q175)</f>
        <v>34.045439248172158</v>
      </c>
      <c r="P175" s="38">
        <f>Simulation!Q175*3.6</f>
        <v>48.880578132934232</v>
      </c>
      <c r="Q175" s="38">
        <f>MIN('Specification &amp; Data'!I$9,SQRT(2*Simulation!R174+Simulation!Q174^2))</f>
        <v>13.577938370259508</v>
      </c>
      <c r="R175" s="38">
        <f>Simulation!V175/Simulation!Y175</f>
        <v>0.83969622816293377</v>
      </c>
      <c r="S175" s="27">
        <f>'Specification &amp; Data'!B$21*'Specification &amp; Data'!B$11*'Specification &amp; Data'!B$23*(Simulation!Q175+'Specification &amp; Data'!B$22)^2/2</f>
        <v>117.48020405423323</v>
      </c>
      <c r="T175" s="27">
        <f>IF(AND(M175=1,L175=1),'Specification &amp; Data'!E$14,IF(AND(M175=1,L175=2),'Specification &amp; Data'!E$15,IF(AND(M175=1,L175=3),'Specification &amp; Data'!E$16,IF(AND(M175=2,L175=1),'Specification &amp; Data'!F$14,IF(AND(M175=2,L175=2),'Specification &amp; Data'!F$15,IF(AND(M175=2,L175=3),'Specification &amp; Data'!F$16,IF(AND(M175=3,L175=1),'Specification &amp; Data'!I$14,IF(AND(M175=3,L175=2),'Specification &amp; Data'!I$15,IF(AND(M175=3,L175=3),'Specification &amp; Data'!I$16)))))))))</f>
        <v>102.35950200000001</v>
      </c>
      <c r="U175" s="27">
        <f>IF(AND(M175=1,L175=1),'Specification &amp; Data'!E$24,IF(AND(M175=1,L175=2),'Specification &amp; Data'!E$25,IF(AND(M175=1,L175=3),'Specification &amp; Data'!E$26,IF(M175=2,0,IF(AND(M175=3,L175=1),'Specification &amp; Data'!I$24,IF(AND(M175=3,L175=2),'Specification &amp; Data'!I$25,IF(AND(M175=3,L175=3),'Specification &amp; Data'!I$26)))))))</f>
        <v>0</v>
      </c>
      <c r="V175" s="27">
        <f>'Specification &amp; Data'!B$46-Simulation!S175-Simulation!T175-Simulation!U175</f>
        <v>488.06171126860124</v>
      </c>
      <c r="W175" s="27">
        <f>Simulation!V175/Simulation!Y175</f>
        <v>0.83969622816293377</v>
      </c>
      <c r="X175" s="27">
        <f>60*Simulation!Q175/(2*'Specification &amp; Data'!B$15*PI())</f>
        <v>510.47149810013718</v>
      </c>
      <c r="Y175" s="27">
        <f>IF(L175=1,'Specification &amp; Data'!B$56,IF(L175=2,'Specification &amp; Data'!B$57,IF(L175=3,'Specification &amp; Data'!B$58)))</f>
        <v>581.23604096253996</v>
      </c>
      <c r="Z175" s="38">
        <f>Simulation!Y175*Simulation!Q175^2/(2*1000)</f>
        <v>53.578457521658208</v>
      </c>
    </row>
    <row r="176" spans="7:26">
      <c r="G176" s="44">
        <v>5100</v>
      </c>
      <c r="H176" s="44">
        <v>15.59</v>
      </c>
      <c r="I176" s="38">
        <f>Simulation!H176*746/1000</f>
        <v>11.630139999999999</v>
      </c>
      <c r="J176" s="38">
        <f>60*1000*Simulation!I176/(2*PI()*Simulation!G176)</f>
        <v>21.776403174715004</v>
      </c>
      <c r="K176" s="37">
        <v>494.4</v>
      </c>
      <c r="L176" s="27">
        <f>IF(Q176&lt;='Specification &amp; Data'!I$7,1,IF(AND(Q176&gt;'Specification &amp; Data'!I$7,Q176&lt;='Specification &amp; Data'!I$8),2,IF(Q176&gt;'Specification &amp; Data'!I$8,3)))</f>
        <v>3</v>
      </c>
      <c r="M176" s="33">
        <v>2</v>
      </c>
      <c r="N176" s="33">
        <f t="shared" si="2"/>
        <v>171</v>
      </c>
      <c r="O176" s="27">
        <f>O175+(1/Simulation!Q176)</f>
        <v>34.119088131583673</v>
      </c>
      <c r="P176" s="38">
        <f>Simulation!Q176*3.6</f>
        <v>48.880578132934232</v>
      </c>
      <c r="Q176" s="38">
        <f>MIN('Specification &amp; Data'!I$9,SQRT(2*Simulation!R175+Simulation!Q175^2))</f>
        <v>13.577938370259508</v>
      </c>
      <c r="R176" s="38">
        <f>Simulation!V176/Simulation!Y176</f>
        <v>0.83969622816293377</v>
      </c>
      <c r="S176" s="27">
        <f>'Specification &amp; Data'!B$21*'Specification &amp; Data'!B$11*'Specification &amp; Data'!B$23*(Simulation!Q176+'Specification &amp; Data'!B$22)^2/2</f>
        <v>117.48020405423323</v>
      </c>
      <c r="T176" s="27">
        <f>IF(AND(M176=1,L176=1),'Specification &amp; Data'!E$14,IF(AND(M176=1,L176=2),'Specification &amp; Data'!E$15,IF(AND(M176=1,L176=3),'Specification &amp; Data'!E$16,IF(AND(M176=2,L176=1),'Specification &amp; Data'!F$14,IF(AND(M176=2,L176=2),'Specification &amp; Data'!F$15,IF(AND(M176=2,L176=3),'Specification &amp; Data'!F$16,IF(AND(M176=3,L176=1),'Specification &amp; Data'!I$14,IF(AND(M176=3,L176=2),'Specification &amp; Data'!I$15,IF(AND(M176=3,L176=3),'Specification &amp; Data'!I$16)))))))))</f>
        <v>102.35950200000001</v>
      </c>
      <c r="U176" s="27">
        <f>IF(AND(M176=1,L176=1),'Specification &amp; Data'!E$24,IF(AND(M176=1,L176=2),'Specification &amp; Data'!E$25,IF(AND(M176=1,L176=3),'Specification &amp; Data'!E$26,IF(M176=2,0,IF(AND(M176=3,L176=1),'Specification &amp; Data'!I$24,IF(AND(M176=3,L176=2),'Specification &amp; Data'!I$25,IF(AND(M176=3,L176=3),'Specification &amp; Data'!I$26)))))))</f>
        <v>0</v>
      </c>
      <c r="V176" s="27">
        <f>'Specification &amp; Data'!B$46-Simulation!S176-Simulation!T176-Simulation!U176</f>
        <v>488.06171126860124</v>
      </c>
      <c r="W176" s="27">
        <f>Simulation!V176/Simulation!Y176</f>
        <v>0.83969622816293377</v>
      </c>
      <c r="X176" s="27">
        <f>60*Simulation!Q176/(2*'Specification &amp; Data'!B$15*PI())</f>
        <v>510.47149810013718</v>
      </c>
      <c r="Y176" s="27">
        <f>IF(L176=1,'Specification &amp; Data'!B$56,IF(L176=2,'Specification &amp; Data'!B$57,IF(L176=3,'Specification &amp; Data'!B$58)))</f>
        <v>581.23604096253996</v>
      </c>
      <c r="Z176" s="38">
        <f>Simulation!Y176*Simulation!Q176^2/(2*1000)</f>
        <v>53.578457521658208</v>
      </c>
    </row>
    <row r="177" spans="7:26">
      <c r="G177" s="44">
        <v>5200</v>
      </c>
      <c r="H177" s="44">
        <v>15.92</v>
      </c>
      <c r="I177" s="38">
        <f>Simulation!H177*746/1000</f>
        <v>11.87632</v>
      </c>
      <c r="J177" s="38">
        <f>60*1000*Simulation!I177/(2*PI()*Simulation!G177)</f>
        <v>21.809711927782367</v>
      </c>
      <c r="K177" s="37">
        <v>494.4</v>
      </c>
      <c r="L177" s="27">
        <f>IF(Q177&lt;='Specification &amp; Data'!I$7,1,IF(AND(Q177&gt;'Specification &amp; Data'!I$7,Q177&lt;='Specification &amp; Data'!I$8),2,IF(Q177&gt;'Specification &amp; Data'!I$8,3)))</f>
        <v>3</v>
      </c>
      <c r="M177" s="33">
        <v>2</v>
      </c>
      <c r="N177" s="33">
        <f t="shared" si="2"/>
        <v>172</v>
      </c>
      <c r="O177" s="27">
        <f>O176+(1/Simulation!Q177)</f>
        <v>34.192737014995188</v>
      </c>
      <c r="P177" s="38">
        <f>Simulation!Q177*3.6</f>
        <v>48.880578132934232</v>
      </c>
      <c r="Q177" s="38">
        <f>MIN('Specification &amp; Data'!I$9,SQRT(2*Simulation!R176+Simulation!Q176^2))</f>
        <v>13.577938370259508</v>
      </c>
      <c r="R177" s="38">
        <f>Simulation!V177/Simulation!Y177</f>
        <v>0.83969622816293377</v>
      </c>
      <c r="S177" s="27">
        <f>'Specification &amp; Data'!B$21*'Specification &amp; Data'!B$11*'Specification &amp; Data'!B$23*(Simulation!Q177+'Specification &amp; Data'!B$22)^2/2</f>
        <v>117.48020405423323</v>
      </c>
      <c r="T177" s="27">
        <f>IF(AND(M177=1,L177=1),'Specification &amp; Data'!E$14,IF(AND(M177=1,L177=2),'Specification &amp; Data'!E$15,IF(AND(M177=1,L177=3),'Specification &amp; Data'!E$16,IF(AND(M177=2,L177=1),'Specification &amp; Data'!F$14,IF(AND(M177=2,L177=2),'Specification &amp; Data'!F$15,IF(AND(M177=2,L177=3),'Specification &amp; Data'!F$16,IF(AND(M177=3,L177=1),'Specification &amp; Data'!I$14,IF(AND(M177=3,L177=2),'Specification &amp; Data'!I$15,IF(AND(M177=3,L177=3),'Specification &amp; Data'!I$16)))))))))</f>
        <v>102.35950200000001</v>
      </c>
      <c r="U177" s="27">
        <f>IF(AND(M177=1,L177=1),'Specification &amp; Data'!E$24,IF(AND(M177=1,L177=2),'Specification &amp; Data'!E$25,IF(AND(M177=1,L177=3),'Specification &amp; Data'!E$26,IF(M177=2,0,IF(AND(M177=3,L177=1),'Specification &amp; Data'!I$24,IF(AND(M177=3,L177=2),'Specification &amp; Data'!I$25,IF(AND(M177=3,L177=3),'Specification &amp; Data'!I$26)))))))</f>
        <v>0</v>
      </c>
      <c r="V177" s="27">
        <f>'Specification &amp; Data'!B$46-Simulation!S177-Simulation!T177-Simulation!U177</f>
        <v>488.06171126860124</v>
      </c>
      <c r="W177" s="27">
        <f>Simulation!V177/Simulation!Y177</f>
        <v>0.83969622816293377</v>
      </c>
      <c r="X177" s="27">
        <f>60*Simulation!Q177/(2*'Specification &amp; Data'!B$15*PI())</f>
        <v>510.47149810013718</v>
      </c>
      <c r="Y177" s="27">
        <f>IF(L177=1,'Specification &amp; Data'!B$56,IF(L177=2,'Specification &amp; Data'!B$57,IF(L177=3,'Specification &amp; Data'!B$58)))</f>
        <v>581.23604096253996</v>
      </c>
      <c r="Z177" s="38">
        <f>Simulation!Y177*Simulation!Q177^2/(2*1000)</f>
        <v>53.578457521658208</v>
      </c>
    </row>
    <row r="178" spans="7:26">
      <c r="G178" s="44">
        <v>5200</v>
      </c>
      <c r="H178" s="44">
        <v>15.92</v>
      </c>
      <c r="I178" s="38">
        <f>Simulation!H178*746/1000</f>
        <v>11.87632</v>
      </c>
      <c r="J178" s="38">
        <f>60*1000*Simulation!I178/(2*PI()*Simulation!G178)</f>
        <v>21.809711927782367</v>
      </c>
      <c r="K178" s="37">
        <v>494.4</v>
      </c>
      <c r="L178" s="27">
        <f>IF(Q178&lt;='Specification &amp; Data'!I$7,1,IF(AND(Q178&gt;'Specification &amp; Data'!I$7,Q178&lt;='Specification &amp; Data'!I$8),2,IF(Q178&gt;'Specification &amp; Data'!I$8,3)))</f>
        <v>3</v>
      </c>
      <c r="M178" s="31">
        <v>2</v>
      </c>
      <c r="N178" s="31">
        <f t="shared" si="2"/>
        <v>173</v>
      </c>
      <c r="O178" s="27">
        <f>O177+(1/Simulation!Q178)</f>
        <v>34.266385898406703</v>
      </c>
      <c r="P178" s="38">
        <f>Simulation!Q178*3.6</f>
        <v>48.880578132934232</v>
      </c>
      <c r="Q178" s="38">
        <f>MIN('Specification &amp; Data'!I$9,SQRT(2*Simulation!R177+Simulation!Q177^2))</f>
        <v>13.577938370259508</v>
      </c>
      <c r="R178" s="15">
        <f>-1.2*Table37[[#This Row],[Column15]]/Table37[[#This Row],[Column20]]</f>
        <v>-1.0712397697600471</v>
      </c>
      <c r="S178" s="15">
        <f>'Specification &amp; Data'!B$11*'Specification &amp; Data'!B$21*'Specification &amp; Data'!B$23*Simulation!Q178^2/2</f>
        <v>86.672613075373945</v>
      </c>
      <c r="T178" s="27">
        <f>IF(AND(M178=1,L178=1),'Specification &amp; Data'!E$14,IF(AND(M178=1,L178=2),'Specification &amp; Data'!E$15,IF(AND(M178=1,L178=3),'Specification &amp; Data'!E$16,IF(AND(M178=2,L178=1),'Specification &amp; Data'!F$14,IF(AND(M178=2,L178=2),'Specification &amp; Data'!F$15,IF(AND(M178=2,L178=3),'Specification &amp; Data'!F$16,IF(AND(M178=3,L178=1),'Specification &amp; Data'!I$14,IF(AND(M178=3,L178=2),'Specification &amp; Data'!I$15,IF(AND(M178=3,L178=3),'Specification &amp; Data'!I$16)))))))))</f>
        <v>102.35950200000001</v>
      </c>
      <c r="U178" s="27">
        <f>IF(AND(M178=1,L178=1),'Specification &amp; Data'!E$24,IF(AND(M178=1,L178=2),'Specification &amp; Data'!E$25,IF(AND(M178=1,L178=3),'Specification &amp; Data'!E$26,IF(M178=2,0,IF(AND(M178=3,L178=1),'Specification &amp; Data'!I$24,IF(AND(M178=3,L178=2),'Specification &amp; Data'!I$25,IF(AND(M178=3,L178=3),'Specification &amp; Data'!I$26)))))))</f>
        <v>0</v>
      </c>
      <c r="V178" s="27">
        <f>'Specification &amp; Data'!B$46-Simulation!S178-Simulation!T178-Simulation!U178</f>
        <v>518.8693022474605</v>
      </c>
      <c r="W178" s="27">
        <f>Simulation!V178/Simulation!Y178</f>
        <v>0.89269980813337257</v>
      </c>
      <c r="X178" s="27">
        <f>60*Simulation!Q178/(2*'Specification &amp; Data'!B$15*PI())</f>
        <v>510.47149810013718</v>
      </c>
      <c r="Y178" s="27">
        <f>IF(L178=1,'Specification &amp; Data'!B$56,IF(L178=2,'Specification &amp; Data'!B$57,IF(L178=3,'Specification &amp; Data'!B$58)))</f>
        <v>581.23604096253996</v>
      </c>
      <c r="Z178" s="38">
        <f>Simulation!Y178*Simulation!Q178^2/(2*1000)</f>
        <v>53.578457521658208</v>
      </c>
    </row>
    <row r="179" spans="7:26">
      <c r="G179" s="44">
        <v>5200</v>
      </c>
      <c r="H179" s="44">
        <v>15.92</v>
      </c>
      <c r="I179" s="38">
        <f>Simulation!H179*746/1000</f>
        <v>11.87632</v>
      </c>
      <c r="J179" s="38">
        <f>60*1000*Simulation!I179/(2*PI()*Simulation!G179)</f>
        <v>21.809711927782367</v>
      </c>
      <c r="K179" s="37">
        <v>494.4</v>
      </c>
      <c r="L179" s="27">
        <f>IF(Q179&lt;='Specification &amp; Data'!I$7,1,IF(AND(Q179&gt;'Specification &amp; Data'!I$7,Q179&lt;='Specification &amp; Data'!I$8),2,IF(Q179&gt;'Specification &amp; Data'!I$8,3)))</f>
        <v>3</v>
      </c>
      <c r="M179" s="31">
        <v>2</v>
      </c>
      <c r="N179" s="31">
        <f t="shared" si="2"/>
        <v>174</v>
      </c>
      <c r="O179" s="27">
        <f>O178+(1/Simulation!Q179)</f>
        <v>34.340466490468039</v>
      </c>
      <c r="P179" s="38">
        <f>Simulation!Q179*3.6</f>
        <v>48.595723924823965</v>
      </c>
      <c r="Q179" s="38">
        <f>MIN('Specification &amp; Data'!I$9,SQRT(2*Simulation!R178+Simulation!Q178^2))</f>
        <v>13.498812201339989</v>
      </c>
      <c r="R179" s="38">
        <f>-1.2*Table37[[#This Row],[Column15]]/Table37[[#This Row],[Column20]]</f>
        <v>-1.073319273076196</v>
      </c>
      <c r="S179" s="27">
        <f>'Specification &amp; Data'!B$11*'Specification &amp; Data'!B$21*'Specification &amp; Data'!B$23*Simulation!Q179^2/2</f>
        <v>85.665377846501499</v>
      </c>
      <c r="T179" s="27">
        <f>IF(AND(M179=1,L179=1),'Specification &amp; Data'!E$14,IF(AND(M179=1,L179=2),'Specification &amp; Data'!E$15,IF(AND(M179=1,L179=3),'Specification &amp; Data'!E$16,IF(AND(M179=2,L179=1),'Specification &amp; Data'!F$14,IF(AND(M179=2,L179=2),'Specification &amp; Data'!F$15,IF(AND(M179=2,L179=3),'Specification &amp; Data'!F$16,IF(AND(M179=3,L179=1),'Specification &amp; Data'!I$14,IF(AND(M179=3,L179=2),'Specification &amp; Data'!I$15,IF(AND(M179=3,L179=3),'Specification &amp; Data'!I$16)))))))))</f>
        <v>102.35950200000001</v>
      </c>
      <c r="U179" s="27">
        <f>IF(AND(M179=1,L179=1),'Specification &amp; Data'!E$24,IF(AND(M179=1,L179=2),'Specification &amp; Data'!E$25,IF(AND(M179=1,L179=3),'Specification &amp; Data'!E$26,IF(M179=2,0,IF(AND(M179=3,L179=1),'Specification &amp; Data'!I$24,IF(AND(M179=3,L179=2),'Specification &amp; Data'!I$25,IF(AND(M179=3,L179=3),'Specification &amp; Data'!I$26)))))))</f>
        <v>0</v>
      </c>
      <c r="V179" s="27">
        <f>'Specification &amp; Data'!B$46-Simulation!S179-Simulation!T179-Simulation!U179</f>
        <v>519.87653747633294</v>
      </c>
      <c r="W179" s="27">
        <f>Simulation!V179/Simulation!Y179</f>
        <v>0.89443272756349679</v>
      </c>
      <c r="X179" s="27">
        <f>60*Simulation!Q179/(2*'Specification &amp; Data'!B$15*PI())</f>
        <v>507.49669788483033</v>
      </c>
      <c r="Y179" s="27">
        <f>IF(L179=1,'Specification &amp; Data'!B$56,IF(L179=2,'Specification &amp; Data'!B$57,IF(L179=3,'Specification &amp; Data'!B$58)))</f>
        <v>581.23604096253996</v>
      </c>
      <c r="Z179" s="38">
        <f>Simulation!Y179*Simulation!Q179^2/(2*1000)</f>
        <v>52.95581435896127</v>
      </c>
    </row>
    <row r="180" spans="7:26">
      <c r="G180" s="44">
        <v>5300</v>
      </c>
      <c r="H180" s="44">
        <v>16.25</v>
      </c>
      <c r="I180" s="38">
        <f>Simulation!H180*746/1000</f>
        <v>12.1225</v>
      </c>
      <c r="J180" s="38">
        <f>60*1000*Simulation!I180/(2*PI()*Simulation!G180)</f>
        <v>21.841763746771711</v>
      </c>
      <c r="K180" s="37">
        <v>494.4</v>
      </c>
      <c r="L180" s="27">
        <f>IF(Q180&lt;='Specification &amp; Data'!I$7,1,IF(AND(Q180&gt;'Specification &amp; Data'!I$7,Q180&lt;='Specification &amp; Data'!I$8),2,IF(Q180&gt;'Specification &amp; Data'!I$8,3)))</f>
        <v>3</v>
      </c>
      <c r="M180" s="31">
        <v>2</v>
      </c>
      <c r="N180" s="31">
        <f t="shared" si="2"/>
        <v>175</v>
      </c>
      <c r="O180" s="27">
        <f>O179+(1/Simulation!Q180)</f>
        <v>34.414987333505771</v>
      </c>
      <c r="P180" s="38">
        <f>Simulation!Q180*3.6</f>
        <v>48.308632232961976</v>
      </c>
      <c r="Q180" s="38">
        <f>MIN('Specification &amp; Data'!I$9,SQRT(2*Simulation!R179+Simulation!Q179^2))</f>
        <v>13.419064509156104</v>
      </c>
      <c r="R180" s="38">
        <f>-1.2*Table37[[#This Row],[Column15]]/Table37[[#This Row],[Column20]]</f>
        <v>-1.0754028131487876</v>
      </c>
      <c r="S180" s="27">
        <f>'Specification &amp; Data'!B$11*'Specification &amp; Data'!B$21*'Specification &amp; Data'!B$23*Simulation!Q180^2/2</f>
        <v>84.656187360684996</v>
      </c>
      <c r="T180" s="27">
        <f>IF(AND(M180=1,L180=1),'Specification &amp; Data'!E$14,IF(AND(M180=1,L180=2),'Specification &amp; Data'!E$15,IF(AND(M180=1,L180=3),'Specification &amp; Data'!E$16,IF(AND(M180=2,L180=1),'Specification &amp; Data'!F$14,IF(AND(M180=2,L180=2),'Specification &amp; Data'!F$15,IF(AND(M180=2,L180=3),'Specification &amp; Data'!F$16,IF(AND(M180=3,L180=1),'Specification &amp; Data'!I$14,IF(AND(M180=3,L180=2),'Specification &amp; Data'!I$15,IF(AND(M180=3,L180=3),'Specification &amp; Data'!I$16)))))))))</f>
        <v>102.35950200000001</v>
      </c>
      <c r="U180" s="27">
        <f>IF(AND(M180=1,L180=1),'Specification &amp; Data'!E$24,IF(AND(M180=1,L180=2),'Specification &amp; Data'!E$25,IF(AND(M180=1,L180=3),'Specification &amp; Data'!E$26,IF(M180=2,0,IF(AND(M180=3,L180=1),'Specification &amp; Data'!I$24,IF(AND(M180=3,L180=2),'Specification &amp; Data'!I$25,IF(AND(M180=3,L180=3),'Specification &amp; Data'!I$26)))))))</f>
        <v>0</v>
      </c>
      <c r="V180" s="27">
        <f>'Specification &amp; Data'!B$46-Simulation!S180-Simulation!T180-Simulation!U180</f>
        <v>520.88572796214953</v>
      </c>
      <c r="W180" s="27">
        <f>Simulation!V180/Simulation!Y180</f>
        <v>0.89616901095732304</v>
      </c>
      <c r="X180" s="27">
        <f>60*Simulation!Q180/(2*'Specification &amp; Data'!B$15*PI())</f>
        <v>504.49853109477459</v>
      </c>
      <c r="Y180" s="27">
        <f>IF(L180=1,'Specification &amp; Data'!B$56,IF(L180=2,'Specification &amp; Data'!B$57,IF(L180=3,'Specification &amp; Data'!B$58)))</f>
        <v>581.23604096253996</v>
      </c>
      <c r="Z180" s="38">
        <f>Simulation!Y180*Simulation!Q180^2/(2*1000)</f>
        <v>52.331962513989666</v>
      </c>
    </row>
    <row r="181" spans="7:26">
      <c r="G181" s="44">
        <v>5300</v>
      </c>
      <c r="H181" s="44">
        <v>16.25</v>
      </c>
      <c r="I181" s="38">
        <f>Simulation!H181*746/1000</f>
        <v>12.1225</v>
      </c>
      <c r="J181" s="38">
        <f>60*1000*Simulation!I181/(2*PI()*Simulation!G181)</f>
        <v>21.841763746771711</v>
      </c>
      <c r="K181" s="37">
        <v>494.4</v>
      </c>
      <c r="L181" s="27">
        <f>IF(Q181&lt;='Specification &amp; Data'!I$7,1,IF(AND(Q181&gt;'Specification &amp; Data'!I$7,Q181&lt;='Specification &amp; Data'!I$8),2,IF(Q181&gt;'Specification &amp; Data'!I$8,3)))</f>
        <v>3</v>
      </c>
      <c r="M181" s="31">
        <v>2</v>
      </c>
      <c r="N181" s="31">
        <f t="shared" si="2"/>
        <v>176</v>
      </c>
      <c r="O181" s="27">
        <f>O180+(1/Simulation!Q181)</f>
        <v>34.489957248959136</v>
      </c>
      <c r="P181" s="38">
        <f>Simulation!Q181*3.6</f>
        <v>48.019261836296032</v>
      </c>
      <c r="Q181" s="38">
        <f>MIN('Specification &amp; Data'!I$9,SQRT(2*Simulation!R180+Simulation!Q180^2))</f>
        <v>13.338683843415565</v>
      </c>
      <c r="R181" s="38">
        <f>-1.2*Table37[[#This Row],[Column15]]/Table37[[#This Row],[Column20]]</f>
        <v>-1.0774903978140207</v>
      </c>
      <c r="S181" s="27">
        <f>'Specification &amp; Data'!B$11*'Specification &amp; Data'!B$21*'Specification &amp; Data'!B$23*Simulation!Q181^2/2</f>
        <v>83.645037822356514</v>
      </c>
      <c r="T181" s="27">
        <f>IF(AND(M181=1,L181=1),'Specification &amp; Data'!E$14,IF(AND(M181=1,L181=2),'Specification &amp; Data'!E$15,IF(AND(M181=1,L181=3),'Specification &amp; Data'!E$16,IF(AND(M181=2,L181=1),'Specification &amp; Data'!F$14,IF(AND(M181=2,L181=2),'Specification &amp; Data'!F$15,IF(AND(M181=2,L181=3),'Specification &amp; Data'!F$16,IF(AND(M181=3,L181=1),'Specification &amp; Data'!I$14,IF(AND(M181=3,L181=2),'Specification &amp; Data'!I$15,IF(AND(M181=3,L181=3),'Specification &amp; Data'!I$16)))))))))</f>
        <v>102.35950200000001</v>
      </c>
      <c r="U181" s="27">
        <f>IF(AND(M181=1,L181=1),'Specification &amp; Data'!E$24,IF(AND(M181=1,L181=2),'Specification &amp; Data'!E$25,IF(AND(M181=1,L181=3),'Specification &amp; Data'!E$26,IF(M181=2,0,IF(AND(M181=3,L181=1),'Specification &amp; Data'!I$24,IF(AND(M181=3,L181=2),'Specification &amp; Data'!I$25,IF(AND(M181=3,L181=3),'Specification &amp; Data'!I$26)))))))</f>
        <v>0</v>
      </c>
      <c r="V181" s="27">
        <f>'Specification &amp; Data'!B$46-Simulation!S181-Simulation!T181-Simulation!U181</f>
        <v>521.89687750047801</v>
      </c>
      <c r="W181" s="27">
        <f>Simulation!V181/Simulation!Y181</f>
        <v>0.8979086648450173</v>
      </c>
      <c r="X181" s="27">
        <f>60*Simulation!Q181/(2*'Specification &amp; Data'!B$15*PI())</f>
        <v>501.47656724872155</v>
      </c>
      <c r="Y181" s="27">
        <f>IF(L181=1,'Specification &amp; Data'!B$56,IF(L181=2,'Specification &amp; Data'!B$57,IF(L181=3,'Specification &amp; Data'!B$58)))</f>
        <v>581.23604096253996</v>
      </c>
      <c r="Z181" s="38">
        <f>Simulation!Y181*Simulation!Q181^2/(2*1000)</f>
        <v>51.706899640435097</v>
      </c>
    </row>
    <row r="182" spans="7:26">
      <c r="G182" s="44">
        <v>5400</v>
      </c>
      <c r="H182" s="44">
        <v>16.579999999999998</v>
      </c>
      <c r="I182" s="38">
        <f>Simulation!H182*746/1000</f>
        <v>12.368679999999998</v>
      </c>
      <c r="J182" s="38">
        <f>60*1000*Simulation!I182/(2*PI()*Simulation!G182)</f>
        <v>21.872628461354036</v>
      </c>
      <c r="K182" s="37">
        <v>494.4</v>
      </c>
      <c r="L182" s="27">
        <f>IF(Q182&lt;='Specification &amp; Data'!I$7,1,IF(AND(Q182&gt;'Specification &amp; Data'!I$7,Q182&lt;='Specification &amp; Data'!I$8),2,IF(Q182&gt;'Specification &amp; Data'!I$8,3)))</f>
        <v>3</v>
      </c>
      <c r="M182" s="31">
        <v>2</v>
      </c>
      <c r="N182" s="31">
        <f t="shared" si="2"/>
        <v>177</v>
      </c>
      <c r="O182" s="27">
        <f>O181+(1/Simulation!Q182)</f>
        <v>34.565385350278945</v>
      </c>
      <c r="P182" s="38">
        <f>Simulation!Q182*3.6</f>
        <v>47.727570189476623</v>
      </c>
      <c r="Q182" s="38">
        <f>MIN('Specification &amp; Data'!I$9,SQRT(2*Simulation!R181+Simulation!Q181^2))</f>
        <v>13.257658385965728</v>
      </c>
      <c r="R182" s="38">
        <f>-1.2*Table37[[#This Row],[Column15]]/Table37[[#This Row],[Column20]]</f>
        <v>-1.0795820349233063</v>
      </c>
      <c r="S182" s="27">
        <f>'Specification &amp; Data'!B$11*'Specification &amp; Data'!B$21*'Specification &amp; Data'!B$23*Simulation!Q182^2/2</f>
        <v>82.631925428580132</v>
      </c>
      <c r="T182" s="27">
        <f>IF(AND(M182=1,L182=1),'Specification &amp; Data'!E$14,IF(AND(M182=1,L182=2),'Specification &amp; Data'!E$15,IF(AND(M182=1,L182=3),'Specification &amp; Data'!E$16,IF(AND(M182=2,L182=1),'Specification &amp; Data'!F$14,IF(AND(M182=2,L182=2),'Specification &amp; Data'!F$15,IF(AND(M182=2,L182=3),'Specification &amp; Data'!F$16,IF(AND(M182=3,L182=1),'Specification &amp; Data'!I$14,IF(AND(M182=3,L182=2),'Specification &amp; Data'!I$15,IF(AND(M182=3,L182=3),'Specification &amp; Data'!I$16)))))))))</f>
        <v>102.35950200000001</v>
      </c>
      <c r="U182" s="27">
        <f>IF(AND(M182=1,L182=1),'Specification &amp; Data'!E$24,IF(AND(M182=1,L182=2),'Specification &amp; Data'!E$25,IF(AND(M182=1,L182=3),'Specification &amp; Data'!E$26,IF(M182=2,0,IF(AND(M182=3,L182=1),'Specification &amp; Data'!I$24,IF(AND(M182=3,L182=2),'Specification &amp; Data'!I$25,IF(AND(M182=3,L182=3),'Specification &amp; Data'!I$26)))))))</f>
        <v>0</v>
      </c>
      <c r="V182" s="27">
        <f>'Specification &amp; Data'!B$46-Simulation!S182-Simulation!T182-Simulation!U182</f>
        <v>522.90998989425429</v>
      </c>
      <c r="W182" s="27">
        <f>Simulation!V182/Simulation!Y182</f>
        <v>0.89965169576942194</v>
      </c>
      <c r="X182" s="27">
        <f>60*Simulation!Q182/(2*'Specification &amp; Data'!B$15*PI())</f>
        <v>498.43036203547194</v>
      </c>
      <c r="Y182" s="27">
        <f>IF(L182=1,'Specification &amp; Data'!B$56,IF(L182=2,'Specification &amp; Data'!B$57,IF(L182=3,'Specification &amp; Data'!B$58)))</f>
        <v>581.23604096253996</v>
      </c>
      <c r="Z182" s="38">
        <f>Simulation!Y182*Simulation!Q182^2/(2*1000)</f>
        <v>51.080623387434528</v>
      </c>
    </row>
    <row r="183" spans="7:26">
      <c r="G183" s="44">
        <v>5400</v>
      </c>
      <c r="H183" s="44">
        <v>16.579999999999998</v>
      </c>
      <c r="I183" s="38">
        <f>Simulation!H183*746/1000</f>
        <v>12.368679999999998</v>
      </c>
      <c r="J183" s="38">
        <f>60*1000*Simulation!I183/(2*PI()*Simulation!G183)</f>
        <v>21.872628461354036</v>
      </c>
      <c r="K183" s="37">
        <v>494.4</v>
      </c>
      <c r="L183" s="27">
        <f>IF(Q183&lt;='Specification &amp; Data'!I$7,1,IF(AND(Q183&gt;'Specification &amp; Data'!I$7,Q183&lt;='Specification &amp; Data'!I$8),2,IF(Q183&gt;'Specification &amp; Data'!I$8,3)))</f>
        <v>3</v>
      </c>
      <c r="M183" s="31">
        <v>2</v>
      </c>
      <c r="N183" s="31">
        <f t="shared" si="2"/>
        <v>178</v>
      </c>
      <c r="O183" s="27">
        <f>O182+(1/Simulation!Q183)</f>
        <v>34.641281056602431</v>
      </c>
      <c r="P183" s="38">
        <f>Simulation!Q183*3.6</f>
        <v>47.433513361822627</v>
      </c>
      <c r="Q183" s="38">
        <f>MIN('Specification &amp; Data'!I$9,SQRT(2*Simulation!R182+Simulation!Q182^2))</f>
        <v>13.175975933839618</v>
      </c>
      <c r="R183" s="38">
        <f>-1.2*Table37[[#This Row],[Column15]]/Table37[[#This Row],[Column20]]</f>
        <v>-1.0816777323432976</v>
      </c>
      <c r="S183" s="27">
        <f>'Specification &amp; Data'!B$11*'Specification &amp; Data'!B$21*'Specification &amp; Data'!B$23*Simulation!Q183^2/2</f>
        <v>81.616846369037646</v>
      </c>
      <c r="T183" s="27">
        <f>IF(AND(M183=1,L183=1),'Specification &amp; Data'!E$14,IF(AND(M183=1,L183=2),'Specification &amp; Data'!E$15,IF(AND(M183=1,L183=3),'Specification &amp; Data'!E$16,IF(AND(M183=2,L183=1),'Specification &amp; Data'!F$14,IF(AND(M183=2,L183=2),'Specification &amp; Data'!F$15,IF(AND(M183=2,L183=3),'Specification &amp; Data'!F$16,IF(AND(M183=3,L183=1),'Specification &amp; Data'!I$14,IF(AND(M183=3,L183=2),'Specification &amp; Data'!I$15,IF(AND(M183=3,L183=3),'Specification &amp; Data'!I$16)))))))))</f>
        <v>102.35950200000001</v>
      </c>
      <c r="U183" s="27">
        <f>IF(AND(M183=1,L183=1),'Specification &amp; Data'!E$24,IF(AND(M183=1,L183=2),'Specification &amp; Data'!E$25,IF(AND(M183=1,L183=3),'Specification &amp; Data'!E$26,IF(M183=2,0,IF(AND(M183=3,L183=1),'Specification &amp; Data'!I$24,IF(AND(M183=3,L183=2),'Specification &amp; Data'!I$25,IF(AND(M183=3,L183=3),'Specification &amp; Data'!I$26)))))))</f>
        <v>0</v>
      </c>
      <c r="V183" s="27">
        <f>'Specification &amp; Data'!B$46-Simulation!S183-Simulation!T183-Simulation!U183</f>
        <v>523.92506895379688</v>
      </c>
      <c r="W183" s="27">
        <f>Simulation!V183/Simulation!Y183</f>
        <v>0.9013981102860813</v>
      </c>
      <c r="X183" s="27">
        <f>60*Simulation!Q183/(2*'Specification &amp; Data'!B$15*PI())</f>
        <v>495.35945667647883</v>
      </c>
      <c r="Y183" s="27">
        <f>IF(L183=1,'Specification &amp; Data'!B$56,IF(L183=2,'Specification &amp; Data'!B$57,IF(L183=3,'Specification &amp; Data'!B$58)))</f>
        <v>581.23604096253996</v>
      </c>
      <c r="Z183" s="38">
        <f>Simulation!Y183*Simulation!Q183^2/(2*1000)</f>
        <v>50.453131399561428</v>
      </c>
    </row>
    <row r="184" spans="7:26">
      <c r="G184" s="44">
        <v>5500</v>
      </c>
      <c r="H184" s="44">
        <v>16.940000000000001</v>
      </c>
      <c r="I184" s="38">
        <f>Simulation!H184*746/1000</f>
        <v>12.637240000000002</v>
      </c>
      <c r="J184" s="38">
        <f>60*1000*Simulation!I184/(2*PI()*Simulation!G184)</f>
        <v>21.941227778603171</v>
      </c>
      <c r="K184" s="37">
        <v>494.4</v>
      </c>
      <c r="L184" s="27">
        <f>IF(Q184&lt;='Specification &amp; Data'!I$7,1,IF(AND(Q184&gt;'Specification &amp; Data'!I$7,Q184&lt;='Specification &amp; Data'!I$8),2,IF(Q184&gt;'Specification &amp; Data'!I$8,3)))</f>
        <v>3</v>
      </c>
      <c r="M184" s="31">
        <v>2</v>
      </c>
      <c r="N184" s="31">
        <f t="shared" si="2"/>
        <v>179</v>
      </c>
      <c r="O184" s="27">
        <f>O183+(1/Simulation!Q184)</f>
        <v>34.717654107261822</v>
      </c>
      <c r="P184" s="38">
        <f>Simulation!Q184*3.6</f>
        <v>47.137045972609144</v>
      </c>
      <c r="Q184" s="38">
        <f>MIN('Specification &amp; Data'!I$9,SQRT(2*Simulation!R183+Simulation!Q183^2))</f>
        <v>13.093623881280317</v>
      </c>
      <c r="R184" s="38">
        <f>-1.2*Table37[[#This Row],[Column15]]/Table37[[#This Row],[Column20]]</f>
        <v>-1.0837774979559167</v>
      </c>
      <c r="S184" s="27">
        <f>'Specification &amp; Data'!B$11*'Specification &amp; Data'!B$21*'Specification &amp; Data'!B$23*Simulation!Q184^2/2</f>
        <v>80.599796826014185</v>
      </c>
      <c r="T184" s="27">
        <f>IF(AND(M184=1,L184=1),'Specification &amp; Data'!E$14,IF(AND(M184=1,L184=2),'Specification &amp; Data'!E$15,IF(AND(M184=1,L184=3),'Specification &amp; Data'!E$16,IF(AND(M184=2,L184=1),'Specification &amp; Data'!F$14,IF(AND(M184=2,L184=2),'Specification &amp; Data'!F$15,IF(AND(M184=2,L184=3),'Specification &amp; Data'!F$16,IF(AND(M184=3,L184=1),'Specification &amp; Data'!I$14,IF(AND(M184=3,L184=2),'Specification &amp; Data'!I$15,IF(AND(M184=3,L184=3),'Specification &amp; Data'!I$16)))))))))</f>
        <v>102.35950200000001</v>
      </c>
      <c r="U184" s="27">
        <f>IF(AND(M184=1,L184=1),'Specification &amp; Data'!E$24,IF(AND(M184=1,L184=2),'Specification &amp; Data'!E$25,IF(AND(M184=1,L184=3),'Specification &amp; Data'!E$26,IF(M184=2,0,IF(AND(M184=3,L184=1),'Specification &amp; Data'!I$24,IF(AND(M184=3,L184=2),'Specification &amp; Data'!I$25,IF(AND(M184=3,L184=3),'Specification &amp; Data'!I$26)))))))</f>
        <v>0</v>
      </c>
      <c r="V184" s="27">
        <f>'Specification &amp; Data'!B$46-Simulation!S184-Simulation!T184-Simulation!U184</f>
        <v>524.94211849682029</v>
      </c>
      <c r="W184" s="27">
        <f>Simulation!V184/Simulation!Y184</f>
        <v>0.90314791496326408</v>
      </c>
      <c r="X184" s="27">
        <f>60*Simulation!Q184/(2*'Specification &amp; Data'!B$15*PI())</f>
        <v>492.2633772500435</v>
      </c>
      <c r="Y184" s="27">
        <f>IF(L184=1,'Specification &amp; Data'!B$56,IF(L184=2,'Specification &amp; Data'!B$57,IF(L184=3,'Specification &amp; Data'!B$58)))</f>
        <v>581.23604096253996</v>
      </c>
      <c r="Z184" s="38">
        <f>Simulation!Y184*Simulation!Q184^2/(2*1000)</f>
        <v>49.824421316816881</v>
      </c>
    </row>
    <row r="185" spans="7:26">
      <c r="G185" s="44">
        <v>5500</v>
      </c>
      <c r="H185" s="44">
        <v>16.940000000000001</v>
      </c>
      <c r="I185" s="38">
        <f>Simulation!H185*746/1000</f>
        <v>12.637240000000002</v>
      </c>
      <c r="J185" s="38">
        <f>60*1000*Simulation!I185/(2*PI()*Simulation!G185)</f>
        <v>21.941227778603171</v>
      </c>
      <c r="K185" s="37">
        <v>494.4</v>
      </c>
      <c r="L185" s="27">
        <f>IF(Q185&lt;='Specification &amp; Data'!I$7,1,IF(AND(Q185&gt;'Specification &amp; Data'!I$7,Q185&lt;='Specification &amp; Data'!I$8),2,IF(Q185&gt;'Specification &amp; Data'!I$8,3)))</f>
        <v>3</v>
      </c>
      <c r="M185" s="31">
        <v>2</v>
      </c>
      <c r="N185" s="31">
        <f t="shared" si="2"/>
        <v>180</v>
      </c>
      <c r="O185" s="27">
        <f>O184+(1/Simulation!Q185)</f>
        <v>34.79451457718956</v>
      </c>
      <c r="P185" s="38">
        <f>Simulation!Q185*3.6</f>
        <v>46.838121122402534</v>
      </c>
      <c r="Q185" s="38">
        <f>MIN('Specification &amp; Data'!I$9,SQRT(2*Simulation!R184+Simulation!Q184^2))</f>
        <v>13.01058920066737</v>
      </c>
      <c r="R185" s="38">
        <f>-1.2*Table37[[#This Row],[Column15]]/Table37[[#This Row],[Column20]]</f>
        <v>-1.0858813396583882</v>
      </c>
      <c r="S185" s="27">
        <f>'Specification &amp; Data'!B$11*'Specification &amp; Data'!B$21*'Specification &amp; Data'!B$23*Simulation!Q185^2/2</f>
        <v>79.580772974383876</v>
      </c>
      <c r="T185" s="27">
        <f>IF(AND(M185=1,L185=1),'Specification &amp; Data'!E$14,IF(AND(M185=1,L185=2),'Specification &amp; Data'!E$15,IF(AND(M185=1,L185=3),'Specification &amp; Data'!E$16,IF(AND(M185=2,L185=1),'Specification &amp; Data'!F$14,IF(AND(M185=2,L185=2),'Specification &amp; Data'!F$15,IF(AND(M185=2,L185=3),'Specification &amp; Data'!F$16,IF(AND(M185=3,L185=1),'Specification &amp; Data'!I$14,IF(AND(M185=3,L185=2),'Specification &amp; Data'!I$15,IF(AND(M185=3,L185=3),'Specification &amp; Data'!I$16)))))))))</f>
        <v>102.35950200000001</v>
      </c>
      <c r="U185" s="27">
        <f>IF(AND(M185=1,L185=1),'Specification &amp; Data'!E$24,IF(AND(M185=1,L185=2),'Specification &amp; Data'!E$25,IF(AND(M185=1,L185=3),'Specification &amp; Data'!E$26,IF(M185=2,0,IF(AND(M185=3,L185=1),'Specification &amp; Data'!I$24,IF(AND(M185=3,L185=2),'Specification &amp; Data'!I$25,IF(AND(M185=3,L185=3),'Specification &amp; Data'!I$26)))))))</f>
        <v>0</v>
      </c>
      <c r="V185" s="27">
        <f>'Specification &amp; Data'!B$46-Simulation!S185-Simulation!T185-Simulation!U185</f>
        <v>525.96114234845061</v>
      </c>
      <c r="W185" s="27">
        <f>Simulation!V185/Simulation!Y185</f>
        <v>0.90490111638199022</v>
      </c>
      <c r="X185" s="27">
        <f>60*Simulation!Q185/(2*'Specification &amp; Data'!B$15*PI())</f>
        <v>489.14163397423073</v>
      </c>
      <c r="Y185" s="27">
        <f>IF(L185=1,'Specification &amp; Data'!B$56,IF(L185=2,'Specification &amp; Data'!B$57,IF(L185=3,'Specification &amp; Data'!B$58)))</f>
        <v>581.23604096253996</v>
      </c>
      <c r="Z185" s="38">
        <f>Simulation!Y185*Simulation!Q185^2/(2*1000)</f>
        <v>49.194490774620697</v>
      </c>
    </row>
    <row r="186" spans="7:26">
      <c r="G186" s="44">
        <v>5600</v>
      </c>
      <c r="H186" s="44">
        <v>17.05</v>
      </c>
      <c r="I186" s="38">
        <f>Simulation!H186*746/1000</f>
        <v>12.7193</v>
      </c>
      <c r="J186" s="38">
        <f>60*1000*Simulation!I186/(2*PI()*Simulation!G186)</f>
        <v>21.689351439307977</v>
      </c>
      <c r="K186" s="37">
        <v>494.4</v>
      </c>
      <c r="L186" s="27">
        <f>IF(Q186&lt;='Specification &amp; Data'!I$7,1,IF(AND(Q186&gt;'Specification &amp; Data'!I$7,Q186&lt;='Specification &amp; Data'!I$8),2,IF(Q186&gt;'Specification &amp; Data'!I$8,3)))</f>
        <v>3</v>
      </c>
      <c r="M186" s="31">
        <v>2</v>
      </c>
      <c r="N186" s="31">
        <f t="shared" si="2"/>
        <v>181</v>
      </c>
      <c r="O186" s="27">
        <f>O185+(1/Simulation!Q186)</f>
        <v>34.871872893288838</v>
      </c>
      <c r="P186" s="38">
        <f>Simulation!Q186*3.6</f>
        <v>46.536690320143151</v>
      </c>
      <c r="Q186" s="38">
        <f>MIN('Specification &amp; Data'!I$9,SQRT(2*Simulation!R185+Simulation!Q185^2))</f>
        <v>12.926858422261986</v>
      </c>
      <c r="R186" s="38">
        <f>-1.2*Table37[[#This Row],[Column15]]/Table37[[#This Row],[Column20]]</f>
        <v>-1.0879892653632655</v>
      </c>
      <c r="S186" s="27">
        <f>'Specification &amp; Data'!B$11*'Specification &amp; Data'!B$21*'Specification &amp; Data'!B$23*Simulation!Q186^2/2</f>
        <v>78.559770981595548</v>
      </c>
      <c r="T186" s="27">
        <f>IF(AND(M186=1,L186=1),'Specification &amp; Data'!E$14,IF(AND(M186=1,L186=2),'Specification &amp; Data'!E$15,IF(AND(M186=1,L186=3),'Specification &amp; Data'!E$16,IF(AND(M186=2,L186=1),'Specification &amp; Data'!F$14,IF(AND(M186=2,L186=2),'Specification &amp; Data'!F$15,IF(AND(M186=2,L186=3),'Specification &amp; Data'!F$16,IF(AND(M186=3,L186=1),'Specification &amp; Data'!I$14,IF(AND(M186=3,L186=2),'Specification &amp; Data'!I$15,IF(AND(M186=3,L186=3),'Specification &amp; Data'!I$16)))))))))</f>
        <v>102.35950200000001</v>
      </c>
      <c r="U186" s="27">
        <f>IF(AND(M186=1,L186=1),'Specification &amp; Data'!E$24,IF(AND(M186=1,L186=2),'Specification &amp; Data'!E$25,IF(AND(M186=1,L186=3),'Specification &amp; Data'!E$26,IF(M186=2,0,IF(AND(M186=3,L186=1),'Specification &amp; Data'!I$24,IF(AND(M186=3,L186=2),'Specification &amp; Data'!I$25,IF(AND(M186=3,L186=3),'Specification &amp; Data'!I$26)))))))</f>
        <v>0</v>
      </c>
      <c r="V186" s="27">
        <f>'Specification &amp; Data'!B$46-Simulation!S186-Simulation!T186-Simulation!U186</f>
        <v>526.98214434123895</v>
      </c>
      <c r="W186" s="27">
        <f>Simulation!V186/Simulation!Y186</f>
        <v>0.90665772113605458</v>
      </c>
      <c r="X186" s="27">
        <f>60*Simulation!Q186/(2*'Specification &amp; Data'!B$15*PI())</f>
        <v>485.9937204453766</v>
      </c>
      <c r="Y186" s="27">
        <f>IF(L186=1,'Specification &amp; Data'!B$56,IF(L186=2,'Specification &amp; Data'!B$57,IF(L186=3,'Specification &amp; Data'!B$58)))</f>
        <v>581.23604096253996</v>
      </c>
      <c r="Z186" s="38">
        <f>Simulation!Y186*Simulation!Q186^2/(2*1000)</f>
        <v>48.563337403802564</v>
      </c>
    </row>
    <row r="187" spans="7:26">
      <c r="G187" s="44">
        <v>5600</v>
      </c>
      <c r="H187" s="44">
        <v>17.05</v>
      </c>
      <c r="I187" s="38">
        <f>Simulation!H187*746/1000</f>
        <v>12.7193</v>
      </c>
      <c r="J187" s="38">
        <f>60*1000*Simulation!I187/(2*PI()*Simulation!G187)</f>
        <v>21.689351439307977</v>
      </c>
      <c r="K187" s="37">
        <v>494.4</v>
      </c>
      <c r="L187" s="27">
        <f>IF(Q187&lt;='Specification &amp; Data'!I$7,1,IF(AND(Q187&gt;'Specification &amp; Data'!I$7,Q187&lt;='Specification &amp; Data'!I$8),2,IF(Q187&gt;'Specification &amp; Data'!I$8,3)))</f>
        <v>3</v>
      </c>
      <c r="M187" s="31">
        <v>2</v>
      </c>
      <c r="N187" s="31">
        <f t="shared" si="2"/>
        <v>182</v>
      </c>
      <c r="O187" s="27">
        <f>O186+(1/Simulation!Q187)</f>
        <v>34.94973985184442</v>
      </c>
      <c r="P187" s="38">
        <f>Simulation!Q187*3.6</f>
        <v>46.232703405648792</v>
      </c>
      <c r="Q187" s="38">
        <f>MIN('Specification &amp; Data'!I$9,SQRT(2*Simulation!R186+Simulation!Q186^2))</f>
        <v>12.842417612680221</v>
      </c>
      <c r="R187" s="38">
        <f>-1.2*Table37[[#This Row],[Column15]]/Table37[[#This Row],[Column20]]</f>
        <v>-1.0901012829984622</v>
      </c>
      <c r="S187" s="27">
        <f>'Specification &amp; Data'!B$11*'Specification &amp; Data'!B$21*'Specification &amp; Data'!B$23*Simulation!Q187^2/2</f>
        <v>77.536787007658134</v>
      </c>
      <c r="T187" s="27">
        <f>IF(AND(M187=1,L187=1),'Specification &amp; Data'!E$14,IF(AND(M187=1,L187=2),'Specification &amp; Data'!E$15,IF(AND(M187=1,L187=3),'Specification &amp; Data'!E$16,IF(AND(M187=2,L187=1),'Specification &amp; Data'!F$14,IF(AND(M187=2,L187=2),'Specification &amp; Data'!F$15,IF(AND(M187=2,L187=3),'Specification &amp; Data'!F$16,IF(AND(M187=3,L187=1),'Specification &amp; Data'!I$14,IF(AND(M187=3,L187=2),'Specification &amp; Data'!I$15,IF(AND(M187=3,L187=3),'Specification &amp; Data'!I$16)))))))))</f>
        <v>102.35950200000001</v>
      </c>
      <c r="U187" s="27">
        <f>IF(AND(M187=1,L187=1),'Specification &amp; Data'!E$24,IF(AND(M187=1,L187=2),'Specification &amp; Data'!E$25,IF(AND(M187=1,L187=3),'Specification &amp; Data'!E$26,IF(M187=2,0,IF(AND(M187=3,L187=1),'Specification &amp; Data'!I$24,IF(AND(M187=3,L187=2),'Specification &amp; Data'!I$25,IF(AND(M187=3,L187=3),'Specification &amp; Data'!I$26)))))))</f>
        <v>0</v>
      </c>
      <c r="V187" s="27">
        <f>'Specification &amp; Data'!B$46-Simulation!S187-Simulation!T187-Simulation!U187</f>
        <v>528.00512831517631</v>
      </c>
      <c r="W187" s="27">
        <f>Simulation!V187/Simulation!Y187</f>
        <v>0.90841773583205188</v>
      </c>
      <c r="X187" s="27">
        <f>60*Simulation!Q187/(2*'Specification &amp; Data'!B$15*PI())</f>
        <v>482.81911282877365</v>
      </c>
      <c r="Y187" s="27">
        <f>IF(L187=1,'Specification &amp; Data'!B$56,IF(L187=2,'Specification &amp; Data'!B$57,IF(L187=3,'Specification &amp; Data'!B$58)))</f>
        <v>581.23604096253996</v>
      </c>
      <c r="Z187" s="38">
        <f>Simulation!Y187*Simulation!Q187^2/(2*1000)</f>
        <v>47.930958830593084</v>
      </c>
    </row>
    <row r="188" spans="7:26">
      <c r="G188" s="44">
        <v>5600</v>
      </c>
      <c r="H188" s="44">
        <v>17.05</v>
      </c>
      <c r="I188" s="38">
        <f>Simulation!H188*746/1000</f>
        <v>12.7193</v>
      </c>
      <c r="J188" s="38">
        <f>60*1000*Simulation!I188/(2*PI()*Simulation!G188)</f>
        <v>21.689351439307977</v>
      </c>
      <c r="K188" s="37">
        <v>494.4</v>
      </c>
      <c r="L188" s="27">
        <f>IF(Q188&lt;='Specification &amp; Data'!I$7,1,IF(AND(Q188&gt;'Specification &amp; Data'!I$7,Q188&lt;='Specification &amp; Data'!I$8),2,IF(Q188&gt;'Specification &amp; Data'!I$8,3)))</f>
        <v>3</v>
      </c>
      <c r="M188" s="31">
        <v>2</v>
      </c>
      <c r="N188" s="31">
        <f t="shared" si="2"/>
        <v>183</v>
      </c>
      <c r="O188" s="27">
        <f>O187+(1/Simulation!Q188)</f>
        <v>35.02812663705555</v>
      </c>
      <c r="P188" s="38">
        <f>Simulation!Q188*3.6</f>
        <v>45.92610846718204</v>
      </c>
      <c r="Q188" s="38">
        <f>MIN('Specification &amp; Data'!I$9,SQRT(2*Simulation!R187+Simulation!Q187^2))</f>
        <v>12.75725235199501</v>
      </c>
      <c r="R188" s="38">
        <f>-1.2*Table37[[#This Row],[Column15]]/Table37[[#This Row],[Column20]]</f>
        <v>-1.0922174005072824</v>
      </c>
      <c r="S188" s="27">
        <f>'Specification &amp; Data'!B$11*'Specification &amp; Data'!B$21*'Specification &amp; Data'!B$23*Simulation!Q188^2/2</f>
        <v>76.511817205126391</v>
      </c>
      <c r="T188" s="27">
        <f>IF(AND(M188=1,L188=1),'Specification &amp; Data'!E$14,IF(AND(M188=1,L188=2),'Specification &amp; Data'!E$15,IF(AND(M188=1,L188=3),'Specification &amp; Data'!E$16,IF(AND(M188=2,L188=1),'Specification &amp; Data'!F$14,IF(AND(M188=2,L188=2),'Specification &amp; Data'!F$15,IF(AND(M188=2,L188=3),'Specification &amp; Data'!F$16,IF(AND(M188=3,L188=1),'Specification &amp; Data'!I$14,IF(AND(M188=3,L188=2),'Specification &amp; Data'!I$15,IF(AND(M188=3,L188=3),'Specification &amp; Data'!I$16)))))))))</f>
        <v>102.35950200000001</v>
      </c>
      <c r="U188" s="27">
        <f>IF(AND(M188=1,L188=1),'Specification &amp; Data'!E$24,IF(AND(M188=1,L188=2),'Specification &amp; Data'!E$25,IF(AND(M188=1,L188=3),'Specification &amp; Data'!E$26,IF(M188=2,0,IF(AND(M188=3,L188=1),'Specification &amp; Data'!I$24,IF(AND(M188=3,L188=2),'Specification &amp; Data'!I$25,IF(AND(M188=3,L188=3),'Specification &amp; Data'!I$26)))))))</f>
        <v>0</v>
      </c>
      <c r="V188" s="27">
        <f>'Specification &amp; Data'!B$46-Simulation!S188-Simulation!T188-Simulation!U188</f>
        <v>529.03009811770812</v>
      </c>
      <c r="W188" s="27">
        <f>Simulation!V188/Simulation!Y188</f>
        <v>0.91018116708940211</v>
      </c>
      <c r="X188" s="27">
        <f>60*Simulation!Q188/(2*'Specification &amp; Data'!B$15*PI())</f>
        <v>479.61726899780638</v>
      </c>
      <c r="Y188" s="27">
        <f>IF(L188=1,'Specification &amp; Data'!B$56,IF(L188=2,'Specification &amp; Data'!B$57,IF(L188=3,'Specification &amp; Data'!B$58)))</f>
        <v>581.23604096253996</v>
      </c>
      <c r="Z188" s="38">
        <f>Simulation!Y188*Simulation!Q188^2/(2*1000)</f>
        <v>47.297352676614864</v>
      </c>
    </row>
    <row r="189" spans="7:26">
      <c r="G189" s="44">
        <v>5600</v>
      </c>
      <c r="H189" s="44">
        <v>17.05</v>
      </c>
      <c r="I189" s="38">
        <f>Simulation!H189*746/1000</f>
        <v>12.7193</v>
      </c>
      <c r="J189" s="38">
        <f>60*1000*Simulation!I189/(2*PI()*Simulation!G189)</f>
        <v>21.689351439307977</v>
      </c>
      <c r="K189" s="37">
        <v>494.4</v>
      </c>
      <c r="L189" s="27">
        <f>IF(Q189&lt;='Specification &amp; Data'!I$7,1,IF(AND(Q189&gt;'Specification &amp; Data'!I$7,Q189&lt;='Specification &amp; Data'!I$8),2,IF(Q189&gt;'Specification &amp; Data'!I$8,3)))</f>
        <v>3</v>
      </c>
      <c r="M189" s="31">
        <v>2</v>
      </c>
      <c r="N189" s="31">
        <f t="shared" si="2"/>
        <v>184</v>
      </c>
      <c r="O189" s="27">
        <f>O188+(1/Simulation!Q189)</f>
        <v>35.107044840780752</v>
      </c>
      <c r="P189" s="38">
        <f>Simulation!Q189*3.6</f>
        <v>45.616851753690987</v>
      </c>
      <c r="Q189" s="38">
        <f>MIN('Specification &amp; Data'!I$9,SQRT(2*Simulation!R188+Simulation!Q188^2))</f>
        <v>12.671347709358608</v>
      </c>
      <c r="R189" s="38">
        <f>-1.2*Table37[[#This Row],[Column15]]/Table37[[#This Row],[Column20]]</f>
        <v>-1.0943376258484487</v>
      </c>
      <c r="S189" s="27">
        <f>'Specification &amp; Data'!B$11*'Specification &amp; Data'!B$21*'Specification &amp; Data'!B$23*Simulation!Q189^2/2</f>
        <v>75.484857719086364</v>
      </c>
      <c r="T189" s="27">
        <f>IF(AND(M189=1,L189=1),'Specification &amp; Data'!E$14,IF(AND(M189=1,L189=2),'Specification &amp; Data'!E$15,IF(AND(M189=1,L189=3),'Specification &amp; Data'!E$16,IF(AND(M189=2,L189=1),'Specification &amp; Data'!F$14,IF(AND(M189=2,L189=2),'Specification &amp; Data'!F$15,IF(AND(M189=2,L189=3),'Specification &amp; Data'!F$16,IF(AND(M189=3,L189=1),'Specification &amp; Data'!I$14,IF(AND(M189=3,L189=2),'Specification &amp; Data'!I$15,IF(AND(M189=3,L189=3),'Specification &amp; Data'!I$16)))))))))</f>
        <v>102.35950200000001</v>
      </c>
      <c r="U189" s="27">
        <f>IF(AND(M189=1,L189=1),'Specification &amp; Data'!E$24,IF(AND(M189=1,L189=2),'Specification &amp; Data'!E$25,IF(AND(M189=1,L189=3),'Specification &amp; Data'!E$26,IF(M189=2,0,IF(AND(M189=3,L189=1),'Specification &amp; Data'!I$24,IF(AND(M189=3,L189=2),'Specification &amp; Data'!I$25,IF(AND(M189=3,L189=3),'Specification &amp; Data'!I$26)))))))</f>
        <v>0</v>
      </c>
      <c r="V189" s="27">
        <f>'Specification &amp; Data'!B$46-Simulation!S189-Simulation!T189-Simulation!U189</f>
        <v>530.05705760374815</v>
      </c>
      <c r="W189" s="27">
        <f>Simulation!V189/Simulation!Y189</f>
        <v>0.91194802154037413</v>
      </c>
      <c r="X189" s="27">
        <f>60*Simulation!Q189/(2*'Specification &amp; Data'!B$15*PI())</f>
        <v>476.3876276174617</v>
      </c>
      <c r="Y189" s="27">
        <f>IF(L189=1,'Specification &amp; Data'!B$56,IF(L189=2,'Specification &amp; Data'!B$57,IF(L189=3,'Specification &amp; Data'!B$58)))</f>
        <v>581.23604096253996</v>
      </c>
      <c r="Z189" s="38">
        <f>Simulation!Y189*Simulation!Q189^2/(2*1000)</f>
        <v>46.662516558873619</v>
      </c>
    </row>
    <row r="190" spans="7:26">
      <c r="G190" s="44">
        <v>5700</v>
      </c>
      <c r="H190" s="44">
        <v>17.11</v>
      </c>
      <c r="I190" s="38">
        <f>Simulation!H190*746/1000</f>
        <v>12.764059999999999</v>
      </c>
      <c r="J190" s="38">
        <f>60*1000*Simulation!I190/(2*PI()*Simulation!G190)</f>
        <v>21.383823609700396</v>
      </c>
      <c r="K190" s="37">
        <v>494.4</v>
      </c>
      <c r="L190" s="27">
        <f>IF(Q190&lt;='Specification &amp; Data'!I$7,1,IF(AND(Q190&gt;'Specification &amp; Data'!I$7,Q190&lt;='Specification &amp; Data'!I$8),2,IF(Q190&gt;'Specification &amp; Data'!I$8,3)))</f>
        <v>3</v>
      </c>
      <c r="M190" s="31">
        <v>2</v>
      </c>
      <c r="N190" s="31">
        <f t="shared" si="2"/>
        <v>185</v>
      </c>
      <c r="O190" s="27">
        <f>O189+(1/Simulation!Q190)</f>
        <v>35.186506483592609</v>
      </c>
      <c r="P190" s="38">
        <f>Simulation!Q190*3.6</f>
        <v>45.304877581296132</v>
      </c>
      <c r="Q190" s="38">
        <f>MIN('Specification &amp; Data'!I$9,SQRT(2*Simulation!R189+Simulation!Q189^2))</f>
        <v>12.584688217026704</v>
      </c>
      <c r="R190" s="38">
        <f>-1.2*Table37[[#This Row],[Column15]]/Table37[[#This Row],[Column20]]</f>
        <v>-1.0964619669961342</v>
      </c>
      <c r="S190" s="27">
        <f>'Specification &amp; Data'!B$11*'Specification &amp; Data'!B$21*'Specification &amp; Data'!B$23*Simulation!Q190^2/2</f>
        <v>74.455904687140887</v>
      </c>
      <c r="T190" s="27">
        <f>IF(AND(M190=1,L190=1),'Specification &amp; Data'!E$14,IF(AND(M190=1,L190=2),'Specification &amp; Data'!E$15,IF(AND(M190=1,L190=3),'Specification &amp; Data'!E$16,IF(AND(M190=2,L190=1),'Specification &amp; Data'!F$14,IF(AND(M190=2,L190=2),'Specification &amp; Data'!F$15,IF(AND(M190=2,L190=3),'Specification &amp; Data'!F$16,IF(AND(M190=3,L190=1),'Specification &amp; Data'!I$14,IF(AND(M190=3,L190=2),'Specification &amp; Data'!I$15,IF(AND(M190=3,L190=3),'Specification &amp; Data'!I$16)))))))))</f>
        <v>102.35950200000001</v>
      </c>
      <c r="U190" s="27">
        <f>IF(AND(M190=1,L190=1),'Specification &amp; Data'!E$24,IF(AND(M190=1,L190=2),'Specification &amp; Data'!E$25,IF(AND(M190=1,L190=3),'Specification &amp; Data'!E$26,IF(M190=2,0,IF(AND(M190=3,L190=1),'Specification &amp; Data'!I$24,IF(AND(M190=3,L190=2),'Specification &amp; Data'!I$25,IF(AND(M190=3,L190=3),'Specification &amp; Data'!I$26)))))))</f>
        <v>0</v>
      </c>
      <c r="V190" s="27">
        <f>'Specification &amp; Data'!B$46-Simulation!S190-Simulation!T190-Simulation!U190</f>
        <v>531.08601063569358</v>
      </c>
      <c r="W190" s="27">
        <f>Simulation!V190/Simulation!Y190</f>
        <v>0.91371830583011193</v>
      </c>
      <c r="X190" s="27">
        <f>60*Simulation!Q190/(2*'Specification &amp; Data'!B$15*PI())</f>
        <v>473.12960716774751</v>
      </c>
      <c r="Y190" s="27">
        <f>IF(L190=1,'Specification &amp; Data'!B$56,IF(L190=2,'Specification &amp; Data'!B$57,IF(L190=3,'Specification &amp; Data'!B$58)))</f>
        <v>581.23604096253996</v>
      </c>
      <c r="Z190" s="38">
        <f>Simulation!Y190*Simulation!Q190^2/(2*1000)</f>
        <v>46.026448089749131</v>
      </c>
    </row>
    <row r="191" spans="7:26">
      <c r="G191" s="44">
        <v>5700</v>
      </c>
      <c r="H191" s="44">
        <v>17.11</v>
      </c>
      <c r="I191" s="38">
        <f>Simulation!H191*746/1000</f>
        <v>12.764059999999999</v>
      </c>
      <c r="J191" s="38">
        <f>60*1000*Simulation!I191/(2*PI()*Simulation!G191)</f>
        <v>21.383823609700396</v>
      </c>
      <c r="K191" s="37">
        <v>494.4</v>
      </c>
      <c r="L191" s="27">
        <f>IF(Q191&lt;='Specification &amp; Data'!I$7,1,IF(AND(Q191&gt;'Specification &amp; Data'!I$7,Q191&lt;='Specification &amp; Data'!I$8),2,IF(Q191&gt;'Specification &amp; Data'!I$8,3)))</f>
        <v>3</v>
      </c>
      <c r="M191" s="31">
        <v>2</v>
      </c>
      <c r="N191" s="31">
        <f t="shared" si="2"/>
        <v>186</v>
      </c>
      <c r="O191" s="27">
        <f>O190+(1/Simulation!Q191)</f>
        <v>35.266524037250413</v>
      </c>
      <c r="P191" s="38">
        <f>Simulation!Q191*3.6</f>
        <v>44.990128233554628</v>
      </c>
      <c r="Q191" s="38">
        <f>MIN('Specification &amp; Data'!I$9,SQRT(2*Simulation!R190+Simulation!Q190^2))</f>
        <v>12.497257842654063</v>
      </c>
      <c r="R191" s="38">
        <f>-1.2*Table37[[#This Row],[Column15]]/Table37[[#This Row],[Column20]]</f>
        <v>-1.0985904319399915</v>
      </c>
      <c r="S191" s="27">
        <f>'Specification &amp; Data'!B$11*'Specification &amp; Data'!B$21*'Specification &amp; Data'!B$23*Simulation!Q191^2/2</f>
        <v>73.424954239395021</v>
      </c>
      <c r="T191" s="27">
        <f>IF(AND(M191=1,L191=1),'Specification &amp; Data'!E$14,IF(AND(M191=1,L191=2),'Specification &amp; Data'!E$15,IF(AND(M191=1,L191=3),'Specification &amp; Data'!E$16,IF(AND(M191=2,L191=1),'Specification &amp; Data'!F$14,IF(AND(M191=2,L191=2),'Specification &amp; Data'!F$15,IF(AND(M191=2,L191=3),'Specification &amp; Data'!F$16,IF(AND(M191=3,L191=1),'Specification &amp; Data'!I$14,IF(AND(M191=3,L191=2),'Specification &amp; Data'!I$15,IF(AND(M191=3,L191=3),'Specification &amp; Data'!I$16)))))))))</f>
        <v>102.35950200000001</v>
      </c>
      <c r="U191" s="27">
        <f>IF(AND(M191=1,L191=1),'Specification &amp; Data'!E$24,IF(AND(M191=1,L191=2),'Specification &amp; Data'!E$25,IF(AND(M191=1,L191=3),'Specification &amp; Data'!E$26,IF(M191=2,0,IF(AND(M191=3,L191=1),'Specification &amp; Data'!I$24,IF(AND(M191=3,L191=2),'Specification &amp; Data'!I$25,IF(AND(M191=3,L191=3),'Specification &amp; Data'!I$26)))))))</f>
        <v>0</v>
      </c>
      <c r="V191" s="27">
        <f>'Specification &amp; Data'!B$46-Simulation!S191-Simulation!T191-Simulation!U191</f>
        <v>532.11696108343949</v>
      </c>
      <c r="W191" s="27">
        <f>Simulation!V191/Simulation!Y191</f>
        <v>0.91549202661665963</v>
      </c>
      <c r="X191" s="27">
        <f>60*Simulation!Q191/(2*'Specification &amp; Data'!B$15*PI())</f>
        <v>469.84260490213001</v>
      </c>
      <c r="Y191" s="27">
        <f>IF(L191=1,'Specification &amp; Data'!B$56,IF(L191=2,'Specification &amp; Data'!B$57,IF(L191=3,'Specification &amp; Data'!B$58)))</f>
        <v>581.23604096253996</v>
      </c>
      <c r="Z191" s="38">
        <f>Simulation!Y191*Simulation!Q191^2/(2*1000)</f>
        <v>45.389144876986293</v>
      </c>
    </row>
    <row r="192" spans="7:26">
      <c r="G192" s="44">
        <v>5700</v>
      </c>
      <c r="H192" s="44">
        <v>17.11</v>
      </c>
      <c r="I192" s="38">
        <f>Simulation!H192*746/1000</f>
        <v>12.764059999999999</v>
      </c>
      <c r="J192" s="38">
        <f>60*1000*Simulation!I192/(2*PI()*Simulation!G192)</f>
        <v>21.383823609700396</v>
      </c>
      <c r="K192" s="37">
        <v>494.4</v>
      </c>
      <c r="L192" s="27">
        <f>IF(Q192&lt;='Specification &amp; Data'!I$7,1,IF(AND(Q192&gt;'Specification &amp; Data'!I$7,Q192&lt;='Specification &amp; Data'!I$8),2,IF(Q192&gt;'Specification &amp; Data'!I$8,3)))</f>
        <v>3</v>
      </c>
      <c r="M192" s="31">
        <v>2</v>
      </c>
      <c r="N192" s="31">
        <f t="shared" si="2"/>
        <v>187</v>
      </c>
      <c r="O192" s="27">
        <f>O191+(1/Simulation!Q192)</f>
        <v>35.347110448709003</v>
      </c>
      <c r="P192" s="38">
        <f>Simulation!Q192*3.6</f>
        <v>44.672543854987758</v>
      </c>
      <c r="Q192" s="38">
        <f>MIN('Specification &amp; Data'!I$9,SQRT(2*Simulation!R191+Simulation!Q191^2))</f>
        <v>12.409039959718822</v>
      </c>
      <c r="R192" s="38">
        <f>-1.2*Table37[[#This Row],[Column15]]/Table37[[#This Row],[Column20]]</f>
        <v>-1.1007230286851819</v>
      </c>
      <c r="S192" s="27">
        <f>'Specification &amp; Data'!B$11*'Specification &amp; Data'!B$21*'Specification &amp; Data'!B$23*Simulation!Q192^2/2</f>
        <v>72.392002498441613</v>
      </c>
      <c r="T192" s="27">
        <f>IF(AND(M192=1,L192=1),'Specification &amp; Data'!E$14,IF(AND(M192=1,L192=2),'Specification &amp; Data'!E$15,IF(AND(M192=1,L192=3),'Specification &amp; Data'!E$16,IF(AND(M192=2,L192=1),'Specification &amp; Data'!F$14,IF(AND(M192=2,L192=2),'Specification &amp; Data'!F$15,IF(AND(M192=2,L192=3),'Specification &amp; Data'!F$16,IF(AND(M192=3,L192=1),'Specification &amp; Data'!I$14,IF(AND(M192=3,L192=2),'Specification &amp; Data'!I$15,IF(AND(M192=3,L192=3),'Specification &amp; Data'!I$16)))))))))</f>
        <v>102.35950200000001</v>
      </c>
      <c r="U192" s="27">
        <f>IF(AND(M192=1,L192=1),'Specification &amp; Data'!E$24,IF(AND(M192=1,L192=2),'Specification &amp; Data'!E$25,IF(AND(M192=1,L192=3),'Specification &amp; Data'!E$26,IF(M192=2,0,IF(AND(M192=3,L192=1),'Specification &amp; Data'!I$24,IF(AND(M192=3,L192=2),'Specification &amp; Data'!I$25,IF(AND(M192=3,L192=3),'Specification &amp; Data'!I$26)))))))</f>
        <v>0</v>
      </c>
      <c r="V192" s="27">
        <f>'Specification &amp; Data'!B$46-Simulation!S192-Simulation!T192-Simulation!U192</f>
        <v>533.14991282439291</v>
      </c>
      <c r="W192" s="27">
        <f>Simulation!V192/Simulation!Y192</f>
        <v>0.91726919057098499</v>
      </c>
      <c r="X192" s="27">
        <f>60*Simulation!Q192/(2*'Specification &amp; Data'!B$15*PI())</f>
        <v>466.5259957356152</v>
      </c>
      <c r="Y192" s="27">
        <f>IF(L192=1,'Specification &amp; Data'!B$56,IF(L192=2,'Specification &amp; Data'!B$57,IF(L192=3,'Specification &amp; Data'!B$58)))</f>
        <v>581.23604096253996</v>
      </c>
      <c r="Z192" s="38">
        <f>Simulation!Y192*Simulation!Q192^2/(2*1000)</f>
        <v>44.750604523686164</v>
      </c>
    </row>
    <row r="193" spans="7:26">
      <c r="G193" s="44">
        <v>5700</v>
      </c>
      <c r="H193" s="44">
        <v>17.11</v>
      </c>
      <c r="I193" s="38">
        <f>Simulation!H193*746/1000</f>
        <v>12.764059999999999</v>
      </c>
      <c r="J193" s="38">
        <f>60*1000*Simulation!I193/(2*PI()*Simulation!G193)</f>
        <v>21.383823609700396</v>
      </c>
      <c r="K193" s="37">
        <v>494.4</v>
      </c>
      <c r="L193" s="27">
        <f>IF(Q193&lt;='Specification &amp; Data'!I$7,1,IF(AND(Q193&gt;'Specification &amp; Data'!I$7,Q193&lt;='Specification &amp; Data'!I$8),2,IF(Q193&gt;'Specification &amp; Data'!I$8,3)))</f>
        <v>3</v>
      </c>
      <c r="M193" s="31">
        <v>2</v>
      </c>
      <c r="N193" s="31">
        <f t="shared" si="2"/>
        <v>188</v>
      </c>
      <c r="O193" s="27">
        <f>O192+(1/Simulation!Q193)</f>
        <v>35.428279165794159</v>
      </c>
      <c r="P193" s="38">
        <f>Simulation!Q193*3.6</f>
        <v>44.352062337306087</v>
      </c>
      <c r="Q193" s="38">
        <f>MIN('Specification &amp; Data'!I$9,SQRT(2*Simulation!R192+Simulation!Q192^2))</f>
        <v>12.320017315918356</v>
      </c>
      <c r="R193" s="38">
        <f>-1.2*Table37[[#This Row],[Column15]]/Table37[[#This Row],[Column20]]</f>
        <v>-1.1028597652524073</v>
      </c>
      <c r="S193" s="27">
        <f>'Specification &amp; Data'!B$11*'Specification &amp; Data'!B$21*'Specification &amp; Data'!B$23*Simulation!Q193^2/2</f>
        <v>71.357045579346618</v>
      </c>
      <c r="T193" s="27">
        <f>IF(AND(M193=1,L193=1),'Specification &amp; Data'!E$14,IF(AND(M193=1,L193=2),'Specification &amp; Data'!E$15,IF(AND(M193=1,L193=3),'Specification &amp; Data'!E$16,IF(AND(M193=2,L193=1),'Specification &amp; Data'!F$14,IF(AND(M193=2,L193=2),'Specification &amp; Data'!F$15,IF(AND(M193=2,L193=3),'Specification &amp; Data'!F$16,IF(AND(M193=3,L193=1),'Specification &amp; Data'!I$14,IF(AND(M193=3,L193=2),'Specification &amp; Data'!I$15,IF(AND(M193=3,L193=3),'Specification &amp; Data'!I$16)))))))))</f>
        <v>102.35950200000001</v>
      </c>
      <c r="U193" s="27">
        <f>IF(AND(M193=1,L193=1),'Specification &amp; Data'!E$24,IF(AND(M193=1,L193=2),'Specification &amp; Data'!E$25,IF(AND(M193=1,L193=3),'Specification &amp; Data'!E$26,IF(M193=2,0,IF(AND(M193=3,L193=1),'Specification &amp; Data'!I$24,IF(AND(M193=3,L193=2),'Specification &amp; Data'!I$25,IF(AND(M193=3,L193=3),'Specification &amp; Data'!I$26)))))))</f>
        <v>0</v>
      </c>
      <c r="V193" s="27">
        <f>'Specification &amp; Data'!B$46-Simulation!S193-Simulation!T193-Simulation!U193</f>
        <v>534.18486974348787</v>
      </c>
      <c r="W193" s="27">
        <f>Simulation!V193/Simulation!Y193</f>
        <v>0.91904980437700612</v>
      </c>
      <c r="X193" s="27">
        <f>60*Simulation!Q193/(2*'Specification &amp; Data'!B$15*PI())</f>
        <v>463.17913105657112</v>
      </c>
      <c r="Y193" s="27">
        <f>IF(L193=1,'Specification &amp; Data'!B$56,IF(L193=2,'Specification &amp; Data'!B$57,IF(L193=3,'Specification &amp; Data'!B$58)))</f>
        <v>581.23604096253996</v>
      </c>
      <c r="Z193" s="38">
        <f>Simulation!Y193*Simulation!Q193^2/(2*1000)</f>
        <v>44.110824628296889</v>
      </c>
    </row>
    <row r="194" spans="7:26">
      <c r="G194" s="44">
        <v>5800</v>
      </c>
      <c r="H194" s="44">
        <v>17.18</v>
      </c>
      <c r="I194" s="38">
        <f>Simulation!H194*746/1000</f>
        <v>12.816280000000001</v>
      </c>
      <c r="J194" s="38">
        <f>60*1000*Simulation!I194/(2*PI()*Simulation!G194)</f>
        <v>21.101113593618585</v>
      </c>
      <c r="K194" s="37">
        <v>494.4</v>
      </c>
      <c r="L194" s="27">
        <f>IF(Q194&lt;='Specification &amp; Data'!I$7,1,IF(AND(Q194&gt;'Specification &amp; Data'!I$7,Q194&lt;='Specification &amp; Data'!I$8),2,IF(Q194&gt;'Specification &amp; Data'!I$8,3)))</f>
        <v>3</v>
      </c>
      <c r="M194" s="31">
        <v>2</v>
      </c>
      <c r="N194" s="31">
        <f t="shared" si="2"/>
        <v>189</v>
      </c>
      <c r="O194" s="27">
        <f>O193+(1/Simulation!Q194)</f>
        <v>35.51004416468804</v>
      </c>
      <c r="P194" s="38">
        <f>Simulation!Q194*3.6</f>
        <v>44.028619197709823</v>
      </c>
      <c r="Q194" s="38">
        <f>MIN('Specification &amp; Data'!I$9,SQRT(2*Simulation!R193+Simulation!Q193^2))</f>
        <v>12.23017199936384</v>
      </c>
      <c r="R194" s="38">
        <f>-1.2*Table37[[#This Row],[Column15]]/Table37[[#This Row],[Column20]]</f>
        <v>-1.1050006496779392</v>
      </c>
      <c r="S194" s="27">
        <f>'Specification &amp; Data'!B$11*'Specification &amp; Data'!B$21*'Specification &amp; Data'!B$23*Simulation!Q194^2/2</f>
        <v>70.320079589634489</v>
      </c>
      <c r="T194" s="27">
        <f>IF(AND(M194=1,L194=1),'Specification &amp; Data'!E$14,IF(AND(M194=1,L194=2),'Specification &amp; Data'!E$15,IF(AND(M194=1,L194=3),'Specification &amp; Data'!E$16,IF(AND(M194=2,L194=1),'Specification &amp; Data'!F$14,IF(AND(M194=2,L194=2),'Specification &amp; Data'!F$15,IF(AND(M194=2,L194=3),'Specification &amp; Data'!F$16,IF(AND(M194=3,L194=1),'Specification &amp; Data'!I$14,IF(AND(M194=3,L194=2),'Specification &amp; Data'!I$15,IF(AND(M194=3,L194=3),'Specification &amp; Data'!I$16)))))))))</f>
        <v>102.35950200000001</v>
      </c>
      <c r="U194" s="27">
        <f>IF(AND(M194=1,L194=1),'Specification &amp; Data'!E$24,IF(AND(M194=1,L194=2),'Specification &amp; Data'!E$25,IF(AND(M194=1,L194=3),'Specification &amp; Data'!E$26,IF(M194=2,0,IF(AND(M194=3,L194=1),'Specification &amp; Data'!I$24,IF(AND(M194=3,L194=2),'Specification &amp; Data'!I$25,IF(AND(M194=3,L194=3),'Specification &amp; Data'!I$26)))))))</f>
        <v>0</v>
      </c>
      <c r="V194" s="27">
        <f>'Specification &amp; Data'!B$46-Simulation!S194-Simulation!T194-Simulation!U194</f>
        <v>535.22183573320001</v>
      </c>
      <c r="W194" s="27">
        <f>Simulation!V194/Simulation!Y194</f>
        <v>0.92083387473161615</v>
      </c>
      <c r="X194" s="27">
        <f>60*Simulation!Q194/(2*'Specification &amp; Data'!B$15*PI())</f>
        <v>459.80133745578985</v>
      </c>
      <c r="Y194" s="27">
        <f>IF(L194=1,'Specification &amp; Data'!B$56,IF(L194=2,'Specification &amp; Data'!B$57,IF(L194=3,'Specification &amp; Data'!B$58)))</f>
        <v>581.23604096253996</v>
      </c>
      <c r="Z194" s="38">
        <f>Simulation!Y194*Simulation!Q194^2/(2*1000)</f>
        <v>43.469802784604703</v>
      </c>
    </row>
    <row r="195" spans="7:26">
      <c r="G195" s="44">
        <v>5800</v>
      </c>
      <c r="H195" s="44">
        <v>17.18</v>
      </c>
      <c r="I195" s="38">
        <f>Simulation!H195*746/1000</f>
        <v>12.816280000000001</v>
      </c>
      <c r="J195" s="38">
        <f>60*1000*Simulation!I195/(2*PI()*Simulation!G195)</f>
        <v>21.101113593618585</v>
      </c>
      <c r="K195" s="37">
        <v>494.4</v>
      </c>
      <c r="L195" s="27">
        <f>IF(Q195&lt;='Specification &amp; Data'!I$7,1,IF(AND(Q195&gt;'Specification &amp; Data'!I$7,Q195&lt;='Specification &amp; Data'!I$8),2,IF(Q195&gt;'Specification &amp; Data'!I$8,3)))</f>
        <v>3</v>
      </c>
      <c r="M195" s="31">
        <v>2</v>
      </c>
      <c r="N195" s="31">
        <f t="shared" si="2"/>
        <v>190</v>
      </c>
      <c r="O195" s="27">
        <f>O194+(1/Simulation!Q195)</f>
        <v>35.592419979383095</v>
      </c>
      <c r="P195" s="38">
        <f>Simulation!Q195*3.6</f>
        <v>43.70214744857843</v>
      </c>
      <c r="Q195" s="38">
        <f>MIN('Specification &amp; Data'!I$9,SQRT(2*Simulation!R194+Simulation!Q194^2))</f>
        <v>12.139485402382897</v>
      </c>
      <c r="R195" s="38">
        <f>-1.2*Table37[[#This Row],[Column15]]/Table37[[#This Row],[Column20]]</f>
        <v>-1.1071456900136492</v>
      </c>
      <c r="S195" s="27">
        <f>'Specification &amp; Data'!B$11*'Specification &amp; Data'!B$21*'Specification &amp; Data'!B$23*Simulation!Q195^2/2</f>
        <v>69.281100629273581</v>
      </c>
      <c r="T195" s="27">
        <f>IF(AND(M195=1,L195=1),'Specification &amp; Data'!E$14,IF(AND(M195=1,L195=2),'Specification &amp; Data'!E$15,IF(AND(M195=1,L195=3),'Specification &amp; Data'!E$16,IF(AND(M195=2,L195=1),'Specification &amp; Data'!F$14,IF(AND(M195=2,L195=2),'Specification &amp; Data'!F$15,IF(AND(M195=2,L195=3),'Specification &amp; Data'!F$16,IF(AND(M195=3,L195=1),'Specification &amp; Data'!I$14,IF(AND(M195=3,L195=2),'Specification &amp; Data'!I$15,IF(AND(M195=3,L195=3),'Specification &amp; Data'!I$16)))))))))</f>
        <v>102.35950200000001</v>
      </c>
      <c r="U195" s="27">
        <f>IF(AND(M195=1,L195=1),'Specification &amp; Data'!E$24,IF(AND(M195=1,L195=2),'Specification &amp; Data'!E$25,IF(AND(M195=1,L195=3),'Specification &amp; Data'!E$26,IF(M195=2,0,IF(AND(M195=3,L195=1),'Specification &amp; Data'!I$24,IF(AND(M195=3,L195=2),'Specification &amp; Data'!I$25,IF(AND(M195=3,L195=3),'Specification &amp; Data'!I$26)))))))</f>
        <v>0</v>
      </c>
      <c r="V195" s="27">
        <f>'Specification &amp; Data'!B$46-Simulation!S195-Simulation!T195-Simulation!U195</f>
        <v>536.26081469356086</v>
      </c>
      <c r="W195" s="27">
        <f>Simulation!V195/Simulation!Y195</f>
        <v>0.92262140834470774</v>
      </c>
      <c r="X195" s="27">
        <f>60*Simulation!Q195/(2*'Specification &amp; Data'!B$15*PI())</f>
        <v>456.39191536562464</v>
      </c>
      <c r="Y195" s="27">
        <f>IF(L195=1,'Specification &amp; Data'!B$56,IF(L195=2,'Specification &amp; Data'!B$57,IF(L195=3,'Specification &amp; Data'!B$58)))</f>
        <v>581.23604096253996</v>
      </c>
      <c r="Z195" s="38">
        <f>Simulation!Y195*Simulation!Q195^2/(2*1000)</f>
        <v>42.827536581724864</v>
      </c>
    </row>
    <row r="196" spans="7:26">
      <c r="G196" s="44">
        <v>5800</v>
      </c>
      <c r="H196" s="44">
        <v>17.18</v>
      </c>
      <c r="I196" s="38">
        <f>Simulation!H196*746/1000</f>
        <v>12.816280000000001</v>
      </c>
      <c r="J196" s="38">
        <f>60*1000*Simulation!I196/(2*PI()*Simulation!G196)</f>
        <v>21.101113593618585</v>
      </c>
      <c r="K196" s="37">
        <v>494.4</v>
      </c>
      <c r="L196" s="27">
        <f>IF(Q196&lt;='Specification &amp; Data'!I$7,1,IF(AND(Q196&gt;'Specification &amp; Data'!I$7,Q196&lt;='Specification &amp; Data'!I$8),2,IF(Q196&gt;'Specification &amp; Data'!I$8,3)))</f>
        <v>3</v>
      </c>
      <c r="M196" s="31">
        <v>2</v>
      </c>
      <c r="N196" s="31">
        <f t="shared" si="2"/>
        <v>191</v>
      </c>
      <c r="O196" s="27">
        <f>O195+(1/Simulation!Q196)</f>
        <v>35.6754217332794</v>
      </c>
      <c r="P196" s="38">
        <f>Simulation!Q196*3.6</f>
        <v>43.372577457791657</v>
      </c>
      <c r="Q196" s="38">
        <f>MIN('Specification &amp; Data'!I$9,SQRT(2*Simulation!R195+Simulation!Q195^2))</f>
        <v>12.047938182719903</v>
      </c>
      <c r="R196" s="38">
        <f>-1.2*Table37[[#This Row],[Column15]]/Table37[[#This Row],[Column20]]</f>
        <v>-1.1092948943270395</v>
      </c>
      <c r="S196" s="27">
        <f>'Specification &amp; Data'!B$11*'Specification &amp; Data'!B$21*'Specification &amp; Data'!B$23*Simulation!Q196^2/2</f>
        <v>68.240104790661448</v>
      </c>
      <c r="T196" s="27">
        <f>IF(AND(M196=1,L196=1),'Specification &amp; Data'!E$14,IF(AND(M196=1,L196=2),'Specification &amp; Data'!E$15,IF(AND(M196=1,L196=3),'Specification &amp; Data'!E$16,IF(AND(M196=2,L196=1),'Specification &amp; Data'!F$14,IF(AND(M196=2,L196=2),'Specification &amp; Data'!F$15,IF(AND(M196=2,L196=3),'Specification &amp; Data'!F$16,IF(AND(M196=3,L196=1),'Specification &amp; Data'!I$14,IF(AND(M196=3,L196=2),'Specification &amp; Data'!I$15,IF(AND(M196=3,L196=3),'Specification &amp; Data'!I$16)))))))))</f>
        <v>102.35950200000001</v>
      </c>
      <c r="U196" s="27">
        <f>IF(AND(M196=1,L196=1),'Specification &amp; Data'!E$24,IF(AND(M196=1,L196=2),'Specification &amp; Data'!E$25,IF(AND(M196=1,L196=3),'Specification &amp; Data'!E$26,IF(M196=2,0,IF(AND(M196=3,L196=1),'Specification &amp; Data'!I$24,IF(AND(M196=3,L196=2),'Specification &amp; Data'!I$25,IF(AND(M196=3,L196=3),'Specification &amp; Data'!I$26)))))))</f>
        <v>0</v>
      </c>
      <c r="V196" s="27">
        <f>'Specification &amp; Data'!B$46-Simulation!S196-Simulation!T196-Simulation!U196</f>
        <v>537.30181053217302</v>
      </c>
      <c r="W196" s="27">
        <f>Simulation!V196/Simulation!Y196</f>
        <v>0.92441241193919965</v>
      </c>
      <c r="X196" s="27">
        <f>60*Simulation!Q196/(2*'Specification &amp; Data'!B$15*PI())</f>
        <v>452.95013760128955</v>
      </c>
      <c r="Y196" s="27">
        <f>IF(L196=1,'Specification &amp; Data'!B$56,IF(L196=2,'Specification &amp; Data'!B$57,IF(L196=3,'Specification &amp; Data'!B$58)))</f>
        <v>581.23604096253996</v>
      </c>
      <c r="Z196" s="38">
        <f>Simulation!Y196*Simulation!Q196^2/(2*1000)</f>
        <v>42.184023604092602</v>
      </c>
    </row>
    <row r="197" spans="7:26">
      <c r="G197" s="44">
        <v>5900</v>
      </c>
      <c r="H197" s="44">
        <v>17.239999999999998</v>
      </c>
      <c r="I197" s="38">
        <f>Simulation!H197*746/1000</f>
        <v>12.861039999999999</v>
      </c>
      <c r="J197" s="38">
        <f>60*1000*Simulation!I197/(2*PI()*Simulation!G197)</f>
        <v>20.815912772568705</v>
      </c>
      <c r="K197" s="37">
        <v>494.4</v>
      </c>
      <c r="L197" s="27">
        <f>IF(Q197&lt;='Specification &amp; Data'!I$7,1,IF(AND(Q197&gt;'Specification &amp; Data'!I$7,Q197&lt;='Specification &amp; Data'!I$8),2,IF(Q197&gt;'Specification &amp; Data'!I$8,3)))</f>
        <v>3</v>
      </c>
      <c r="M197" s="31">
        <v>2</v>
      </c>
      <c r="N197" s="31">
        <f t="shared" si="2"/>
        <v>192</v>
      </c>
      <c r="O197" s="27">
        <f>O196+(1/Simulation!Q197)</f>
        <v>35.759065173119225</v>
      </c>
      <c r="P197" s="38">
        <f>Simulation!Q197*3.6</f>
        <v>43.039836798844625</v>
      </c>
      <c r="Q197" s="38">
        <f>MIN('Specification &amp; Data'!I$9,SQRT(2*Simulation!R196+Simulation!Q196^2))</f>
        <v>11.955510221901285</v>
      </c>
      <c r="R197" s="38">
        <f>-1.2*Table37[[#This Row],[Column15]]/Table37[[#This Row],[Column20]]</f>
        <v>-1.1114482707012727</v>
      </c>
      <c r="S197" s="27">
        <f>'Specification &amp; Data'!B$11*'Specification &amp; Data'!B$21*'Specification &amp; Data'!B$23*Simulation!Q197^2/2</f>
        <v>67.197088158610157</v>
      </c>
      <c r="T197" s="27">
        <f>IF(AND(M197=1,L197=1),'Specification &amp; Data'!E$14,IF(AND(M197=1,L197=2),'Specification &amp; Data'!E$15,IF(AND(M197=1,L197=3),'Specification &amp; Data'!E$16,IF(AND(M197=2,L197=1),'Specification &amp; Data'!F$14,IF(AND(M197=2,L197=2),'Specification &amp; Data'!F$15,IF(AND(M197=2,L197=3),'Specification &amp; Data'!F$16,IF(AND(M197=3,L197=1),'Specification &amp; Data'!I$14,IF(AND(M197=3,L197=2),'Specification &amp; Data'!I$15,IF(AND(M197=3,L197=3),'Specification &amp; Data'!I$16)))))))))</f>
        <v>102.35950200000001</v>
      </c>
      <c r="U197" s="27">
        <f>IF(AND(M197=1,L197=1),'Specification &amp; Data'!E$24,IF(AND(M197=1,L197=2),'Specification &amp; Data'!E$25,IF(AND(M197=1,L197=3),'Specification &amp; Data'!E$26,IF(M197=2,0,IF(AND(M197=3,L197=1),'Specification &amp; Data'!I$24,IF(AND(M197=3,L197=2),'Specification &amp; Data'!I$25,IF(AND(M197=3,L197=3),'Specification &amp; Data'!I$26)))))))</f>
        <v>0</v>
      </c>
      <c r="V197" s="27">
        <f>'Specification &amp; Data'!B$46-Simulation!S197-Simulation!T197-Simulation!U197</f>
        <v>538.34482716422428</v>
      </c>
      <c r="W197" s="27">
        <f>Simulation!V197/Simulation!Y197</f>
        <v>0.92620689225106057</v>
      </c>
      <c r="X197" s="27">
        <f>60*Simulation!Q197/(2*'Specification &amp; Data'!B$15*PI())</f>
        <v>449.47524779557608</v>
      </c>
      <c r="Y197" s="27">
        <f>IF(L197=1,'Specification &amp; Data'!B$56,IF(L197=2,'Specification &amp; Data'!B$57,IF(L197=3,'Specification &amp; Data'!B$58)))</f>
        <v>581.23604096253996</v>
      </c>
      <c r="Z197" s="38">
        <f>Simulation!Y197*Simulation!Q197^2/(2*1000)</f>
        <v>41.539261431453994</v>
      </c>
    </row>
    <row r="198" spans="7:26">
      <c r="G198" s="44">
        <v>5900</v>
      </c>
      <c r="H198" s="44">
        <v>17.239999999999998</v>
      </c>
      <c r="I198" s="38">
        <f>Simulation!H198*746/1000</f>
        <v>12.861039999999999</v>
      </c>
      <c r="J198" s="38">
        <f>60*1000*Simulation!I198/(2*PI()*Simulation!G198)</f>
        <v>20.815912772568705</v>
      </c>
      <c r="K198" s="37">
        <v>494.4</v>
      </c>
      <c r="L198" s="27">
        <f>IF(Q198&lt;='Specification &amp; Data'!I$7,1,IF(AND(Q198&gt;'Specification &amp; Data'!I$7,Q198&lt;='Specification &amp; Data'!I$8),2,IF(Q198&gt;'Specification &amp; Data'!I$8,3)))</f>
        <v>3</v>
      </c>
      <c r="M198" s="31">
        <v>2</v>
      </c>
      <c r="N198" s="31">
        <f t="shared" si="2"/>
        <v>193</v>
      </c>
      <c r="O198" s="27">
        <f>O197+(1/Simulation!Q198)</f>
        <v>35.843366705473507</v>
      </c>
      <c r="P198" s="38">
        <f>Simulation!Q198*3.6</f>
        <v>42.703850089829167</v>
      </c>
      <c r="Q198" s="38">
        <f>MIN('Specification &amp; Data'!I$9,SQRT(2*Simulation!R197+Simulation!Q197^2))</f>
        <v>11.862180580508102</v>
      </c>
      <c r="R198" s="38">
        <f>-1.2*Table37[[#This Row],[Column15]]/Table37[[#This Row],[Column20]]</f>
        <v>-1.1136058272352027</v>
      </c>
      <c r="S198" s="27">
        <f>'Specification &amp; Data'!B$11*'Specification &amp; Data'!B$21*'Specification &amp; Data'!B$23*Simulation!Q198^2/2</f>
        <v>66.152046810331555</v>
      </c>
      <c r="T198" s="27">
        <f>IF(AND(M198=1,L198=1),'Specification &amp; Data'!E$14,IF(AND(M198=1,L198=2),'Specification &amp; Data'!E$15,IF(AND(M198=1,L198=3),'Specification &amp; Data'!E$16,IF(AND(M198=2,L198=1),'Specification &amp; Data'!F$14,IF(AND(M198=2,L198=2),'Specification &amp; Data'!F$15,IF(AND(M198=2,L198=3),'Specification &amp; Data'!F$16,IF(AND(M198=3,L198=1),'Specification &amp; Data'!I$14,IF(AND(M198=3,L198=2),'Specification &amp; Data'!I$15,IF(AND(M198=3,L198=3),'Specification &amp; Data'!I$16)))))))))</f>
        <v>102.35950200000001</v>
      </c>
      <c r="U198" s="27">
        <f>IF(AND(M198=1,L198=1),'Specification &amp; Data'!E$24,IF(AND(M198=1,L198=2),'Specification &amp; Data'!E$25,IF(AND(M198=1,L198=3),'Specification &amp; Data'!E$26,IF(M198=2,0,IF(AND(M198=3,L198=1),'Specification &amp; Data'!I$24,IF(AND(M198=3,L198=2),'Specification &amp; Data'!I$25,IF(AND(M198=3,L198=3),'Specification &amp; Data'!I$26)))))))</f>
        <v>0</v>
      </c>
      <c r="V198" s="27">
        <f>'Specification &amp; Data'!B$46-Simulation!S198-Simulation!T198-Simulation!U198</f>
        <v>539.38986851250297</v>
      </c>
      <c r="W198" s="27">
        <f>Simulation!V198/Simulation!Y198</f>
        <v>0.92800485602933569</v>
      </c>
      <c r="X198" s="27">
        <f>60*Simulation!Q198/(2*'Specification &amp; Data'!B$15*PI())</f>
        <v>445.96645871729601</v>
      </c>
      <c r="Y198" s="27">
        <f>IF(L198=1,'Specification &amp; Data'!B$56,IF(L198=2,'Specification &amp; Data'!B$57,IF(L198=3,'Specification &amp; Data'!B$58)))</f>
        <v>581.23604096253996</v>
      </c>
      <c r="Z198" s="38">
        <f>Simulation!Y198*Simulation!Q198^2/(2*1000)</f>
        <v>40.89324763885692</v>
      </c>
    </row>
    <row r="199" spans="7:26">
      <c r="G199" s="44">
        <v>5900</v>
      </c>
      <c r="H199" s="44">
        <v>17.239999999999998</v>
      </c>
      <c r="I199" s="38">
        <f>Simulation!H199*746/1000</f>
        <v>12.861039999999999</v>
      </c>
      <c r="J199" s="38">
        <f>60*1000*Simulation!I199/(2*PI()*Simulation!G199)</f>
        <v>20.815912772568705</v>
      </c>
      <c r="K199" s="37">
        <v>494.4</v>
      </c>
      <c r="L199" s="27">
        <f>IF(Q199&lt;='Specification &amp; Data'!I$7,1,IF(AND(Q199&gt;'Specification &amp; Data'!I$7,Q199&lt;='Specification &amp; Data'!I$8),2,IF(Q199&gt;'Specification &amp; Data'!I$8,3)))</f>
        <v>3</v>
      </c>
      <c r="M199" s="31">
        <v>2</v>
      </c>
      <c r="N199" s="31">
        <f t="shared" ref="N199:N262" si="3">N198+1</f>
        <v>194</v>
      </c>
      <c r="O199" s="27">
        <f>O198+(1/Simulation!Q199)</f>
        <v>35.9283434360187</v>
      </c>
      <c r="P199" s="38">
        <f>Simulation!Q199*3.6</f>
        <v>42.364538820252328</v>
      </c>
      <c r="Q199" s="38">
        <f>MIN('Specification &amp; Data'!I$9,SQRT(2*Simulation!R198+Simulation!Q198^2))</f>
        <v>11.76792745007009</v>
      </c>
      <c r="R199" s="38">
        <f>-1.2*Table37[[#This Row],[Column15]]/Table37[[#This Row],[Column20]]</f>
        <v>-1.115767572043405</v>
      </c>
      <c r="S199" s="27">
        <f>'Specification &amp; Data'!B$11*'Specification &amp; Data'!B$21*'Specification &amp; Data'!B$23*Simulation!Q199^2/2</f>
        <v>65.104976815422575</v>
      </c>
      <c r="T199" s="27">
        <f>IF(AND(M199=1,L199=1),'Specification &amp; Data'!E$14,IF(AND(M199=1,L199=2),'Specification &amp; Data'!E$15,IF(AND(M199=1,L199=3),'Specification &amp; Data'!E$16,IF(AND(M199=2,L199=1),'Specification &amp; Data'!F$14,IF(AND(M199=2,L199=2),'Specification &amp; Data'!F$15,IF(AND(M199=2,L199=3),'Specification &amp; Data'!F$16,IF(AND(M199=3,L199=1),'Specification &amp; Data'!I$14,IF(AND(M199=3,L199=2),'Specification &amp; Data'!I$15,IF(AND(M199=3,L199=3),'Specification &amp; Data'!I$16)))))))))</f>
        <v>102.35950200000001</v>
      </c>
      <c r="U199" s="27">
        <f>IF(AND(M199=1,L199=1),'Specification &amp; Data'!E$24,IF(AND(M199=1,L199=2),'Specification &amp; Data'!E$25,IF(AND(M199=1,L199=3),'Specification &amp; Data'!E$26,IF(M199=2,0,IF(AND(M199=3,L199=1),'Specification &amp; Data'!I$24,IF(AND(M199=3,L199=2),'Specification &amp; Data'!I$25,IF(AND(M199=3,L199=3),'Specification &amp; Data'!I$26)))))))</f>
        <v>0</v>
      </c>
      <c r="V199" s="27">
        <f>'Specification &amp; Data'!B$46-Simulation!S199-Simulation!T199-Simulation!U199</f>
        <v>540.43693850741192</v>
      </c>
      <c r="W199" s="27">
        <f>Simulation!V199/Simulation!Y199</f>
        <v>0.92980631003617087</v>
      </c>
      <c r="X199" s="27">
        <f>60*Simulation!Q199/(2*'Specification &amp; Data'!B$15*PI())</f>
        <v>442.42295046270669</v>
      </c>
      <c r="Y199" s="27">
        <f>IF(L199=1,'Specification &amp; Data'!B$56,IF(L199=2,'Specification &amp; Data'!B$57,IF(L199=3,'Specification &amp; Data'!B$58)))</f>
        <v>581.23604096253996</v>
      </c>
      <c r="Z199" s="38">
        <f>Simulation!Y199*Simulation!Q199^2/(2*1000)</f>
        <v>40.245979796641912</v>
      </c>
    </row>
    <row r="200" spans="7:26">
      <c r="G200" s="44">
        <v>6000</v>
      </c>
      <c r="H200" s="44">
        <v>17.32</v>
      </c>
      <c r="I200" s="38">
        <f>Simulation!H200*746/1000</f>
        <v>12.920719999999999</v>
      </c>
      <c r="J200" s="38">
        <f>60*1000*Simulation!I200/(2*PI()*Simulation!G200)</f>
        <v>20.563964563063138</v>
      </c>
      <c r="K200" s="37">
        <v>494.4</v>
      </c>
      <c r="L200" s="27">
        <f>IF(Q200&lt;='Specification &amp; Data'!I$7,1,IF(AND(Q200&gt;'Specification &amp; Data'!I$7,Q200&lt;='Specification &amp; Data'!I$8),2,IF(Q200&gt;'Specification &amp; Data'!I$8,3)))</f>
        <v>3</v>
      </c>
      <c r="M200" s="31">
        <v>2</v>
      </c>
      <c r="N200" s="31">
        <f t="shared" si="3"/>
        <v>195</v>
      </c>
      <c r="O200" s="27">
        <f>O199+(1/Simulation!Q200)</f>
        <v>36.014013211869276</v>
      </c>
      <c r="P200" s="38">
        <f>Simulation!Q200*3.6</f>
        <v>42.021821164548555</v>
      </c>
      <c r="Q200" s="38">
        <f>MIN('Specification &amp; Data'!I$9,SQRT(2*Simulation!R199+Simulation!Q199^2))</f>
        <v>11.672728101263488</v>
      </c>
      <c r="R200" s="38">
        <f>-1.2*Table37[[#This Row],[Column15]]/Table37[[#This Row],[Column20]]</f>
        <v>-1.1179335132562069</v>
      </c>
      <c r="S200" s="27">
        <f>'Specification &amp; Data'!B$11*'Specification &amp; Data'!B$21*'Specification &amp; Data'!B$23*Simulation!Q200^2/2</f>
        <v>64.055874235850382</v>
      </c>
      <c r="T200" s="27">
        <f>IF(AND(M200=1,L200=1),'Specification &amp; Data'!E$14,IF(AND(M200=1,L200=2),'Specification &amp; Data'!E$15,IF(AND(M200=1,L200=3),'Specification &amp; Data'!E$16,IF(AND(M200=2,L200=1),'Specification &amp; Data'!F$14,IF(AND(M200=2,L200=2),'Specification &amp; Data'!F$15,IF(AND(M200=2,L200=3),'Specification &amp; Data'!F$16,IF(AND(M200=3,L200=1),'Specification &amp; Data'!I$14,IF(AND(M200=3,L200=2),'Specification &amp; Data'!I$15,IF(AND(M200=3,L200=3),'Specification &amp; Data'!I$16)))))))))</f>
        <v>102.35950200000001</v>
      </c>
      <c r="U200" s="27">
        <f>IF(AND(M200=1,L200=1),'Specification &amp; Data'!E$24,IF(AND(M200=1,L200=2),'Specification &amp; Data'!E$25,IF(AND(M200=1,L200=3),'Specification &amp; Data'!E$26,IF(M200=2,0,IF(AND(M200=3,L200=1),'Specification &amp; Data'!I$24,IF(AND(M200=3,L200=2),'Specification &amp; Data'!I$25,IF(AND(M200=3,L200=3),'Specification &amp; Data'!I$26)))))))</f>
        <v>0</v>
      </c>
      <c r="V200" s="27">
        <f>'Specification &amp; Data'!B$46-Simulation!S200-Simulation!T200-Simulation!U200</f>
        <v>541.48604108698407</v>
      </c>
      <c r="W200" s="27">
        <f>Simulation!V200/Simulation!Y200</f>
        <v>0.93161126104683911</v>
      </c>
      <c r="X200" s="27">
        <f>60*Simulation!Q200/(2*'Specification &amp; Data'!B$15*PI())</f>
        <v>438.84386850797432</v>
      </c>
      <c r="Y200" s="27">
        <f>IF(L200=1,'Specification &amp; Data'!B$56,IF(L200=2,'Specification &amp; Data'!B$57,IF(L200=3,'Specification &amp; Data'!B$58)))</f>
        <v>581.23604096253996</v>
      </c>
      <c r="Z200" s="38">
        <f>Simulation!Y200*Simulation!Q200^2/(2*1000)</f>
        <v>39.597455470433012</v>
      </c>
    </row>
    <row r="201" spans="7:26">
      <c r="G201" s="44">
        <v>6000</v>
      </c>
      <c r="H201" s="44">
        <v>17.32</v>
      </c>
      <c r="I201" s="38">
        <f>Simulation!H201*746/1000</f>
        <v>12.920719999999999</v>
      </c>
      <c r="J201" s="38">
        <f>60*1000*Simulation!I201/(2*PI()*Simulation!G201)</f>
        <v>20.563964563063138</v>
      </c>
      <c r="K201" s="37">
        <v>494.4</v>
      </c>
      <c r="L201" s="27">
        <f>IF(Q201&lt;='Specification &amp; Data'!I$7,1,IF(AND(Q201&gt;'Specification &amp; Data'!I$7,Q201&lt;='Specification &amp; Data'!I$8),2,IF(Q201&gt;'Specification &amp; Data'!I$8,3)))</f>
        <v>3</v>
      </c>
      <c r="M201" s="31">
        <v>2</v>
      </c>
      <c r="N201" s="31">
        <f t="shared" si="3"/>
        <v>196</v>
      </c>
      <c r="O201" s="27">
        <f>O200+(1/Simulation!Q201)</f>
        <v>36.100394667261376</v>
      </c>
      <c r="P201" s="38">
        <f>Simulation!Q201*3.6</f>
        <v>41.675611781012883</v>
      </c>
      <c r="Q201" s="38">
        <f>MIN('Specification &amp; Data'!I$9,SQRT(2*Simulation!R200+Simulation!Q200^2))</f>
        <v>11.576558828059134</v>
      </c>
      <c r="R201" s="38">
        <f>-1.2*Table37[[#This Row],[Column15]]/Table37[[#This Row],[Column20]]</f>
        <v>-1.1201036590197191</v>
      </c>
      <c r="S201" s="27">
        <f>'Specification &amp; Data'!B$11*'Specification &amp; Data'!B$21*'Specification &amp; Data'!B$23*Simulation!Q201^2/2</f>
        <v>63.004735125937557</v>
      </c>
      <c r="T201" s="27">
        <f>IF(AND(M201=1,L201=1),'Specification &amp; Data'!E$14,IF(AND(M201=1,L201=2),'Specification &amp; Data'!E$15,IF(AND(M201=1,L201=3),'Specification &amp; Data'!E$16,IF(AND(M201=2,L201=1),'Specification &amp; Data'!F$14,IF(AND(M201=2,L201=2),'Specification &amp; Data'!F$15,IF(AND(M201=2,L201=3),'Specification &amp; Data'!F$16,IF(AND(M201=3,L201=1),'Specification &amp; Data'!I$14,IF(AND(M201=3,L201=2),'Specification &amp; Data'!I$15,IF(AND(M201=3,L201=3),'Specification &amp; Data'!I$16)))))))))</f>
        <v>102.35950200000001</v>
      </c>
      <c r="U201" s="27">
        <f>IF(AND(M201=1,L201=1),'Specification &amp; Data'!E$24,IF(AND(M201=1,L201=2),'Specification &amp; Data'!E$25,IF(AND(M201=1,L201=3),'Specification &amp; Data'!E$26,IF(M201=2,0,IF(AND(M201=3,L201=1),'Specification &amp; Data'!I$24,IF(AND(M201=3,L201=2),'Specification &amp; Data'!I$25,IF(AND(M201=3,L201=3),'Specification &amp; Data'!I$26)))))))</f>
        <v>0</v>
      </c>
      <c r="V201" s="27">
        <f>'Specification &amp; Data'!B$46-Simulation!S201-Simulation!T201-Simulation!U201</f>
        <v>542.53718019689688</v>
      </c>
      <c r="W201" s="27">
        <f>Simulation!V201/Simulation!Y201</f>
        <v>0.9334197158497658</v>
      </c>
      <c r="X201" s="27">
        <f>60*Simulation!Q201/(2*'Specification &amp; Data'!B$15*PI())</f>
        <v>435.22832160938503</v>
      </c>
      <c r="Y201" s="27">
        <f>IF(L201=1,'Specification &amp; Data'!B$56,IF(L201=2,'Specification &amp; Data'!B$57,IF(L201=3,'Specification &amp; Data'!B$58)))</f>
        <v>581.23604096253996</v>
      </c>
      <c r="Z201" s="38">
        <f>Simulation!Y201*Simulation!Q201^2/(2*1000)</f>
        <v>38.947672221128634</v>
      </c>
    </row>
    <row r="202" spans="7:26">
      <c r="G202" s="44">
        <v>6000</v>
      </c>
      <c r="H202" s="44">
        <v>17.32</v>
      </c>
      <c r="I202" s="38">
        <f>Simulation!H202*746/1000</f>
        <v>12.920719999999999</v>
      </c>
      <c r="J202" s="38">
        <f>60*1000*Simulation!I202/(2*PI()*Simulation!G202)</f>
        <v>20.563964563063138</v>
      </c>
      <c r="K202" s="37">
        <v>494.4</v>
      </c>
      <c r="L202" s="27">
        <f>IF(Q202&lt;='Specification &amp; Data'!I$7,1,IF(AND(Q202&gt;'Specification &amp; Data'!I$7,Q202&lt;='Specification &amp; Data'!I$8),2,IF(Q202&gt;'Specification &amp; Data'!I$8,3)))</f>
        <v>3</v>
      </c>
      <c r="M202" s="31">
        <v>2</v>
      </c>
      <c r="N202" s="31">
        <f t="shared" si="3"/>
        <v>197</v>
      </c>
      <c r="O202" s="27">
        <f>O201+(1/Simulation!Q202)</f>
        <v>36.187507272917557</v>
      </c>
      <c r="P202" s="38">
        <f>Simulation!Q202*3.6</f>
        <v>41.32582159473553</v>
      </c>
      <c r="Q202" s="38">
        <f>MIN('Specification &amp; Data'!I$9,SQRT(2*Simulation!R201+Simulation!Q201^2))</f>
        <v>11.479394887426535</v>
      </c>
      <c r="R202" s="38">
        <f>-1.2*Table37[[#This Row],[Column15]]/Table37[[#This Row],[Column20]]</f>
        <v>-1.1222780174958646</v>
      </c>
      <c r="S202" s="27">
        <f>'Specification &amp; Data'!B$11*'Specification &amp; Data'!B$21*'Specification &amp; Data'!B$23*Simulation!Q202^2/2</f>
        <v>61.951555532347328</v>
      </c>
      <c r="T202" s="27">
        <f>IF(AND(M202=1,L202=1),'Specification &amp; Data'!E$14,IF(AND(M202=1,L202=2),'Specification &amp; Data'!E$15,IF(AND(M202=1,L202=3),'Specification &amp; Data'!E$16,IF(AND(M202=2,L202=1),'Specification &amp; Data'!F$14,IF(AND(M202=2,L202=2),'Specification &amp; Data'!F$15,IF(AND(M202=2,L202=3),'Specification &amp; Data'!F$16,IF(AND(M202=3,L202=1),'Specification &amp; Data'!I$14,IF(AND(M202=3,L202=2),'Specification &amp; Data'!I$15,IF(AND(M202=3,L202=3),'Specification &amp; Data'!I$16)))))))))</f>
        <v>102.35950200000001</v>
      </c>
      <c r="U202" s="27">
        <f>IF(AND(M202=1,L202=1),'Specification &amp; Data'!E$24,IF(AND(M202=1,L202=2),'Specification &amp; Data'!E$25,IF(AND(M202=1,L202=3),'Specification &amp; Data'!E$26,IF(M202=2,0,IF(AND(M202=3,L202=1),'Specification &amp; Data'!I$24,IF(AND(M202=3,L202=2),'Specification &amp; Data'!I$25,IF(AND(M202=3,L202=3),'Specification &amp; Data'!I$26)))))))</f>
        <v>0</v>
      </c>
      <c r="V202" s="27">
        <f>'Specification &amp; Data'!B$46-Simulation!S202-Simulation!T202-Simulation!U202</f>
        <v>543.59035979048713</v>
      </c>
      <c r="W202" s="27">
        <f>Simulation!V202/Simulation!Y202</f>
        <v>0.93523168124655387</v>
      </c>
      <c r="X202" s="27">
        <f>60*Simulation!Q202/(2*'Specification &amp; Data'!B$15*PI())</f>
        <v>431.57537953647983</v>
      </c>
      <c r="Y202" s="27">
        <f>IF(L202=1,'Specification &amp; Data'!B$56,IF(L202=2,'Specification &amp; Data'!B$57,IF(L202=3,'Specification &amp; Data'!B$58)))</f>
        <v>581.23604096253996</v>
      </c>
      <c r="Z202" s="38">
        <f>Simulation!Y202*Simulation!Q202^2/(2*1000)</f>
        <v>38.296627604892372</v>
      </c>
    </row>
    <row r="203" spans="7:26">
      <c r="G203" s="44">
        <v>6000</v>
      </c>
      <c r="H203" s="44">
        <v>17.32</v>
      </c>
      <c r="I203" s="38">
        <f>Simulation!H203*746/1000</f>
        <v>12.920719999999999</v>
      </c>
      <c r="J203" s="38">
        <f>60*1000*Simulation!I203/(2*PI()*Simulation!G203)</f>
        <v>20.563964563063138</v>
      </c>
      <c r="K203" s="37">
        <v>494.4</v>
      </c>
      <c r="L203" s="27">
        <f>IF(Q203&lt;='Specification &amp; Data'!I$7,1,IF(AND(Q203&gt;'Specification &amp; Data'!I$7,Q203&lt;='Specification &amp; Data'!I$8),2,IF(Q203&gt;'Specification &amp; Data'!I$8,3)))</f>
        <v>3</v>
      </c>
      <c r="M203" s="31">
        <v>2</v>
      </c>
      <c r="N203" s="31">
        <f t="shared" si="3"/>
        <v>198</v>
      </c>
      <c r="O203" s="27">
        <f>O202+(1/Simulation!Q203)</f>
        <v>36.275371389461711</v>
      </c>
      <c r="P203" s="38">
        <f>Simulation!Q203*3.6</f>
        <v>40.972357562952325</v>
      </c>
      <c r="Q203" s="38">
        <f>MIN('Specification &amp; Data'!I$9,SQRT(2*Simulation!R202+Simulation!Q202^2))</f>
        <v>11.381210434153424</v>
      </c>
      <c r="R203" s="38">
        <f>-1.2*Table37[[#This Row],[Column15]]/Table37[[#This Row],[Column20]]</f>
        <v>-1.1244565968624118</v>
      </c>
      <c r="S203" s="27">
        <f>'Specification &amp; Data'!B$11*'Specification &amp; Data'!B$21*'Specification &amp; Data'!B$23*Simulation!Q203^2/2</f>
        <v>60.896331494068612</v>
      </c>
      <c r="T203" s="27">
        <f>IF(AND(M203=1,L203=1),'Specification &amp; Data'!E$14,IF(AND(M203=1,L203=2),'Specification &amp; Data'!E$15,IF(AND(M203=1,L203=3),'Specification &amp; Data'!E$16,IF(AND(M203=2,L203=1),'Specification &amp; Data'!F$14,IF(AND(M203=2,L203=2),'Specification &amp; Data'!F$15,IF(AND(M203=2,L203=3),'Specification &amp; Data'!F$16,IF(AND(M203=3,L203=1),'Specification &amp; Data'!I$14,IF(AND(M203=3,L203=2),'Specification &amp; Data'!I$15,IF(AND(M203=3,L203=3),'Specification &amp; Data'!I$16)))))))))</f>
        <v>102.35950200000001</v>
      </c>
      <c r="U203" s="27">
        <f>IF(AND(M203=1,L203=1),'Specification &amp; Data'!E$24,IF(AND(M203=1,L203=2),'Specification &amp; Data'!E$25,IF(AND(M203=1,L203=3),'Specification &amp; Data'!E$26,IF(M203=2,0,IF(AND(M203=3,L203=1),'Specification &amp; Data'!I$24,IF(AND(M203=3,L203=2),'Specification &amp; Data'!I$25,IF(AND(M203=3,L203=3),'Specification &amp; Data'!I$26)))))))</f>
        <v>0</v>
      </c>
      <c r="V203" s="27">
        <f>'Specification &amp; Data'!B$46-Simulation!S203-Simulation!T203-Simulation!U203</f>
        <v>544.64558382876589</v>
      </c>
      <c r="W203" s="27">
        <f>Simulation!V203/Simulation!Y203</f>
        <v>0.93704716405200983</v>
      </c>
      <c r="X203" s="27">
        <f>60*Simulation!Q203/(2*'Specification &amp; Data'!B$15*PI())</f>
        <v>427.88407062155284</v>
      </c>
      <c r="Y203" s="27">
        <f>IF(L203=1,'Specification &amp; Data'!B$56,IF(L203=2,'Specification &amp; Data'!B$57,IF(L203=3,'Specification &amp; Data'!B$58)))</f>
        <v>581.23604096253996</v>
      </c>
      <c r="Z203" s="38">
        <f>Simulation!Y203*Simulation!Q203^2/(2*1000)</f>
        <v>37.644319173143785</v>
      </c>
    </row>
    <row r="204" spans="7:26">
      <c r="G204" s="44">
        <v>6100</v>
      </c>
      <c r="H204" s="44">
        <v>17.37</v>
      </c>
      <c r="I204" s="38">
        <f>Simulation!H204*746/1000</f>
        <v>12.958020000000001</v>
      </c>
      <c r="J204" s="38">
        <f>60*1000*Simulation!I204/(2*PI()*Simulation!G204)</f>
        <v>20.285241990330903</v>
      </c>
      <c r="K204" s="37">
        <v>494.4</v>
      </c>
      <c r="L204" s="27">
        <f>IF(Q204&lt;='Specification &amp; Data'!I$7,1,IF(AND(Q204&gt;'Specification &amp; Data'!I$7,Q204&lt;='Specification &amp; Data'!I$8),2,IF(Q204&gt;'Specification &amp; Data'!I$8,3)))</f>
        <v>3</v>
      </c>
      <c r="M204" s="31">
        <v>2</v>
      </c>
      <c r="N204" s="31">
        <f t="shared" si="3"/>
        <v>199</v>
      </c>
      <c r="O204" s="27">
        <f>O203+(1/Simulation!Q204)</f>
        <v>36.364008325297597</v>
      </c>
      <c r="P204" s="38">
        <f>Simulation!Q204*3.6</f>
        <v>40.615122421036027</v>
      </c>
      <c r="Q204" s="38">
        <f>MIN('Specification &amp; Data'!I$9,SQRT(2*Simulation!R203+Simulation!Q203^2))</f>
        <v>11.281978450287784</v>
      </c>
      <c r="R204" s="38">
        <f>-1.2*Table37[[#This Row],[Column15]]/Table37[[#This Row],[Column20]]</f>
        <v>-1.1266394053130024</v>
      </c>
      <c r="S204" s="27">
        <f>'Specification &amp; Data'!B$11*'Specification &amp; Data'!B$21*'Specification &amp; Data'!B$23*Simulation!Q204^2/2</f>
        <v>59.839059042401203</v>
      </c>
      <c r="T204" s="27">
        <f>IF(AND(M204=1,L204=1),'Specification &amp; Data'!E$14,IF(AND(M204=1,L204=2),'Specification &amp; Data'!E$15,IF(AND(M204=1,L204=3),'Specification &amp; Data'!E$16,IF(AND(M204=2,L204=1),'Specification &amp; Data'!F$14,IF(AND(M204=2,L204=2),'Specification &amp; Data'!F$15,IF(AND(M204=2,L204=3),'Specification &amp; Data'!F$16,IF(AND(M204=3,L204=1),'Specification &amp; Data'!I$14,IF(AND(M204=3,L204=2),'Specification &amp; Data'!I$15,IF(AND(M204=3,L204=3),'Specification &amp; Data'!I$16)))))))))</f>
        <v>102.35950200000001</v>
      </c>
      <c r="U204" s="27">
        <f>IF(AND(M204=1,L204=1),'Specification &amp; Data'!E$24,IF(AND(M204=1,L204=2),'Specification &amp; Data'!E$25,IF(AND(M204=1,L204=3),'Specification &amp; Data'!E$26,IF(M204=2,0,IF(AND(M204=3,L204=1),'Specification &amp; Data'!I$24,IF(AND(M204=3,L204=2),'Specification &amp; Data'!I$25,IF(AND(M204=3,L204=3),'Specification &amp; Data'!I$26)))))))</f>
        <v>0</v>
      </c>
      <c r="V204" s="27">
        <f>'Specification &amp; Data'!B$46-Simulation!S204-Simulation!T204-Simulation!U204</f>
        <v>545.70285628043325</v>
      </c>
      <c r="W204" s="27">
        <f>Simulation!V204/Simulation!Y204</f>
        <v>0.93886617109416859</v>
      </c>
      <c r="X204" s="27">
        <f>60*Simulation!Q204/(2*'Specification &amp; Data'!B$15*PI())</f>
        <v>424.15337910697838</v>
      </c>
      <c r="Y204" s="27">
        <f>IF(L204=1,'Specification &amp; Data'!B$56,IF(L204=2,'Specification &amp; Data'!B$57,IF(L204=3,'Specification &amp; Data'!B$58)))</f>
        <v>581.23604096253996</v>
      </c>
      <c r="Z204" s="38">
        <f>Simulation!Y204*Simulation!Q204^2/(2*1000)</f>
        <v>36.990744472549274</v>
      </c>
    </row>
    <row r="205" spans="7:26">
      <c r="G205" s="44">
        <v>6100</v>
      </c>
      <c r="H205" s="44">
        <v>17.37</v>
      </c>
      <c r="I205" s="38">
        <f>Simulation!H205*746/1000</f>
        <v>12.958020000000001</v>
      </c>
      <c r="J205" s="38">
        <f>60*1000*Simulation!I205/(2*PI()*Simulation!G205)</f>
        <v>20.285241990330903</v>
      </c>
      <c r="K205" s="37">
        <v>494.4</v>
      </c>
      <c r="L205" s="27">
        <f>IF(Q205&lt;='Specification &amp; Data'!I$7,1,IF(AND(Q205&gt;'Specification &amp; Data'!I$7,Q205&lt;='Specification &amp; Data'!I$8),2,IF(Q205&gt;'Specification &amp; Data'!I$8,3)))</f>
        <v>3</v>
      </c>
      <c r="M205" s="31">
        <v>2</v>
      </c>
      <c r="N205" s="31">
        <f t="shared" si="3"/>
        <v>200</v>
      </c>
      <c r="O205" s="27">
        <f>O204+(1/Simulation!Q205)</f>
        <v>36.453440399415442</v>
      </c>
      <c r="P205" s="38">
        <f>Simulation!Q205*3.6</f>
        <v>40.254014407137461</v>
      </c>
      <c r="Q205" s="38">
        <f>MIN('Specification &amp; Data'!I$9,SQRT(2*Simulation!R204+Simulation!Q204^2))</f>
        <v>11.181670668649295</v>
      </c>
      <c r="R205" s="38">
        <f>-1.2*Table37[[#This Row],[Column15]]/Table37[[#This Row],[Column20]]</f>
        <v>-1.1288264510571848</v>
      </c>
      <c r="S205" s="27">
        <f>'Specification &amp; Data'!B$11*'Specification &amp; Data'!B$21*'Specification &amp; Data'!B$23*Simulation!Q205^2/2</f>
        <v>58.779734200940787</v>
      </c>
      <c r="T205" s="27">
        <f>IF(AND(M205=1,L205=1),'Specification &amp; Data'!E$14,IF(AND(M205=1,L205=2),'Specification &amp; Data'!E$15,IF(AND(M205=1,L205=3),'Specification &amp; Data'!E$16,IF(AND(M205=2,L205=1),'Specification &amp; Data'!F$14,IF(AND(M205=2,L205=2),'Specification &amp; Data'!F$15,IF(AND(M205=2,L205=3),'Specification &amp; Data'!F$16,IF(AND(M205=3,L205=1),'Specification &amp; Data'!I$14,IF(AND(M205=3,L205=2),'Specification &amp; Data'!I$15,IF(AND(M205=3,L205=3),'Specification &amp; Data'!I$16)))))))))</f>
        <v>102.35950200000001</v>
      </c>
      <c r="U205" s="27">
        <f>IF(AND(M205=1,L205=1),'Specification &amp; Data'!E$24,IF(AND(M205=1,L205=2),'Specification &amp; Data'!E$25,IF(AND(M205=1,L205=3),'Specification &amp; Data'!E$26,IF(M205=2,0,IF(AND(M205=3,L205=1),'Specification &amp; Data'!I$24,IF(AND(M205=3,L205=2),'Specification &amp; Data'!I$25,IF(AND(M205=3,L205=3),'Specification &amp; Data'!I$26)))))))</f>
        <v>0</v>
      </c>
      <c r="V205" s="27">
        <f>'Specification &amp; Data'!B$46-Simulation!S205-Simulation!T205-Simulation!U205</f>
        <v>546.76218112189372</v>
      </c>
      <c r="W205" s="27">
        <f>Simulation!V205/Simulation!Y205</f>
        <v>0.94068870921432068</v>
      </c>
      <c r="X205" s="27">
        <f>60*Simulation!Q205/(2*'Specification &amp; Data'!B$15*PI())</f>
        <v>420.38224226957334</v>
      </c>
      <c r="Y205" s="27">
        <f>IF(L205=1,'Specification &amp; Data'!B$56,IF(L205=2,'Specification &amp; Data'!B$57,IF(L205=3,'Specification &amp; Data'!B$58)))</f>
        <v>581.23604096253996</v>
      </c>
      <c r="Z205" s="38">
        <f>Simulation!Y205*Simulation!Q205^2/(2*1000)</f>
        <v>36.335901045012754</v>
      </c>
    </row>
    <row r="206" spans="7:26">
      <c r="G206" s="44">
        <v>6100</v>
      </c>
      <c r="H206" s="44">
        <v>17.37</v>
      </c>
      <c r="I206" s="38">
        <f>Simulation!H206*746/1000</f>
        <v>12.958020000000001</v>
      </c>
      <c r="J206" s="38">
        <f>60*1000*Simulation!I206/(2*PI()*Simulation!G206)</f>
        <v>20.285241990330903</v>
      </c>
      <c r="K206" s="37">
        <v>494.4</v>
      </c>
      <c r="L206" s="27">
        <f>IF(Q206&lt;='Specification &amp; Data'!I$7,1,IF(AND(Q206&gt;'Specification &amp; Data'!I$7,Q206&lt;='Specification &amp; Data'!I$8),2,IF(Q206&gt;'Specification &amp; Data'!I$8,3)))</f>
        <v>3</v>
      </c>
      <c r="M206" s="31">
        <v>2</v>
      </c>
      <c r="N206" s="31">
        <f t="shared" si="3"/>
        <v>201</v>
      </c>
      <c r="O206" s="27">
        <f>O205+(1/Simulation!Q206)</f>
        <v>36.543691009649145</v>
      </c>
      <c r="P206" s="38">
        <f>Simulation!Q206*3.6</f>
        <v>39.888926963239157</v>
      </c>
      <c r="Q206" s="38">
        <f>MIN('Specification &amp; Data'!I$9,SQRT(2*Simulation!R205+Simulation!Q205^2))</f>
        <v>11.080257489788655</v>
      </c>
      <c r="R206" s="38">
        <f>-1.2*Table37[[#This Row],[Column15]]/Table37[[#This Row],[Column20]]</f>
        <v>-1.1310177423204433</v>
      </c>
      <c r="S206" s="27">
        <f>'Specification &amp; Data'!B$11*'Specification &amp; Data'!B$21*'Specification &amp; Data'!B$23*Simulation!Q206^2/2</f>
        <v>57.71835298556401</v>
      </c>
      <c r="T206" s="27">
        <f>IF(AND(M206=1,L206=1),'Specification &amp; Data'!E$14,IF(AND(M206=1,L206=2),'Specification &amp; Data'!E$15,IF(AND(M206=1,L206=3),'Specification &amp; Data'!E$16,IF(AND(M206=2,L206=1),'Specification &amp; Data'!F$14,IF(AND(M206=2,L206=2),'Specification &amp; Data'!F$15,IF(AND(M206=2,L206=3),'Specification &amp; Data'!F$16,IF(AND(M206=3,L206=1),'Specification &amp; Data'!I$14,IF(AND(M206=3,L206=2),'Specification &amp; Data'!I$15,IF(AND(M206=3,L206=3),'Specification &amp; Data'!I$16)))))))))</f>
        <v>102.35950200000001</v>
      </c>
      <c r="U206" s="27">
        <f>IF(AND(M206=1,L206=1),'Specification &amp; Data'!E$24,IF(AND(M206=1,L206=2),'Specification &amp; Data'!E$25,IF(AND(M206=1,L206=3),'Specification &amp; Data'!E$26,IF(M206=2,0,IF(AND(M206=3,L206=1),'Specification &amp; Data'!I$24,IF(AND(M206=3,L206=2),'Specification &amp; Data'!I$25,IF(AND(M206=3,L206=3),'Specification &amp; Data'!I$26)))))))</f>
        <v>0</v>
      </c>
      <c r="V206" s="27">
        <f>'Specification &amp; Data'!B$46-Simulation!S206-Simulation!T206-Simulation!U206</f>
        <v>547.82356233727046</v>
      </c>
      <c r="W206" s="27">
        <f>Simulation!V206/Simulation!Y206</f>
        <v>0.94251478526703591</v>
      </c>
      <c r="X206" s="27">
        <f>60*Simulation!Q206/(2*'Specification &amp; Data'!B$15*PI())</f>
        <v>416.56954729862849</v>
      </c>
      <c r="Y206" s="27">
        <f>IF(L206=1,'Specification &amp; Data'!B$56,IF(L206=2,'Specification &amp; Data'!B$57,IF(L206=3,'Specification &amp; Data'!B$58)))</f>
        <v>581.23604096253996</v>
      </c>
      <c r="Z206" s="38">
        <f>Simulation!Y206*Simulation!Q206^2/(2*1000)</f>
        <v>35.679786427666485</v>
      </c>
    </row>
    <row r="207" spans="7:26">
      <c r="G207" s="44">
        <v>6100</v>
      </c>
      <c r="H207" s="44">
        <v>17.37</v>
      </c>
      <c r="I207" s="38">
        <f>Simulation!H207*746/1000</f>
        <v>12.958020000000001</v>
      </c>
      <c r="J207" s="38">
        <f>60*1000*Simulation!I207/(2*PI()*Simulation!G207)</f>
        <v>20.285241990330903</v>
      </c>
      <c r="K207" s="37">
        <v>494.4</v>
      </c>
      <c r="L207" s="27">
        <f>IF(Q207&lt;='Specification &amp; Data'!I$7,1,IF(AND(Q207&gt;'Specification &amp; Data'!I$7,Q207&lt;='Specification &amp; Data'!I$8),2,IF(Q207&gt;'Specification &amp; Data'!I$8,3)))</f>
        <v>3</v>
      </c>
      <c r="M207" s="31">
        <v>2</v>
      </c>
      <c r="N207" s="31">
        <f t="shared" si="3"/>
        <v>202</v>
      </c>
      <c r="O207" s="27">
        <f>O206+(1/Simulation!Q207)</f>
        <v>36.634784706973392</v>
      </c>
      <c r="P207" s="38">
        <f>Simulation!Q207*3.6</f>
        <v>39.519748410101023</v>
      </c>
      <c r="Q207" s="38">
        <f>MIN('Specification &amp; Data'!I$9,SQRT(2*Simulation!R206+Simulation!Q206^2))</f>
        <v>10.977707891694727</v>
      </c>
      <c r="R207" s="38">
        <f>-1.2*Table37[[#This Row],[Column15]]/Table37[[#This Row],[Column20]]</f>
        <v>-1.1332132873442295</v>
      </c>
      <c r="S207" s="27">
        <f>'Specification &amp; Data'!B$11*'Specification &amp; Data'!B$21*'Specification &amp; Data'!B$23*Simulation!Q207^2/2</f>
        <v>56.654911404413504</v>
      </c>
      <c r="T207" s="27">
        <f>IF(AND(M207=1,L207=1),'Specification &amp; Data'!E$14,IF(AND(M207=1,L207=2),'Specification &amp; Data'!E$15,IF(AND(M207=1,L207=3),'Specification &amp; Data'!E$16,IF(AND(M207=2,L207=1),'Specification &amp; Data'!F$14,IF(AND(M207=2,L207=2),'Specification &amp; Data'!F$15,IF(AND(M207=2,L207=3),'Specification &amp; Data'!F$16,IF(AND(M207=3,L207=1),'Specification &amp; Data'!I$14,IF(AND(M207=3,L207=2),'Specification &amp; Data'!I$15,IF(AND(M207=3,L207=3),'Specification &amp; Data'!I$16)))))))))</f>
        <v>102.35950200000001</v>
      </c>
      <c r="U207" s="27">
        <f>IF(AND(M207=1,L207=1),'Specification &amp; Data'!E$24,IF(AND(M207=1,L207=2),'Specification &amp; Data'!E$25,IF(AND(M207=1,L207=3),'Specification &amp; Data'!E$26,IF(M207=2,0,IF(AND(M207=3,L207=1),'Specification &amp; Data'!I$24,IF(AND(M207=3,L207=2),'Specification &amp; Data'!I$25,IF(AND(M207=3,L207=3),'Specification &amp; Data'!I$26)))))))</f>
        <v>0</v>
      </c>
      <c r="V207" s="27">
        <f>'Specification &amp; Data'!B$46-Simulation!S207-Simulation!T207-Simulation!U207</f>
        <v>548.88700391842099</v>
      </c>
      <c r="W207" s="27">
        <f>Simulation!V207/Simulation!Y207</f>
        <v>0.94434440612019133</v>
      </c>
      <c r="X207" s="27">
        <f>60*Simulation!Q207/(2*'Specification &amp; Data'!B$15*PI())</f>
        <v>412.71412790128932</v>
      </c>
      <c r="Y207" s="27">
        <f>IF(L207=1,'Specification &amp; Data'!B$56,IF(L207=2,'Specification &amp; Data'!B$57,IF(L207=3,'Specification &amp; Data'!B$58)))</f>
        <v>581.23604096253996</v>
      </c>
      <c r="Z207" s="38">
        <f>Simulation!Y207*Simulation!Q207^2/(2*1000)</f>
        <v>35.022398152861761</v>
      </c>
    </row>
    <row r="208" spans="7:26">
      <c r="G208" s="44">
        <v>6200</v>
      </c>
      <c r="H208" s="44">
        <v>17.440000000000001</v>
      </c>
      <c r="I208" s="38">
        <f>Simulation!H208*746/1000</f>
        <v>13.010240000000001</v>
      </c>
      <c r="J208" s="38">
        <f>60*1000*Simulation!I208/(2*PI()*Simulation!G208)</f>
        <v>20.038490388502264</v>
      </c>
      <c r="K208" s="37">
        <v>494.4</v>
      </c>
      <c r="L208" s="27">
        <f>IF(Q208&lt;='Specification &amp; Data'!I$7,1,IF(AND(Q208&gt;'Specification &amp; Data'!I$7,Q208&lt;='Specification &amp; Data'!I$8),2,IF(Q208&gt;'Specification &amp; Data'!I$8,3)))</f>
        <v>3</v>
      </c>
      <c r="M208" s="31">
        <v>2</v>
      </c>
      <c r="N208" s="31">
        <f t="shared" si="3"/>
        <v>203</v>
      </c>
      <c r="O208" s="27">
        <f>O207+(1/Simulation!Q208)</f>
        <v>36.726747276506813</v>
      </c>
      <c r="P208" s="38">
        <f>Simulation!Q208*3.6</f>
        <v>39.146361593253083</v>
      </c>
      <c r="Q208" s="38">
        <f>MIN('Specification &amp; Data'!I$9,SQRT(2*Simulation!R207+Simulation!Q207^2))</f>
        <v>10.873989331459189</v>
      </c>
      <c r="R208" s="38">
        <f>-1.2*Table37[[#This Row],[Column15]]/Table37[[#This Row],[Column20]]</f>
        <v>-1.1354130943859939</v>
      </c>
      <c r="S208" s="27">
        <f>'Specification &amp; Data'!B$11*'Specification &amp; Data'!B$21*'Specification &amp; Data'!B$23*Simulation!Q208^2/2</f>
        <v>55.589405457882854</v>
      </c>
      <c r="T208" s="27">
        <f>IF(AND(M208=1,L208=1),'Specification &amp; Data'!E$14,IF(AND(M208=1,L208=2),'Specification &amp; Data'!E$15,IF(AND(M208=1,L208=3),'Specification &amp; Data'!E$16,IF(AND(M208=2,L208=1),'Specification &amp; Data'!F$14,IF(AND(M208=2,L208=2),'Specification &amp; Data'!F$15,IF(AND(M208=2,L208=3),'Specification &amp; Data'!F$16,IF(AND(M208=3,L208=1),'Specification &amp; Data'!I$14,IF(AND(M208=3,L208=2),'Specification &amp; Data'!I$15,IF(AND(M208=3,L208=3),'Specification &amp; Data'!I$16)))))))))</f>
        <v>102.35950200000001</v>
      </c>
      <c r="U208" s="27">
        <f>IF(AND(M208=1,L208=1),'Specification &amp; Data'!E$24,IF(AND(M208=1,L208=2),'Specification &amp; Data'!E$25,IF(AND(M208=1,L208=3),'Specification &amp; Data'!E$26,IF(M208=2,0,IF(AND(M208=3,L208=1),'Specification &amp; Data'!I$24,IF(AND(M208=3,L208=2),'Specification &amp; Data'!I$25,IF(AND(M208=3,L208=3),'Specification &amp; Data'!I$26)))))))</f>
        <v>0</v>
      </c>
      <c r="V208" s="27">
        <f>'Specification &amp; Data'!B$46-Simulation!S208-Simulation!T208-Simulation!U208</f>
        <v>549.95250986495159</v>
      </c>
      <c r="W208" s="27">
        <f>Simulation!V208/Simulation!Y208</f>
        <v>0.94617757865499508</v>
      </c>
      <c r="X208" s="27">
        <f>60*Simulation!Q208/(2*'Specification &amp; Data'!B$15*PI())</f>
        <v>408.81476060557424</v>
      </c>
      <c r="Y208" s="27">
        <f>IF(L208=1,'Specification &amp; Data'!B$56,IF(L208=2,'Specification &amp; Data'!B$57,IF(L208=3,'Specification &amp; Data'!B$58)))</f>
        <v>581.23604096253996</v>
      </c>
      <c r="Z208" s="38">
        <f>Simulation!Y208*Simulation!Q208^2/(2*1000)</f>
        <v>34.363733748159653</v>
      </c>
    </row>
    <row r="209" spans="7:26">
      <c r="G209" s="44">
        <v>6200</v>
      </c>
      <c r="H209" s="44">
        <v>17.440000000000001</v>
      </c>
      <c r="I209" s="38">
        <f>Simulation!H209*746/1000</f>
        <v>13.010240000000001</v>
      </c>
      <c r="J209" s="38">
        <f>60*1000*Simulation!I209/(2*PI()*Simulation!G209)</f>
        <v>20.038490388502264</v>
      </c>
      <c r="K209" s="37">
        <v>494.4</v>
      </c>
      <c r="L209" s="27">
        <f>IF(Q209&lt;='Specification &amp; Data'!I$7,1,IF(AND(Q209&gt;'Specification &amp; Data'!I$7,Q209&lt;='Specification &amp; Data'!I$8),2,IF(Q209&gt;'Specification &amp; Data'!I$8,3)))</f>
        <v>3</v>
      </c>
      <c r="M209" s="31">
        <v>2</v>
      </c>
      <c r="N209" s="31">
        <f t="shared" si="3"/>
        <v>204</v>
      </c>
      <c r="O209" s="27">
        <f>O208+(1/Simulation!Q209)</f>
        <v>36.819605825975941</v>
      </c>
      <c r="P209" s="38">
        <f>Simulation!Q209*3.6</f>
        <v>38.768643496816274</v>
      </c>
      <c r="Q209" s="38">
        <f>MIN('Specification &amp; Data'!I$9,SQRT(2*Simulation!R208+Simulation!Q208^2))</f>
        <v>10.76906763800452</v>
      </c>
      <c r="R209" s="38">
        <f>-1.2*Table37[[#This Row],[Column15]]/Table37[[#This Row],[Column20]]</f>
        <v>-1.1376171717192167</v>
      </c>
      <c r="S209" s="27">
        <f>'Specification &amp; Data'!B$11*'Specification &amp; Data'!B$21*'Specification &amp; Data'!B$23*Simulation!Q209^2/2</f>
        <v>54.521831138601534</v>
      </c>
      <c r="T209" s="27">
        <f>IF(AND(M209=1,L209=1),'Specification &amp; Data'!E$14,IF(AND(M209=1,L209=2),'Specification &amp; Data'!E$15,IF(AND(M209=1,L209=3),'Specification &amp; Data'!E$16,IF(AND(M209=2,L209=1),'Specification &amp; Data'!F$14,IF(AND(M209=2,L209=2),'Specification &amp; Data'!F$15,IF(AND(M209=2,L209=3),'Specification &amp; Data'!F$16,IF(AND(M209=3,L209=1),'Specification &amp; Data'!I$14,IF(AND(M209=3,L209=2),'Specification &amp; Data'!I$15,IF(AND(M209=3,L209=3),'Specification &amp; Data'!I$16)))))))))</f>
        <v>102.35950200000001</v>
      </c>
      <c r="U209" s="27">
        <f>IF(AND(M209=1,L209=1),'Specification &amp; Data'!E$24,IF(AND(M209=1,L209=2),'Specification &amp; Data'!E$25,IF(AND(M209=1,L209=3),'Specification &amp; Data'!E$26,IF(M209=2,0,IF(AND(M209=3,L209=1),'Specification &amp; Data'!I$24,IF(AND(M209=3,L209=2),'Specification &amp; Data'!I$25,IF(AND(M209=3,L209=3),'Specification &amp; Data'!I$26)))))))</f>
        <v>0</v>
      </c>
      <c r="V209" s="27">
        <f>'Specification &amp; Data'!B$46-Simulation!S209-Simulation!T209-Simulation!U209</f>
        <v>551.02008418423293</v>
      </c>
      <c r="W209" s="27">
        <f>Simulation!V209/Simulation!Y209</f>
        <v>0.94801430976601397</v>
      </c>
      <c r="X209" s="27">
        <f>60*Simulation!Q209/(2*'Specification &amp; Data'!B$15*PI())</f>
        <v>404.87016072741289</v>
      </c>
      <c r="Y209" s="27">
        <f>IF(L209=1,'Specification &amp; Data'!B$56,IF(L209=2,'Specification &amp; Data'!B$57,IF(L209=3,'Specification &amp; Data'!B$58)))</f>
        <v>581.23604096253996</v>
      </c>
      <c r="Z209" s="38">
        <f>Simulation!Y209*Simulation!Q209^2/(2*1000)</f>
        <v>33.703790736321707</v>
      </c>
    </row>
    <row r="210" spans="7:26">
      <c r="G210" s="44">
        <v>6200</v>
      </c>
      <c r="H210" s="44">
        <v>17.440000000000001</v>
      </c>
      <c r="I210" s="38">
        <f>Simulation!H210*746/1000</f>
        <v>13.010240000000001</v>
      </c>
      <c r="J210" s="38">
        <f>60*1000*Simulation!I210/(2*PI()*Simulation!G210)</f>
        <v>20.038490388502264</v>
      </c>
      <c r="K210" s="37">
        <v>494.4</v>
      </c>
      <c r="L210" s="27">
        <f>IF(Q210&lt;='Specification &amp; Data'!I$7,1,IF(AND(Q210&gt;'Specification &amp; Data'!I$7,Q210&lt;='Specification &amp; Data'!I$8),2,IF(Q210&gt;'Specification &amp; Data'!I$8,3)))</f>
        <v>3</v>
      </c>
      <c r="M210" s="31">
        <v>2</v>
      </c>
      <c r="N210" s="31">
        <f t="shared" si="3"/>
        <v>205</v>
      </c>
      <c r="O210" s="27">
        <f>O209+(1/Simulation!Q210)</f>
        <v>36.913388882497038</v>
      </c>
      <c r="P210" s="38">
        <f>Simulation!Q210*3.6</f>
        <v>38.386464821500205</v>
      </c>
      <c r="Q210" s="38">
        <f>MIN('Specification &amp; Data'!I$9,SQRT(2*Simulation!R209+Simulation!Q209^2))</f>
        <v>10.662906894861168</v>
      </c>
      <c r="R210" s="38">
        <f>-1.2*Table37[[#This Row],[Column15]]/Table37[[#This Row],[Column20]]</f>
        <v>-1.1398255276334377</v>
      </c>
      <c r="S210" s="27">
        <f>'Specification &amp; Data'!B$11*'Specification &amp; Data'!B$21*'Specification &amp; Data'!B$23*Simulation!Q210^2/2</f>
        <v>53.452184431419916</v>
      </c>
      <c r="T210" s="27">
        <f>IF(AND(M210=1,L210=1),'Specification &amp; Data'!E$14,IF(AND(M210=1,L210=2),'Specification &amp; Data'!E$15,IF(AND(M210=1,L210=3),'Specification &amp; Data'!E$16,IF(AND(M210=2,L210=1),'Specification &amp; Data'!F$14,IF(AND(M210=2,L210=2),'Specification &amp; Data'!F$15,IF(AND(M210=2,L210=3),'Specification &amp; Data'!F$16,IF(AND(M210=3,L210=1),'Specification &amp; Data'!I$14,IF(AND(M210=3,L210=2),'Specification &amp; Data'!I$15,IF(AND(M210=3,L210=3),'Specification &amp; Data'!I$16)))))))))</f>
        <v>102.35950200000001</v>
      </c>
      <c r="U210" s="27">
        <f>IF(AND(M210=1,L210=1),'Specification &amp; Data'!E$24,IF(AND(M210=1,L210=2),'Specification &amp; Data'!E$25,IF(AND(M210=1,L210=3),'Specification &amp; Data'!E$26,IF(M210=2,0,IF(AND(M210=3,L210=1),'Specification &amp; Data'!I$24,IF(AND(M210=3,L210=2),'Specification &amp; Data'!I$25,IF(AND(M210=3,L210=3),'Specification &amp; Data'!I$26)))))))</f>
        <v>0</v>
      </c>
      <c r="V210" s="27">
        <f>'Specification &amp; Data'!B$46-Simulation!S210-Simulation!T210-Simulation!U210</f>
        <v>552.08973089141455</v>
      </c>
      <c r="W210" s="27">
        <f>Simulation!V210/Simulation!Y210</f>
        <v>0.94985460636119801</v>
      </c>
      <c r="X210" s="27">
        <f>60*Simulation!Q210/(2*'Specification &amp; Data'!B$15*PI())</f>
        <v>400.87897796357657</v>
      </c>
      <c r="Y210" s="27">
        <f>IF(L210=1,'Specification &amp; Data'!B$56,IF(L210=2,'Specification &amp; Data'!B$57,IF(L210=3,'Specification &amp; Data'!B$58)))</f>
        <v>581.23604096253996</v>
      </c>
      <c r="Z210" s="38">
        <f>Simulation!Y210*Simulation!Q210^2/(2*1000)</f>
        <v>33.042566635300631</v>
      </c>
    </row>
    <row r="211" spans="7:26">
      <c r="G211" s="44">
        <v>6200</v>
      </c>
      <c r="H211" s="44">
        <v>17.440000000000001</v>
      </c>
      <c r="I211" s="38">
        <f>Simulation!H211*746/1000</f>
        <v>13.010240000000001</v>
      </c>
      <c r="J211" s="38">
        <f>60*1000*Simulation!I211/(2*PI()*Simulation!G211)</f>
        <v>20.038490388502264</v>
      </c>
      <c r="K211" s="37">
        <v>494.4</v>
      </c>
      <c r="L211" s="27">
        <f>IF(Q211&lt;='Specification &amp; Data'!I$7,1,IF(AND(Q211&gt;'Specification &amp; Data'!I$7,Q211&lt;='Specification &amp; Data'!I$8),2,IF(Q211&gt;'Specification &amp; Data'!I$8,3)))</f>
        <v>3</v>
      </c>
      <c r="M211" s="31">
        <v>2</v>
      </c>
      <c r="N211" s="31">
        <f t="shared" si="3"/>
        <v>206</v>
      </c>
      <c r="O211" s="27">
        <f>O210+(1/Simulation!Q211)</f>
        <v>37.00812649865194</v>
      </c>
      <c r="P211" s="38">
        <f>Simulation!Q211*3.6</f>
        <v>37.999689522626554</v>
      </c>
      <c r="Q211" s="38">
        <f>MIN('Specification &amp; Data'!I$9,SQRT(2*Simulation!R210+Simulation!Q210^2))</f>
        <v>10.555469311840708</v>
      </c>
      <c r="R211" s="38">
        <f>-1.2*Table37[[#This Row],[Column15]]/Table37[[#This Row],[Column20]]</f>
        <v>-1.1420381704342888</v>
      </c>
      <c r="S211" s="27">
        <f>'Specification &amp; Data'!B$11*'Specification &amp; Data'!B$21*'Specification &amp; Data'!B$23*Simulation!Q211^2/2</f>
        <v>52.380461313394079</v>
      </c>
      <c r="T211" s="27">
        <f>IF(AND(M211=1,L211=1),'Specification &amp; Data'!E$14,IF(AND(M211=1,L211=2),'Specification &amp; Data'!E$15,IF(AND(M211=1,L211=3),'Specification &amp; Data'!E$16,IF(AND(M211=2,L211=1),'Specification &amp; Data'!F$14,IF(AND(M211=2,L211=2),'Specification &amp; Data'!F$15,IF(AND(M211=2,L211=3),'Specification &amp; Data'!F$16,IF(AND(M211=3,L211=1),'Specification &amp; Data'!I$14,IF(AND(M211=3,L211=2),'Specification &amp; Data'!I$15,IF(AND(M211=3,L211=3),'Specification &amp; Data'!I$16)))))))))</f>
        <v>102.35950200000001</v>
      </c>
      <c r="U211" s="27">
        <f>IF(AND(M211=1,L211=1),'Specification &amp; Data'!E$24,IF(AND(M211=1,L211=2),'Specification &amp; Data'!E$25,IF(AND(M211=1,L211=3),'Specification &amp; Data'!E$26,IF(M211=2,0,IF(AND(M211=3,L211=1),'Specification &amp; Data'!I$24,IF(AND(M211=3,L211=2),'Specification &amp; Data'!I$25,IF(AND(M211=3,L211=3),'Specification &amp; Data'!I$26)))))))</f>
        <v>0</v>
      </c>
      <c r="V211" s="27">
        <f>'Specification &amp; Data'!B$46-Simulation!S211-Simulation!T211-Simulation!U211</f>
        <v>553.16145400944038</v>
      </c>
      <c r="W211" s="27">
        <f>Simulation!V211/Simulation!Y211</f>
        <v>0.95169847536190733</v>
      </c>
      <c r="X211" s="27">
        <f>60*Simulation!Q211/(2*'Specification &amp; Data'!B$15*PI())</f>
        <v>396.83979156714702</v>
      </c>
      <c r="Y211" s="27">
        <f>IF(L211=1,'Specification &amp; Data'!B$56,IF(L211=2,'Specification &amp; Data'!B$57,IF(L211=3,'Specification &amp; Data'!B$58)))</f>
        <v>581.23604096253996</v>
      </c>
      <c r="Z211" s="38">
        <f>Simulation!Y211*Simulation!Q211^2/(2*1000)</f>
        <v>32.38005895823094</v>
      </c>
    </row>
    <row r="212" spans="7:26">
      <c r="G212" s="44">
        <v>6300</v>
      </c>
      <c r="H212" s="44">
        <v>17.5</v>
      </c>
      <c r="I212" s="38">
        <f>Simulation!H212*746/1000</f>
        <v>13.055</v>
      </c>
      <c r="J212" s="38">
        <f>60*1000*Simulation!I212/(2*PI()*Simulation!G212)</f>
        <v>19.788264591092322</v>
      </c>
      <c r="K212" s="37">
        <v>494.4</v>
      </c>
      <c r="L212" s="27">
        <f>IF(Q212&lt;='Specification &amp; Data'!I$7,1,IF(AND(Q212&gt;'Specification &amp; Data'!I$7,Q212&lt;='Specification &amp; Data'!I$8),2,IF(Q212&gt;'Specification &amp; Data'!I$8,3)))</f>
        <v>3</v>
      </c>
      <c r="M212" s="31">
        <v>2</v>
      </c>
      <c r="N212" s="31">
        <f t="shared" si="3"/>
        <v>207</v>
      </c>
      <c r="O212" s="27">
        <f>O211+(1/Simulation!Q212)</f>
        <v>37.103850368972076</v>
      </c>
      <c r="P212" s="38">
        <f>Simulation!Q212*3.6</f>
        <v>37.60817430344575</v>
      </c>
      <c r="Q212" s="38">
        <f>MIN('Specification &amp; Data'!I$9,SQRT(2*Simulation!R211+Simulation!Q211^2))</f>
        <v>10.446715084290487</v>
      </c>
      <c r="R212" s="38">
        <f>-1.2*Table37[[#This Row],[Column15]]/Table37[[#This Row],[Column20]]</f>
        <v>-1.1442551084435253</v>
      </c>
      <c r="S212" s="27">
        <f>'Specification &amp; Data'!B$11*'Specification &amp; Data'!B$21*'Specification &amp; Data'!B$23*Simulation!Q212^2/2</f>
        <v>51.306657753770722</v>
      </c>
      <c r="T212" s="27">
        <f>IF(AND(M212=1,L212=1),'Specification &amp; Data'!E$14,IF(AND(M212=1,L212=2),'Specification &amp; Data'!E$15,IF(AND(M212=1,L212=3),'Specification &amp; Data'!E$16,IF(AND(M212=2,L212=1),'Specification &amp; Data'!F$14,IF(AND(M212=2,L212=2),'Specification &amp; Data'!F$15,IF(AND(M212=2,L212=3),'Specification &amp; Data'!F$16,IF(AND(M212=3,L212=1),'Specification &amp; Data'!I$14,IF(AND(M212=3,L212=2),'Specification &amp; Data'!I$15,IF(AND(M212=3,L212=3),'Specification &amp; Data'!I$16)))))))))</f>
        <v>102.35950200000001</v>
      </c>
      <c r="U212" s="27">
        <f>IF(AND(M212=1,L212=1),'Specification &amp; Data'!E$24,IF(AND(M212=1,L212=2),'Specification &amp; Data'!E$25,IF(AND(M212=1,L212=3),'Specification &amp; Data'!E$26,IF(M212=2,0,IF(AND(M212=3,L212=1),'Specification &amp; Data'!I$24,IF(AND(M212=3,L212=2),'Specification &amp; Data'!I$25,IF(AND(M212=3,L212=3),'Specification &amp; Data'!I$26)))))))</f>
        <v>0</v>
      </c>
      <c r="V212" s="27">
        <f>'Specification &amp; Data'!B$46-Simulation!S212-Simulation!T212-Simulation!U212</f>
        <v>554.23525756906372</v>
      </c>
      <c r="W212" s="27">
        <f>Simulation!V212/Simulation!Y212</f>
        <v>0.95354592370293778</v>
      </c>
      <c r="X212" s="27">
        <f>60*Simulation!Q212/(2*'Specification &amp; Data'!B$15*PI())</f>
        <v>392.75110505610172</v>
      </c>
      <c r="Y212" s="27">
        <f>IF(L212=1,'Specification &amp; Data'!B$56,IF(L212=2,'Specification &amp; Data'!B$57,IF(L212=3,'Specification &amp; Data'!B$58)))</f>
        <v>581.23604096253996</v>
      </c>
      <c r="Z212" s="38">
        <f>Simulation!Y212*Simulation!Q212^2/(2*1000)</f>
        <v>31.716265213419611</v>
      </c>
    </row>
    <row r="213" spans="7:26">
      <c r="G213" s="44">
        <v>6300</v>
      </c>
      <c r="H213" s="44">
        <v>17.5</v>
      </c>
      <c r="I213" s="38">
        <f>Simulation!H213*746/1000</f>
        <v>13.055</v>
      </c>
      <c r="J213" s="38">
        <f>60*1000*Simulation!I213/(2*PI()*Simulation!G213)</f>
        <v>19.788264591092322</v>
      </c>
      <c r="K213" s="37">
        <v>494.4</v>
      </c>
      <c r="L213" s="27">
        <f>IF(Q213&lt;='Specification &amp; Data'!I$7,1,IF(AND(Q213&gt;'Specification &amp; Data'!I$7,Q213&lt;='Specification &amp; Data'!I$8),2,IF(Q213&gt;'Specification &amp; Data'!I$8,3)))</f>
        <v>2</v>
      </c>
      <c r="M213" s="31">
        <v>2</v>
      </c>
      <c r="N213" s="31">
        <f t="shared" si="3"/>
        <v>208</v>
      </c>
      <c r="O213" s="27">
        <f>O212+(1/Simulation!Q213)</f>
        <v>37.200593958106467</v>
      </c>
      <c r="P213" s="38">
        <f>Simulation!Q213*3.6</f>
        <v>37.211768058337427</v>
      </c>
      <c r="Q213" s="38">
        <f>MIN('Specification &amp; Data'!I$9,SQRT(2*Simulation!R212+Simulation!Q212^2))</f>
        <v>10.336602238427062</v>
      </c>
      <c r="R213" s="38">
        <f>-1.2*Table37[[#This Row],[Column15]]/Table37[[#This Row],[Column20]]</f>
        <v>-1.1384321700416109</v>
      </c>
      <c r="S213" s="27">
        <f>'Specification &amp; Data'!B$11*'Specification &amp; Data'!B$21*'Specification &amp; Data'!B$23*Simulation!Q213^2/2</f>
        <v>50.230769713971988</v>
      </c>
      <c r="T213" s="27">
        <f>IF(AND(M213=1,L213=1),'Specification &amp; Data'!E$14,IF(AND(M213=1,L213=2),'Specification &amp; Data'!E$15,IF(AND(M213=1,L213=3),'Specification &amp; Data'!E$16,IF(AND(M213=2,L213=1),'Specification &amp; Data'!F$14,IF(AND(M213=2,L213=2),'Specification &amp; Data'!F$15,IF(AND(M213=2,L213=3),'Specification &amp; Data'!F$16,IF(AND(M213=3,L213=1),'Specification &amp; Data'!I$14,IF(AND(M213=3,L213=2),'Specification &amp; Data'!I$15,IF(AND(M213=3,L213=3),'Specification &amp; Data'!I$16)))))))))</f>
        <v>102.35950200000001</v>
      </c>
      <c r="U213" s="27">
        <f>IF(AND(M213=1,L213=1),'Specification &amp; Data'!E$24,IF(AND(M213=1,L213=2),'Specification &amp; Data'!E$25,IF(AND(M213=1,L213=3),'Specification &amp; Data'!E$26,IF(M213=2,0,IF(AND(M213=3,L213=1),'Specification &amp; Data'!I$24,IF(AND(M213=3,L213=2),'Specification &amp; Data'!I$25,IF(AND(M213=3,L213=3),'Specification &amp; Data'!I$26)))))))</f>
        <v>0</v>
      </c>
      <c r="V213" s="27">
        <f>'Specification &amp; Data'!B$46-Simulation!S213-Simulation!T213-Simulation!U213</f>
        <v>555.31114560886249</v>
      </c>
      <c r="W213" s="27">
        <f>Simulation!V213/Simulation!Y213</f>
        <v>0.94869347503467583</v>
      </c>
      <c r="X213" s="27">
        <f>60*Simulation!Q213/(2*'Specification &amp; Data'!B$15*PI())</f>
        <v>388.61134039852368</v>
      </c>
      <c r="Y213" s="27">
        <f>IF(L213=1,'Specification &amp; Data'!B$56,IF(L213=2,'Specification &amp; Data'!B$57,IF(L213=3,'Specification &amp; Data'!B$58)))</f>
        <v>585.34306414257276</v>
      </c>
      <c r="Z213" s="38">
        <f>Simulation!Y213*Simulation!Q213^2/(2*1000)</f>
        <v>31.270591060349155</v>
      </c>
    </row>
    <row r="214" spans="7:26">
      <c r="G214" s="44">
        <v>6300</v>
      </c>
      <c r="H214" s="44">
        <v>17.5</v>
      </c>
      <c r="I214" s="38">
        <f>Simulation!H214*746/1000</f>
        <v>13.055</v>
      </c>
      <c r="J214" s="38">
        <f>60*1000*Simulation!I214/(2*PI()*Simulation!G214)</f>
        <v>19.788264591092322</v>
      </c>
      <c r="K214" s="37">
        <v>494.4</v>
      </c>
      <c r="L214" s="27">
        <f>IF(Q214&lt;='Specification &amp; Data'!I$7,1,IF(AND(Q214&gt;'Specification &amp; Data'!I$7,Q214&lt;='Specification &amp; Data'!I$8),2,IF(Q214&gt;'Specification &amp; Data'!I$8,3)))</f>
        <v>2</v>
      </c>
      <c r="M214" s="31">
        <v>2</v>
      </c>
      <c r="N214" s="31">
        <f t="shared" si="3"/>
        <v>209</v>
      </c>
      <c r="O214" s="27">
        <f>O213+(1/Simulation!Q214)</f>
        <v>37.298385118451762</v>
      </c>
      <c r="P214" s="38">
        <f>Simulation!Q214*3.6</f>
        <v>36.813143307520249</v>
      </c>
      <c r="Q214" s="38">
        <f>MIN('Specification &amp; Data'!I$9,SQRT(2*Simulation!R213+Simulation!Q213^2))</f>
        <v>10.225873140977846</v>
      </c>
      <c r="R214" s="38">
        <f>-1.2*Table37[[#This Row],[Column15]]/Table37[[#This Row],[Column20]]</f>
        <v>-1.1406266021477891</v>
      </c>
      <c r="S214" s="27">
        <f>'Specification &amp; Data'!B$11*'Specification &amp; Data'!B$21*'Specification &amp; Data'!B$23*Simulation!Q214^2/2</f>
        <v>49.16035670306924</v>
      </c>
      <c r="T214" s="27">
        <f>IF(AND(M214=1,L214=1),'Specification &amp; Data'!E$14,IF(AND(M214=1,L214=2),'Specification &amp; Data'!E$15,IF(AND(M214=1,L214=3),'Specification &amp; Data'!E$16,IF(AND(M214=2,L214=1),'Specification &amp; Data'!F$14,IF(AND(M214=2,L214=2),'Specification &amp; Data'!F$15,IF(AND(M214=2,L214=3),'Specification &amp; Data'!F$16,IF(AND(M214=3,L214=1),'Specification &amp; Data'!I$14,IF(AND(M214=3,L214=2),'Specification &amp; Data'!I$15,IF(AND(M214=3,L214=3),'Specification &amp; Data'!I$16)))))))))</f>
        <v>102.35950200000001</v>
      </c>
      <c r="U214" s="27">
        <f>IF(AND(M214=1,L214=1),'Specification &amp; Data'!E$24,IF(AND(M214=1,L214=2),'Specification &amp; Data'!E$25,IF(AND(M214=1,L214=3),'Specification &amp; Data'!E$26,IF(M214=2,0,IF(AND(M214=3,L214=1),'Specification &amp; Data'!I$24,IF(AND(M214=3,L214=2),'Specification &amp; Data'!I$25,IF(AND(M214=3,L214=3),'Specification &amp; Data'!I$26)))))))</f>
        <v>0</v>
      </c>
      <c r="V214" s="27">
        <f>'Specification &amp; Data'!B$46-Simulation!S214-Simulation!T214-Simulation!U214</f>
        <v>556.3815586197652</v>
      </c>
      <c r="W214" s="27">
        <f>Simulation!V214/Simulation!Y214</f>
        <v>0.95052216845649107</v>
      </c>
      <c r="X214" s="27">
        <f>60*Simulation!Q214/(2*'Specification &amp; Data'!B$15*PI())</f>
        <v>384.44840735841029</v>
      </c>
      <c r="Y214" s="27">
        <f>IF(L214=1,'Specification &amp; Data'!B$56,IF(L214=2,'Specification &amp; Data'!B$57,IF(L214=3,'Specification &amp; Data'!B$58)))</f>
        <v>585.34306414257276</v>
      </c>
      <c r="Z214" s="38">
        <f>Simulation!Y214*Simulation!Q214^2/(2*1000)</f>
        <v>30.604217685618519</v>
      </c>
    </row>
    <row r="215" spans="7:26">
      <c r="G215" s="44">
        <v>6300</v>
      </c>
      <c r="H215" s="44">
        <v>17.5</v>
      </c>
      <c r="I215" s="38">
        <f>Simulation!H215*746/1000</f>
        <v>13.055</v>
      </c>
      <c r="J215" s="38">
        <f>60*1000*Simulation!I215/(2*PI()*Simulation!G215)</f>
        <v>19.788264591092322</v>
      </c>
      <c r="K215" s="37">
        <v>494.4</v>
      </c>
      <c r="L215" s="27">
        <f>IF(Q215&lt;='Specification &amp; Data'!I$7,1,IF(AND(Q215&gt;'Specification &amp; Data'!I$7,Q215&lt;='Specification &amp; Data'!I$8),2,IF(Q215&gt;'Specification &amp; Data'!I$8,3)))</f>
        <v>2</v>
      </c>
      <c r="M215" s="31">
        <v>2</v>
      </c>
      <c r="N215" s="31">
        <f t="shared" si="3"/>
        <v>210</v>
      </c>
      <c r="O215" s="27">
        <f>O214+(1/Simulation!Q215)</f>
        <v>37.397260755518516</v>
      </c>
      <c r="P215" s="38">
        <f>Simulation!Q215*3.6</f>
        <v>36.409373499860614</v>
      </c>
      <c r="Q215" s="38">
        <f>MIN('Specification &amp; Data'!I$9,SQRT(2*Simulation!R214+Simulation!Q214^2))</f>
        <v>10.113714861072392</v>
      </c>
      <c r="R215" s="38">
        <f>-1.2*Table37[[#This Row],[Column15]]/Table37[[#This Row],[Column20]]</f>
        <v>-1.1428252642225114</v>
      </c>
      <c r="S215" s="27">
        <f>'Specification &amp; Data'!B$11*'Specification &amp; Data'!B$21*'Specification &amp; Data'!B$23*Simulation!Q215^2/2</f>
        <v>48.087880373209238</v>
      </c>
      <c r="T215" s="27">
        <f>IF(AND(M215=1,L215=1),'Specification &amp; Data'!E$14,IF(AND(M215=1,L215=2),'Specification &amp; Data'!E$15,IF(AND(M215=1,L215=3),'Specification &amp; Data'!E$16,IF(AND(M215=2,L215=1),'Specification &amp; Data'!F$14,IF(AND(M215=2,L215=2),'Specification &amp; Data'!F$15,IF(AND(M215=2,L215=3),'Specification &amp; Data'!F$16,IF(AND(M215=3,L215=1),'Specification &amp; Data'!I$14,IF(AND(M215=3,L215=2),'Specification &amp; Data'!I$15,IF(AND(M215=3,L215=3),'Specification &amp; Data'!I$16)))))))))</f>
        <v>102.35950200000001</v>
      </c>
      <c r="U215" s="27">
        <f>IF(AND(M215=1,L215=1),'Specification &amp; Data'!E$24,IF(AND(M215=1,L215=2),'Specification &amp; Data'!E$25,IF(AND(M215=1,L215=3),'Specification &amp; Data'!E$26,IF(M215=2,0,IF(AND(M215=3,L215=1),'Specification &amp; Data'!I$24,IF(AND(M215=3,L215=2),'Specification &amp; Data'!I$25,IF(AND(M215=3,L215=3),'Specification &amp; Data'!I$26)))))))</f>
        <v>0</v>
      </c>
      <c r="V215" s="27">
        <f>'Specification &amp; Data'!B$46-Simulation!S215-Simulation!T215-Simulation!U215</f>
        <v>557.45403494962522</v>
      </c>
      <c r="W215" s="27">
        <f>Simulation!V215/Simulation!Y215</f>
        <v>0.95235438685209295</v>
      </c>
      <c r="X215" s="27">
        <f>60*Simulation!Q215/(2*'Specification &amp; Data'!B$15*PI())</f>
        <v>380.23174326652742</v>
      </c>
      <c r="Y215" s="27">
        <f>IF(L215=1,'Specification &amp; Data'!B$56,IF(L215=2,'Specification &amp; Data'!B$57,IF(L215=3,'Specification &amp; Data'!B$58)))</f>
        <v>585.34306414257276</v>
      </c>
      <c r="Z215" s="38">
        <f>Simulation!Y215*Simulation!Q215^2/(2*1000)</f>
        <v>29.936559815274798</v>
      </c>
    </row>
    <row r="216" spans="7:26">
      <c r="G216" s="44">
        <v>6400</v>
      </c>
      <c r="H216" s="44">
        <v>17.8</v>
      </c>
      <c r="I216" s="38">
        <f>Simulation!H216*746/1000</f>
        <v>13.2788</v>
      </c>
      <c r="J216" s="38">
        <f>60*1000*Simulation!I216/(2*PI()*Simulation!G216)</f>
        <v>19.812999921831185</v>
      </c>
      <c r="K216" s="37">
        <v>504.47</v>
      </c>
      <c r="L216" s="27">
        <f>IF(Q216&lt;='Specification &amp; Data'!I$7,1,IF(AND(Q216&gt;'Specification &amp; Data'!I$7,Q216&lt;='Specification &amp; Data'!I$8),2,IF(Q216&gt;'Specification &amp; Data'!I$8,3)))</f>
        <v>2</v>
      </c>
      <c r="M216" s="35">
        <v>3</v>
      </c>
      <c r="N216" s="33">
        <f t="shared" si="3"/>
        <v>211</v>
      </c>
      <c r="O216" s="27">
        <f>O215+(1/Simulation!Q216)</f>
        <v>37.497259966646538</v>
      </c>
      <c r="P216" s="38">
        <f>Simulation!Q216*3.6</f>
        <v>36.000283996153485</v>
      </c>
      <c r="Q216" s="38">
        <f>MIN('Specification &amp; Data'!I$9,SQRT(2*Simulation!R215+Simulation!Q215^2))</f>
        <v>10.000078887820411</v>
      </c>
      <c r="R216" s="15">
        <f>IF(Q216=Q215,0,IF(Q216&lt;&gt;Q215,Simulation!V216/Simulation!Y216))</f>
        <v>1.2911672646449974</v>
      </c>
      <c r="S216" s="15">
        <f>'Specification &amp; Data'!B$11*'Specification &amp; Data'!B$21*'Specification &amp; Data'!B$23*(Simulation!Q216-'Specification &amp; Data'!B$22)^2/2</f>
        <v>28.383443304947658</v>
      </c>
      <c r="T216" s="27">
        <f>IF(AND(M216=1,L216=1),'Specification &amp; Data'!E$14,IF(AND(M216=1,L216=2),'Specification &amp; Data'!E$15,IF(AND(M216=1,L216=3),'Specification &amp; Data'!E$16,IF(AND(M216=2,L216=1),'Specification &amp; Data'!F$14,IF(AND(M216=2,L216=2),'Specification &amp; Data'!F$15,IF(AND(M216=2,L216=3),'Specification &amp; Data'!F$16,IF(AND(M216=3,L216=1),'Specification &amp; Data'!I$14,IF(AND(M216=3,L216=2),'Specification &amp; Data'!I$15,IF(AND(M216=3,L216=3),'Specification &amp; Data'!I$16)))))))))</f>
        <v>102.35950200000001</v>
      </c>
      <c r="U216" s="27">
        <f>IF(AND(M216=1,L216=1),'Specification &amp; Data'!E$24,IF(AND(M216=1,L216=2),'Specification &amp; Data'!E$25,IF(AND(M216=1,L216=3),'Specification &amp; Data'!E$26,IF(M216=2,0,IF(AND(M216=3,L216=1),'Specification &amp; Data'!I$24,IF(AND(M216=3,L216=2),'Specification &amp; Data'!I$25,IF(AND(M216=3,L216=3),'Specification &amp; Data'!I$26)))))))</f>
        <v>-178.61733099000003</v>
      </c>
      <c r="V216" s="27">
        <f>'Specification &amp; Data'!B$46-Simulation!S216-Simulation!T216-Simulation!U216</f>
        <v>755.77580300788691</v>
      </c>
      <c r="W216" s="27">
        <f>Simulation!V216/Simulation!Y216</f>
        <v>1.2911672646449974</v>
      </c>
      <c r="X216" s="27">
        <f>60*Simulation!Q216/(2*'Specification &amp; Data'!B$15*PI())</f>
        <v>375.95952432413895</v>
      </c>
      <c r="Y216" s="27">
        <f>IF(L216=1,'Specification &amp; Data'!B$56,IF(L216=2,'Specification &amp; Data'!B$57,IF(L216=3,'Specification &amp; Data'!B$58)))</f>
        <v>585.34306414257276</v>
      </c>
      <c r="Z216" s="38">
        <f>Simulation!Y216*Simulation!Q216^2/(2*1000)</f>
        <v>29.267614973335245</v>
      </c>
    </row>
    <row r="217" spans="7:26">
      <c r="G217" s="44">
        <v>6400</v>
      </c>
      <c r="H217" s="44">
        <v>17.8</v>
      </c>
      <c r="I217" s="38">
        <f>Simulation!H217*746/1000</f>
        <v>13.2788</v>
      </c>
      <c r="J217" s="38">
        <f>60*1000*Simulation!I217/(2*PI()*Simulation!G217)</f>
        <v>19.812999921831185</v>
      </c>
      <c r="K217" s="37">
        <v>504.47</v>
      </c>
      <c r="L217" s="27">
        <f>IF(Q217&lt;='Specification &amp; Data'!I$7,1,IF(AND(Q217&gt;'Specification &amp; Data'!I$7,Q217&lt;='Specification &amp; Data'!I$8),2,IF(Q217&gt;'Specification &amp; Data'!I$8,3)))</f>
        <v>2</v>
      </c>
      <c r="M217" s="35">
        <v>3</v>
      </c>
      <c r="N217" s="33">
        <f t="shared" si="3"/>
        <v>212</v>
      </c>
      <c r="O217" s="27">
        <f>O216+(1/Simulation!Q217)</f>
        <v>37.595992520555583</v>
      </c>
      <c r="P217" s="38">
        <f>Simulation!Q217*3.6</f>
        <v>36.462137942025599</v>
      </c>
      <c r="Q217" s="38">
        <f>MIN('Specification &amp; Data'!I$9,SQRT(2*Simulation!R216+Simulation!Q216^2))</f>
        <v>10.128371650562666</v>
      </c>
      <c r="R217" s="38">
        <f>IF(Q217=Q216,0,IF(Q217&lt;&gt;Q216,Simulation!V217/Simulation!Y217))</f>
        <v>1.2895527872972004</v>
      </c>
      <c r="S217" s="27">
        <f>'Specification &amp; Data'!B$11*'Specification &amp; Data'!B$21*'Specification &amp; Data'!B$23*(Simulation!Q217-'Specification &amp; Data'!B$22)^2/2</f>
        <v>29.328466422695939</v>
      </c>
      <c r="T217" s="27">
        <f>IF(AND(M217=1,L217=1),'Specification &amp; Data'!E$14,IF(AND(M217=1,L217=2),'Specification &amp; Data'!E$15,IF(AND(M217=1,L217=3),'Specification &amp; Data'!E$16,IF(AND(M217=2,L217=1),'Specification &amp; Data'!F$14,IF(AND(M217=2,L217=2),'Specification &amp; Data'!F$15,IF(AND(M217=2,L217=3),'Specification &amp; Data'!F$16,IF(AND(M217=3,L217=1),'Specification &amp; Data'!I$14,IF(AND(M217=3,L217=2),'Specification &amp; Data'!I$15,IF(AND(M217=3,L217=3),'Specification &amp; Data'!I$16)))))))))</f>
        <v>102.35950200000001</v>
      </c>
      <c r="U217" s="27">
        <f>IF(AND(M217=1,L217=1),'Specification &amp; Data'!E$24,IF(AND(M217=1,L217=2),'Specification &amp; Data'!E$25,IF(AND(M217=1,L217=3),'Specification &amp; Data'!E$26,IF(M217=2,0,IF(AND(M217=3,L217=1),'Specification &amp; Data'!I$24,IF(AND(M217=3,L217=2),'Specification &amp; Data'!I$25,IF(AND(M217=3,L217=3),'Specification &amp; Data'!I$26)))))))</f>
        <v>-178.61733099000003</v>
      </c>
      <c r="V217" s="27">
        <f>'Specification &amp; Data'!B$46-Simulation!S217-Simulation!T217-Simulation!U217</f>
        <v>754.83077989013861</v>
      </c>
      <c r="W217" s="27">
        <f>Simulation!V217/Simulation!Y217</f>
        <v>1.2895527872972004</v>
      </c>
      <c r="X217" s="27">
        <f>60*Simulation!Q217/(2*'Specification &amp; Data'!B$15*PI())</f>
        <v>380.78277488004744</v>
      </c>
      <c r="Y217" s="27">
        <f>IF(L217=1,'Specification &amp; Data'!B$56,IF(L217=2,'Specification &amp; Data'!B$57,IF(L217=3,'Specification &amp; Data'!B$58)))</f>
        <v>585.34306414257276</v>
      </c>
      <c r="Z217" s="38">
        <f>Simulation!Y217*Simulation!Q217^2/(2*1000)</f>
        <v>30.023390776343135</v>
      </c>
    </row>
    <row r="218" spans="7:26">
      <c r="G218" s="44">
        <v>6400</v>
      </c>
      <c r="H218" s="44">
        <v>17.8</v>
      </c>
      <c r="I218" s="38">
        <f>Simulation!H218*746/1000</f>
        <v>13.2788</v>
      </c>
      <c r="J218" s="38">
        <f>60*1000*Simulation!I218/(2*PI()*Simulation!G218)</f>
        <v>19.812999921831185</v>
      </c>
      <c r="K218" s="37">
        <v>504.47</v>
      </c>
      <c r="L218" s="27">
        <f>IF(Q218&lt;='Specification &amp; Data'!I$7,1,IF(AND(Q218&gt;'Specification &amp; Data'!I$7,Q218&lt;='Specification &amp; Data'!I$8),2,IF(Q218&gt;'Specification &amp; Data'!I$8,3)))</f>
        <v>2</v>
      </c>
      <c r="M218" s="35">
        <v>3</v>
      </c>
      <c r="N218" s="33">
        <f t="shared" si="3"/>
        <v>213</v>
      </c>
      <c r="O218" s="27">
        <f>O217+(1/Simulation!Q218)</f>
        <v>37.69350685921156</v>
      </c>
      <c r="P218" s="38">
        <f>Simulation!Q218*3.6</f>
        <v>36.91764769795126</v>
      </c>
      <c r="Q218" s="38">
        <f>MIN('Specification &amp; Data'!I$9,SQRT(2*Simulation!R217+Simulation!Q217^2))</f>
        <v>10.254902138319794</v>
      </c>
      <c r="R218" s="38">
        <f>IF(Q218=Q217,0,IF(Q218&lt;&gt;Q217,Simulation!V218/Simulation!Y218))</f>
        <v>1.2879345906683553</v>
      </c>
      <c r="S218" s="27">
        <f>'Specification &amp; Data'!B$11*'Specification &amp; Data'!B$21*'Specification &amp; Data'!B$23*(Simulation!Q218-'Specification &amp; Data'!B$22)^2/2</f>
        <v>30.275666595809327</v>
      </c>
      <c r="T218" s="27">
        <f>IF(AND(M218=1,L218=1),'Specification &amp; Data'!E$14,IF(AND(M218=1,L218=2),'Specification &amp; Data'!E$15,IF(AND(M218=1,L218=3),'Specification &amp; Data'!E$16,IF(AND(M218=2,L218=1),'Specification &amp; Data'!F$14,IF(AND(M218=2,L218=2),'Specification &amp; Data'!F$15,IF(AND(M218=2,L218=3),'Specification &amp; Data'!F$16,IF(AND(M218=3,L218=1),'Specification &amp; Data'!I$14,IF(AND(M218=3,L218=2),'Specification &amp; Data'!I$15,IF(AND(M218=3,L218=3),'Specification &amp; Data'!I$16)))))))))</f>
        <v>102.35950200000001</v>
      </c>
      <c r="U218" s="27">
        <f>IF(AND(M218=1,L218=1),'Specification &amp; Data'!E$24,IF(AND(M218=1,L218=2),'Specification &amp; Data'!E$25,IF(AND(M218=1,L218=3),'Specification &amp; Data'!E$26,IF(M218=2,0,IF(AND(M218=3,L218=1),'Specification &amp; Data'!I$24,IF(AND(M218=3,L218=2),'Specification &amp; Data'!I$25,IF(AND(M218=3,L218=3),'Specification &amp; Data'!I$26)))))))</f>
        <v>-178.61733099000003</v>
      </c>
      <c r="V218" s="27">
        <f>'Specification &amp; Data'!B$46-Simulation!S218-Simulation!T218-Simulation!U218</f>
        <v>753.88357971702521</v>
      </c>
      <c r="W218" s="27">
        <f>Simulation!V218/Simulation!Y218</f>
        <v>1.2879345906683553</v>
      </c>
      <c r="X218" s="27">
        <f>60*Simulation!Q218/(2*'Specification &amp; Data'!B$15*PI())</f>
        <v>385.53977155210453</v>
      </c>
      <c r="Y218" s="27">
        <f>IF(L218=1,'Specification &amp; Data'!B$56,IF(L218=2,'Specification &amp; Data'!B$57,IF(L218=3,'Specification &amp; Data'!B$58)))</f>
        <v>585.34306414257276</v>
      </c>
      <c r="Z218" s="38">
        <f>Simulation!Y218*Simulation!Q218^2/(2*1000)</f>
        <v>30.778221556233266</v>
      </c>
    </row>
    <row r="219" spans="7:26">
      <c r="G219" s="44">
        <v>6500</v>
      </c>
      <c r="H219" s="44">
        <v>17.8</v>
      </c>
      <c r="I219" s="38">
        <f>Simulation!H219*746/1000</f>
        <v>13.2788</v>
      </c>
      <c r="J219" s="38">
        <f>60*1000*Simulation!I219/(2*PI()*Simulation!G219)</f>
        <v>19.508184538418398</v>
      </c>
      <c r="K219" s="37">
        <v>470.5</v>
      </c>
      <c r="L219" s="27">
        <f>IF(Q219&lt;='Specification &amp; Data'!I$7,1,IF(AND(Q219&gt;'Specification &amp; Data'!I$7,Q219&lt;='Specification &amp; Data'!I$8),2,IF(Q219&gt;'Specification &amp; Data'!I$8,3)))</f>
        <v>3</v>
      </c>
      <c r="M219" s="35">
        <v>3</v>
      </c>
      <c r="N219" s="33">
        <f t="shared" si="3"/>
        <v>214</v>
      </c>
      <c r="O219" s="27">
        <f>O218+(1/Simulation!Q219)</f>
        <v>37.789848437675523</v>
      </c>
      <c r="P219" s="38">
        <f>Simulation!Q219*3.6</f>
        <v>37.367043984508193</v>
      </c>
      <c r="Q219" s="38">
        <f>MIN('Specification &amp; Data'!I$9,SQRT(2*Simulation!R218+Simulation!Q218^2))</f>
        <v>10.379734440141164</v>
      </c>
      <c r="R219" s="38">
        <f>IF(Q219=Q218,0,IF(Q219&lt;&gt;Q218,Simulation!V219/Simulation!Y219))</f>
        <v>1.2954020179447201</v>
      </c>
      <c r="S219" s="27">
        <f>'Specification &amp; Data'!B$11*'Specification &amp; Data'!B$21*'Specification &amp; Data'!B$23*(Simulation!Q219-'Specification &amp; Data'!B$22)^2/2</f>
        <v>31.224905947760288</v>
      </c>
      <c r="T219" s="27">
        <f>IF(AND(M219=1,L219=1),'Specification &amp; Data'!E$14,IF(AND(M219=1,L219=2),'Specification &amp; Data'!E$15,IF(AND(M219=1,L219=3),'Specification &amp; Data'!E$16,IF(AND(M219=2,L219=1),'Specification &amp; Data'!F$14,IF(AND(M219=2,L219=2),'Specification &amp; Data'!F$15,IF(AND(M219=2,L219=3),'Specification &amp; Data'!F$16,IF(AND(M219=3,L219=1),'Specification &amp; Data'!I$14,IF(AND(M219=3,L219=2),'Specification &amp; Data'!I$15,IF(AND(M219=3,L219=3),'Specification &amp; Data'!I$16)))))))))</f>
        <v>102.35950200000001</v>
      </c>
      <c r="U219" s="27">
        <f>IF(AND(M219=1,L219=1),'Specification &amp; Data'!E$24,IF(AND(M219=1,L219=2),'Specification &amp; Data'!E$25,IF(AND(M219=1,L219=3),'Specification &amp; Data'!E$26,IF(M219=2,0,IF(AND(M219=3,L219=1),'Specification &amp; Data'!I$24,IF(AND(M219=3,L219=2),'Specification &amp; Data'!I$25,IF(AND(M219=3,L219=3),'Specification &amp; Data'!I$26)))))))</f>
        <v>-178.61733099000003</v>
      </c>
      <c r="V219" s="27">
        <f>'Specification &amp; Data'!B$46-Simulation!S219-Simulation!T219-Simulation!U219</f>
        <v>752.93434036507426</v>
      </c>
      <c r="W219" s="27">
        <f>Simulation!V219/Simulation!Y219</f>
        <v>1.2954020179447201</v>
      </c>
      <c r="X219" s="27">
        <f>60*Simulation!Q219/(2*'Specification &amp; Data'!B$15*PI())</f>
        <v>390.23292381015426</v>
      </c>
      <c r="Y219" s="27">
        <f>IF(L219=1,'Specification &amp; Data'!B$56,IF(L219=2,'Specification &amp; Data'!B$57,IF(L219=3,'Specification &amp; Data'!B$58)))</f>
        <v>581.23604096253996</v>
      </c>
      <c r="Z219" s="38">
        <f>Simulation!Y219*Simulation!Q219^2/(2*1000)</f>
        <v>31.310862082702059</v>
      </c>
    </row>
    <row r="220" spans="7:26">
      <c r="G220" s="44">
        <v>6500</v>
      </c>
      <c r="H220" s="44">
        <v>17.8</v>
      </c>
      <c r="I220" s="38">
        <f>Simulation!H220*746/1000</f>
        <v>13.2788</v>
      </c>
      <c r="J220" s="38">
        <f>60*1000*Simulation!I220/(2*PI()*Simulation!G220)</f>
        <v>19.508184538418398</v>
      </c>
      <c r="K220" s="37">
        <v>470.5</v>
      </c>
      <c r="L220" s="27">
        <f>IF(Q220&lt;='Specification &amp; Data'!I$7,1,IF(AND(Q220&gt;'Specification &amp; Data'!I$7,Q220&lt;='Specification &amp; Data'!I$8),2,IF(Q220&gt;'Specification &amp; Data'!I$8,3)))</f>
        <v>3</v>
      </c>
      <c r="M220" s="35">
        <v>3</v>
      </c>
      <c r="N220" s="33">
        <f t="shared" si="3"/>
        <v>215</v>
      </c>
      <c r="O220" s="27">
        <f>O219+(1/Simulation!Q220)</f>
        <v>37.885052131484869</v>
      </c>
      <c r="P220" s="38">
        <f>Simulation!Q220*3.6</f>
        <v>37.813658860857366</v>
      </c>
      <c r="Q220" s="38">
        <f>MIN('Specification &amp; Data'!I$9,SQRT(2*Simulation!R219+Simulation!Q219^2))</f>
        <v>10.503794128015935</v>
      </c>
      <c r="R220" s="38">
        <f>IF(Q220=Q219,0,IF(Q220&lt;&gt;Q219,Simulation!V220/Simulation!Y220))</f>
        <v>1.2937540117398569</v>
      </c>
      <c r="S220" s="27">
        <f>'Specification &amp; Data'!B$11*'Specification &amp; Data'!B$21*'Specification &amp; Data'!B$23*(Simulation!Q220-'Specification &amp; Data'!B$22)^2/2</f>
        <v>32.182786549756656</v>
      </c>
      <c r="T220" s="27">
        <f>IF(AND(M220=1,L220=1),'Specification &amp; Data'!E$14,IF(AND(M220=1,L220=2),'Specification &amp; Data'!E$15,IF(AND(M220=1,L220=3),'Specification &amp; Data'!E$16,IF(AND(M220=2,L220=1),'Specification &amp; Data'!F$14,IF(AND(M220=2,L220=2),'Specification &amp; Data'!F$15,IF(AND(M220=2,L220=3),'Specification &amp; Data'!F$16,IF(AND(M220=3,L220=1),'Specification &amp; Data'!I$14,IF(AND(M220=3,L220=2),'Specification &amp; Data'!I$15,IF(AND(M220=3,L220=3),'Specification &amp; Data'!I$16)))))))))</f>
        <v>102.35950200000001</v>
      </c>
      <c r="U220" s="27">
        <f>IF(AND(M220=1,L220=1),'Specification &amp; Data'!E$24,IF(AND(M220=1,L220=2),'Specification &amp; Data'!E$25,IF(AND(M220=1,L220=3),'Specification &amp; Data'!E$26,IF(M220=2,0,IF(AND(M220=3,L220=1),'Specification &amp; Data'!I$24,IF(AND(M220=3,L220=2),'Specification &amp; Data'!I$25,IF(AND(M220=3,L220=3),'Specification &amp; Data'!I$26)))))))</f>
        <v>-178.61733099000003</v>
      </c>
      <c r="V220" s="27">
        <f>'Specification &amp; Data'!B$46-Simulation!S220-Simulation!T220-Simulation!U220</f>
        <v>751.97645976307786</v>
      </c>
      <c r="W220" s="27">
        <f>Simulation!V220/Simulation!Y220</f>
        <v>1.2937540117398569</v>
      </c>
      <c r="X220" s="27">
        <f>60*Simulation!Q220/(2*'Specification &amp; Data'!B$15*PI())</f>
        <v>394.89702914016391</v>
      </c>
      <c r="Y220" s="27">
        <f>IF(L220=1,'Specification &amp; Data'!B$56,IF(L220=2,'Specification &amp; Data'!B$57,IF(L220=3,'Specification &amp; Data'!B$58)))</f>
        <v>581.23604096253996</v>
      </c>
      <c r="Z220" s="38">
        <f>Simulation!Y220*Simulation!Q220^2/(2*1000)</f>
        <v>32.063796423067132</v>
      </c>
    </row>
    <row r="221" spans="7:26">
      <c r="G221" s="44">
        <v>6500</v>
      </c>
      <c r="H221" s="44">
        <v>17.8</v>
      </c>
      <c r="I221" s="38">
        <f>Simulation!H221*746/1000</f>
        <v>13.2788</v>
      </c>
      <c r="J221" s="38">
        <f>60*1000*Simulation!I221/(2*PI()*Simulation!G221)</f>
        <v>19.508184538418398</v>
      </c>
      <c r="K221" s="37">
        <v>470.5</v>
      </c>
      <c r="L221" s="27">
        <f>IF(Q221&lt;='Specification &amp; Data'!I$7,1,IF(AND(Q221&gt;'Specification &amp; Data'!I$7,Q221&lt;='Specification &amp; Data'!I$8),2,IF(Q221&gt;'Specification &amp; Data'!I$8,3)))</f>
        <v>3</v>
      </c>
      <c r="M221" s="35">
        <v>3</v>
      </c>
      <c r="N221" s="33">
        <f t="shared" si="3"/>
        <v>216</v>
      </c>
      <c r="O221" s="27">
        <f>O220+(1/Simulation!Q221)</f>
        <v>37.979158702996152</v>
      </c>
      <c r="P221" s="38">
        <f>Simulation!Q221*3.6</f>
        <v>38.254501701493822</v>
      </c>
      <c r="Q221" s="38">
        <f>MIN('Specification &amp; Data'!I$9,SQRT(2*Simulation!R220+Simulation!Q220^2))</f>
        <v>10.626250472637173</v>
      </c>
      <c r="R221" s="38">
        <f>IF(Q221=Q220,0,IF(Q221&lt;&gt;Q220,Simulation!V221/Simulation!Y221))</f>
        <v>1.2921028875455844</v>
      </c>
      <c r="S221" s="27">
        <f>'Specification &amp; Data'!B$11*'Specification &amp; Data'!B$21*'Specification &amp; Data'!B$23*(Simulation!Q221-'Specification &amp; Data'!B$22)^2/2</f>
        <v>33.14247943957298</v>
      </c>
      <c r="T221" s="27">
        <f>IF(AND(M221=1,L221=1),'Specification &amp; Data'!E$14,IF(AND(M221=1,L221=2),'Specification &amp; Data'!E$15,IF(AND(M221=1,L221=3),'Specification &amp; Data'!E$16,IF(AND(M221=2,L221=1),'Specification &amp; Data'!F$14,IF(AND(M221=2,L221=2),'Specification &amp; Data'!F$15,IF(AND(M221=2,L221=3),'Specification &amp; Data'!F$16,IF(AND(M221=3,L221=1),'Specification &amp; Data'!I$14,IF(AND(M221=3,L221=2),'Specification &amp; Data'!I$15,IF(AND(M221=3,L221=3),'Specification &amp; Data'!I$16)))))))))</f>
        <v>102.35950200000001</v>
      </c>
      <c r="U221" s="27">
        <f>IF(AND(M221=1,L221=1),'Specification &amp; Data'!E$24,IF(AND(M221=1,L221=2),'Specification &amp; Data'!E$25,IF(AND(M221=1,L221=3),'Specification &amp; Data'!E$26,IF(M221=2,0,IF(AND(M221=3,L221=1),'Specification &amp; Data'!I$24,IF(AND(M221=3,L221=2),'Specification &amp; Data'!I$25,IF(AND(M221=3,L221=3),'Specification &amp; Data'!I$26)))))))</f>
        <v>-178.61733099000003</v>
      </c>
      <c r="V221" s="27">
        <f>'Specification &amp; Data'!B$46-Simulation!S221-Simulation!T221-Simulation!U221</f>
        <v>751.01676687326153</v>
      </c>
      <c r="W221" s="27">
        <f>Simulation!V221/Simulation!Y221</f>
        <v>1.2921028875455844</v>
      </c>
      <c r="X221" s="27">
        <f>60*Simulation!Q221/(2*'Specification &amp; Data'!B$15*PI())</f>
        <v>399.50085572900673</v>
      </c>
      <c r="Y221" s="27">
        <f>IF(L221=1,'Specification &amp; Data'!B$56,IF(L221=2,'Specification &amp; Data'!B$57,IF(L221=3,'Specification &amp; Data'!B$58)))</f>
        <v>581.23604096253996</v>
      </c>
      <c r="Z221" s="38">
        <f>Simulation!Y221*Simulation!Q221^2/(2*1000)</f>
        <v>32.815772882830203</v>
      </c>
    </row>
    <row r="222" spans="7:26">
      <c r="G222" s="44">
        <v>6500</v>
      </c>
      <c r="H222" s="44">
        <v>17.8</v>
      </c>
      <c r="I222" s="38">
        <f>Simulation!H222*746/1000</f>
        <v>13.2788</v>
      </c>
      <c r="J222" s="38">
        <f>60*1000*Simulation!I222/(2*PI()*Simulation!G222)</f>
        <v>19.508184538418398</v>
      </c>
      <c r="K222" s="37">
        <v>470.5</v>
      </c>
      <c r="L222" s="27">
        <f>IF(Q222&lt;='Specification &amp; Data'!I$7,1,IF(AND(Q222&gt;'Specification &amp; Data'!I$7,Q222&lt;='Specification &amp; Data'!I$8),2,IF(Q222&gt;'Specification &amp; Data'!I$8,3)))</f>
        <v>3</v>
      </c>
      <c r="M222" s="35">
        <v>3</v>
      </c>
      <c r="N222" s="33">
        <f t="shared" si="3"/>
        <v>217</v>
      </c>
      <c r="O222" s="27">
        <f>O221+(1/Simulation!Q222)</f>
        <v>38.072206558144707</v>
      </c>
      <c r="P222" s="38">
        <f>Simulation!Q222*3.6</f>
        <v>38.68976876739864</v>
      </c>
      <c r="Q222" s="38">
        <f>MIN('Specification &amp; Data'!I$9,SQRT(2*Simulation!R221+Simulation!Q221^2))</f>
        <v>10.747157990944066</v>
      </c>
      <c r="R222" s="38">
        <f>IF(Q222=Q221,0,IF(Q222&lt;&gt;Q221,Simulation!V222/Simulation!Y222))</f>
        <v>1.2904488470712245</v>
      </c>
      <c r="S222" s="27">
        <f>'Specification &amp; Data'!B$11*'Specification &amp; Data'!B$21*'Specification &amp; Data'!B$23*(Simulation!Q222-'Specification &amp; Data'!B$22)^2/2</f>
        <v>34.103867376481674</v>
      </c>
      <c r="T222" s="27">
        <f>IF(AND(M222=1,L222=1),'Specification &amp; Data'!E$14,IF(AND(M222=1,L222=2),'Specification &amp; Data'!E$15,IF(AND(M222=1,L222=3),'Specification &amp; Data'!E$16,IF(AND(M222=2,L222=1),'Specification &amp; Data'!F$14,IF(AND(M222=2,L222=2),'Specification &amp; Data'!F$15,IF(AND(M222=2,L222=3),'Specification &amp; Data'!F$16,IF(AND(M222=3,L222=1),'Specification &amp; Data'!I$14,IF(AND(M222=3,L222=2),'Specification &amp; Data'!I$15,IF(AND(M222=3,L222=3),'Specification &amp; Data'!I$16)))))))))</f>
        <v>102.35950200000001</v>
      </c>
      <c r="U222" s="27">
        <f>IF(AND(M222=1,L222=1),'Specification &amp; Data'!E$24,IF(AND(M222=1,L222=2),'Specification &amp; Data'!E$25,IF(AND(M222=1,L222=3),'Specification &amp; Data'!E$26,IF(M222=2,0,IF(AND(M222=3,L222=1),'Specification &amp; Data'!I$24,IF(AND(M222=3,L222=2),'Specification &amp; Data'!I$25,IF(AND(M222=3,L222=3),'Specification &amp; Data'!I$26)))))))</f>
        <v>-178.61733099000003</v>
      </c>
      <c r="V222" s="27">
        <f>'Specification &amp; Data'!B$46-Simulation!S222-Simulation!T222-Simulation!U222</f>
        <v>750.05537893635278</v>
      </c>
      <c r="W222" s="27">
        <f>Simulation!V222/Simulation!Y222</f>
        <v>1.2904488470712245</v>
      </c>
      <c r="X222" s="27">
        <f>60*Simulation!Q222/(2*'Specification &amp; Data'!B$15*PI())</f>
        <v>404.04645317676642</v>
      </c>
      <c r="Y222" s="27">
        <f>IF(L222=1,'Specification &amp; Data'!B$56,IF(L222=2,'Specification &amp; Data'!B$57,IF(L222=3,'Specification &amp; Data'!B$58)))</f>
        <v>581.23604096253996</v>
      </c>
      <c r="Z222" s="38">
        <f>Simulation!Y222*Simulation!Q222^2/(2*1000)</f>
        <v>33.566789649703466</v>
      </c>
    </row>
    <row r="223" spans="7:26">
      <c r="G223" s="44">
        <v>6500</v>
      </c>
      <c r="H223" s="44">
        <v>17.8</v>
      </c>
      <c r="I223" s="38">
        <f>Simulation!H223*746/1000</f>
        <v>13.2788</v>
      </c>
      <c r="J223" s="38">
        <f>60*1000*Simulation!I223/(2*PI()*Simulation!G223)</f>
        <v>19.508184538418398</v>
      </c>
      <c r="K223" s="37">
        <v>470.5</v>
      </c>
      <c r="L223" s="27">
        <f>IF(Q223&lt;='Specification &amp; Data'!I$7,1,IF(AND(Q223&gt;'Specification &amp; Data'!I$7,Q223&lt;='Specification &amp; Data'!I$8),2,IF(Q223&gt;'Specification &amp; Data'!I$8,3)))</f>
        <v>3</v>
      </c>
      <c r="M223" s="35">
        <v>3</v>
      </c>
      <c r="N223" s="33">
        <f t="shared" si="3"/>
        <v>218</v>
      </c>
      <c r="O223" s="27">
        <f>O222+(1/Simulation!Q223)</f>
        <v>38.164231932624304</v>
      </c>
      <c r="P223" s="38">
        <f>Simulation!Q223*3.6</f>
        <v>39.119645210442044</v>
      </c>
      <c r="Q223" s="38">
        <f>MIN('Specification &amp; Data'!I$9,SQRT(2*Simulation!R222+Simulation!Q222^2))</f>
        <v>10.866568114011679</v>
      </c>
      <c r="R223" s="38">
        <f>IF(Q223=Q222,0,IF(Q223&lt;&gt;Q222,Simulation!V223/Simulation!Y223))</f>
        <v>1.288792080567795</v>
      </c>
      <c r="S223" s="27">
        <f>'Specification &amp; Data'!B$11*'Specification &amp; Data'!B$21*'Specification &amp; Data'!B$23*(Simulation!Q223-'Specification &amp; Data'!B$22)^2/2</f>
        <v>35.066839779734572</v>
      </c>
      <c r="T223" s="27">
        <f>IF(AND(M223=1,L223=1),'Specification &amp; Data'!E$14,IF(AND(M223=1,L223=2),'Specification &amp; Data'!E$15,IF(AND(M223=1,L223=3),'Specification &amp; Data'!E$16,IF(AND(M223=2,L223=1),'Specification &amp; Data'!F$14,IF(AND(M223=2,L223=2),'Specification &amp; Data'!F$15,IF(AND(M223=2,L223=3),'Specification &amp; Data'!F$16,IF(AND(M223=3,L223=1),'Specification &amp; Data'!I$14,IF(AND(M223=3,L223=2),'Specification &amp; Data'!I$15,IF(AND(M223=3,L223=3),'Specification &amp; Data'!I$16)))))))))</f>
        <v>102.35950200000001</v>
      </c>
      <c r="U223" s="27">
        <f>IF(AND(M223=1,L223=1),'Specification &amp; Data'!E$24,IF(AND(M223=1,L223=2),'Specification &amp; Data'!E$25,IF(AND(M223=1,L223=3),'Specification &amp; Data'!E$26,IF(M223=2,0,IF(AND(M223=3,L223=1),'Specification &amp; Data'!I$24,IF(AND(M223=3,L223=2),'Specification &amp; Data'!I$25,IF(AND(M223=3,L223=3),'Specification &amp; Data'!I$26)))))))</f>
        <v>-178.61733099000003</v>
      </c>
      <c r="V223" s="27">
        <f>'Specification &amp; Data'!B$46-Simulation!S223-Simulation!T223-Simulation!U223</f>
        <v>749.09240653309996</v>
      </c>
      <c r="W223" s="27">
        <f>Simulation!V223/Simulation!Y223</f>
        <v>1.288792080567795</v>
      </c>
      <c r="X223" s="27">
        <f>60*Simulation!Q223/(2*'Specification &amp; Data'!B$15*PI())</f>
        <v>408.53575506844095</v>
      </c>
      <c r="Y223" s="27">
        <f>IF(L223=1,'Specification &amp; Data'!B$56,IF(L223=2,'Specification &amp; Data'!B$57,IF(L223=3,'Specification &amp; Data'!B$58)))</f>
        <v>581.23604096253996</v>
      </c>
      <c r="Z223" s="38">
        <f>Simulation!Y223*Simulation!Q223^2/(2*1000)</f>
        <v>34.316845028639825</v>
      </c>
    </row>
    <row r="224" spans="7:26">
      <c r="G224" s="44">
        <v>6500</v>
      </c>
      <c r="H224" s="44">
        <v>17.8</v>
      </c>
      <c r="I224" s="38">
        <f>Simulation!H224*746/1000</f>
        <v>13.2788</v>
      </c>
      <c r="J224" s="38">
        <f>60*1000*Simulation!I224/(2*PI()*Simulation!G224)</f>
        <v>19.508184538418398</v>
      </c>
      <c r="K224" s="37">
        <v>470.5</v>
      </c>
      <c r="L224" s="27">
        <f>IF(Q224&lt;='Specification &amp; Data'!I$7,1,IF(AND(Q224&gt;'Specification &amp; Data'!I$7,Q224&lt;='Specification &amp; Data'!I$8),2,IF(Q224&gt;'Specification &amp; Data'!I$8,3)))</f>
        <v>3</v>
      </c>
      <c r="M224" s="35">
        <v>3</v>
      </c>
      <c r="N224" s="33">
        <f t="shared" si="3"/>
        <v>219</v>
      </c>
      <c r="O224" s="27">
        <f>O223+(1/Simulation!Q224)</f>
        <v>38.255269059578637</v>
      </c>
      <c r="P224" s="38">
        <f>Simulation!Q224*3.6</f>
        <v>39.544305938013103</v>
      </c>
      <c r="Q224" s="38">
        <f>MIN('Specification &amp; Data'!I$9,SQRT(2*Simulation!R223+Simulation!Q223^2))</f>
        <v>10.984529427225862</v>
      </c>
      <c r="R224" s="38">
        <f>IF(Q224=Q223,0,IF(Q224&lt;&gt;Q223,Simulation!V224/Simulation!Y224))</f>
        <v>1.2871327677129556</v>
      </c>
      <c r="S224" s="27">
        <f>'Specification &amp; Data'!B$11*'Specification &amp; Data'!B$21*'Specification &amp; Data'!B$23*(Simulation!Q224-'Specification &amp; Data'!B$22)^2/2</f>
        <v>36.031292214199624</v>
      </c>
      <c r="T224" s="27">
        <f>IF(AND(M224=1,L224=1),'Specification &amp; Data'!E$14,IF(AND(M224=1,L224=2),'Specification &amp; Data'!E$15,IF(AND(M224=1,L224=3),'Specification &amp; Data'!E$16,IF(AND(M224=2,L224=1),'Specification &amp; Data'!F$14,IF(AND(M224=2,L224=2),'Specification &amp; Data'!F$15,IF(AND(M224=2,L224=3),'Specification &amp; Data'!F$16,IF(AND(M224=3,L224=1),'Specification &amp; Data'!I$14,IF(AND(M224=3,L224=2),'Specification &amp; Data'!I$15,IF(AND(M224=3,L224=3),'Specification &amp; Data'!I$16)))))))))</f>
        <v>102.35950200000001</v>
      </c>
      <c r="U224" s="27">
        <f>IF(AND(M224=1,L224=1),'Specification &amp; Data'!E$24,IF(AND(M224=1,L224=2),'Specification &amp; Data'!E$25,IF(AND(M224=1,L224=3),'Specification &amp; Data'!E$26,IF(M224=2,0,IF(AND(M224=3,L224=1),'Specification &amp; Data'!I$24,IF(AND(M224=3,L224=2),'Specification &amp; Data'!I$25,IF(AND(M224=3,L224=3),'Specification &amp; Data'!I$26)))))))</f>
        <v>-178.61733099000003</v>
      </c>
      <c r="V224" s="27">
        <f>'Specification &amp; Data'!B$46-Simulation!S224-Simulation!T224-Simulation!U224</f>
        <v>748.12795409863486</v>
      </c>
      <c r="W224" s="27">
        <f>Simulation!V224/Simulation!Y224</f>
        <v>1.2871327677129556</v>
      </c>
      <c r="X224" s="27">
        <f>60*Simulation!Q224/(2*'Specification &amp; Data'!B$15*PI())</f>
        <v>412.97058800347605</v>
      </c>
      <c r="Y224" s="27">
        <f>IF(L224=1,'Specification &amp; Data'!B$56,IF(L224=2,'Specification &amp; Data'!B$57,IF(L224=3,'Specification &amp; Data'!B$58)))</f>
        <v>581.23604096253996</v>
      </c>
      <c r="Z224" s="38">
        <f>Simulation!Y224*Simulation!Q224^2/(2*1000)</f>
        <v>35.065937435172913</v>
      </c>
    </row>
    <row r="225" spans="7:26">
      <c r="G225" s="44">
        <v>6500</v>
      </c>
      <c r="H225" s="44">
        <v>17.8</v>
      </c>
      <c r="I225" s="38">
        <f>Simulation!H225*746/1000</f>
        <v>13.2788</v>
      </c>
      <c r="J225" s="38">
        <f>60*1000*Simulation!I225/(2*PI()*Simulation!G225)</f>
        <v>19.508184538418398</v>
      </c>
      <c r="K225" s="37">
        <v>470.5</v>
      </c>
      <c r="L225" s="27">
        <f>IF(Q225&lt;='Specification &amp; Data'!I$7,1,IF(AND(Q225&gt;'Specification &amp; Data'!I$7,Q225&lt;='Specification &amp; Data'!I$8),2,IF(Q225&gt;'Specification &amp; Data'!I$8,3)))</f>
        <v>3</v>
      </c>
      <c r="M225" s="35">
        <v>3</v>
      </c>
      <c r="N225" s="33">
        <f t="shared" si="3"/>
        <v>220</v>
      </c>
      <c r="O225" s="27">
        <f>O224+(1/Simulation!Q225)</f>
        <v>38.345350320999756</v>
      </c>
      <c r="P225" s="38">
        <f>Simulation!Q225*3.6</f>
        <v>39.963916392894959</v>
      </c>
      <c r="Q225" s="38">
        <f>MIN('Specification &amp; Data'!I$9,SQRT(2*Simulation!R224+Simulation!Q224^2))</f>
        <v>11.101087886915266</v>
      </c>
      <c r="R225" s="38">
        <f>IF(Q225=Q224,0,IF(Q225&lt;&gt;Q224,Simulation!V225/Simulation!Y225))</f>
        <v>1.2854710784095971</v>
      </c>
      <c r="S225" s="27">
        <f>'Specification &amp; Data'!B$11*'Specification &amp; Data'!B$21*'Specification &amp; Data'!B$23*(Simulation!Q225-'Specification &amp; Data'!B$22)^2/2</f>
        <v>36.99712592619359</v>
      </c>
      <c r="T225" s="27">
        <f>IF(AND(M225=1,L225=1),'Specification &amp; Data'!E$14,IF(AND(M225=1,L225=2),'Specification &amp; Data'!E$15,IF(AND(M225=1,L225=3),'Specification &amp; Data'!E$16,IF(AND(M225=2,L225=1),'Specification &amp; Data'!F$14,IF(AND(M225=2,L225=2),'Specification &amp; Data'!F$15,IF(AND(M225=2,L225=3),'Specification &amp; Data'!F$16,IF(AND(M225=3,L225=1),'Specification &amp; Data'!I$14,IF(AND(M225=3,L225=2),'Specification &amp; Data'!I$15,IF(AND(M225=3,L225=3),'Specification &amp; Data'!I$16)))))))))</f>
        <v>102.35950200000001</v>
      </c>
      <c r="U225" s="27">
        <f>IF(AND(M225=1,L225=1),'Specification &amp; Data'!E$24,IF(AND(M225=1,L225=2),'Specification &amp; Data'!E$25,IF(AND(M225=1,L225=3),'Specification &amp; Data'!E$26,IF(M225=2,0,IF(AND(M225=3,L225=1),'Specification &amp; Data'!I$24,IF(AND(M225=3,L225=2),'Specification &amp; Data'!I$25,IF(AND(M225=3,L225=3),'Specification &amp; Data'!I$26)))))))</f>
        <v>-178.61733099000003</v>
      </c>
      <c r="V225" s="27">
        <f>'Specification &amp; Data'!B$46-Simulation!S225-Simulation!T225-Simulation!U225</f>
        <v>747.16212038664094</v>
      </c>
      <c r="W225" s="27">
        <f>Simulation!V225/Simulation!Y225</f>
        <v>1.2854710784095971</v>
      </c>
      <c r="X225" s="27">
        <f>60*Simulation!Q225/(2*'Specification &amp; Data'!B$15*PI())</f>
        <v>417.35267974018774</v>
      </c>
      <c r="Y225" s="27">
        <f>IF(L225=1,'Specification &amp; Data'!B$56,IF(L225=2,'Specification &amp; Data'!B$57,IF(L225=3,'Specification &amp; Data'!B$58)))</f>
        <v>581.23604096253996</v>
      </c>
      <c r="Z225" s="38">
        <f>Simulation!Y225*Simulation!Q225^2/(2*1000)</f>
        <v>35.814065389271555</v>
      </c>
    </row>
    <row r="226" spans="7:26">
      <c r="G226" s="44">
        <v>6500</v>
      </c>
      <c r="H226" s="44">
        <v>17.8</v>
      </c>
      <c r="I226" s="38">
        <f>Simulation!H226*746/1000</f>
        <v>13.2788</v>
      </c>
      <c r="J226" s="38">
        <f>60*1000*Simulation!I226/(2*PI()*Simulation!G226)</f>
        <v>19.508184538418398</v>
      </c>
      <c r="K226" s="37">
        <v>470.5</v>
      </c>
      <c r="L226" s="27">
        <f>IF(Q226&lt;='Specification &amp; Data'!I$7,1,IF(AND(Q226&gt;'Specification &amp; Data'!I$7,Q226&lt;='Specification &amp; Data'!I$8),2,IF(Q226&gt;'Specification &amp; Data'!I$8,3)))</f>
        <v>3</v>
      </c>
      <c r="M226" s="35">
        <v>3</v>
      </c>
      <c r="N226" s="33">
        <f t="shared" si="3"/>
        <v>221</v>
      </c>
      <c r="O226" s="27">
        <f>O225+(1/Simulation!Q226)</f>
        <v>38.434506384727037</v>
      </c>
      <c r="P226" s="38">
        <f>Simulation!Q226*3.6</f>
        <v>40.378633258329529</v>
      </c>
      <c r="Q226" s="38">
        <f>MIN('Specification &amp; Data'!I$9,SQRT(2*Simulation!R225+Simulation!Q225^2))</f>
        <v>11.216287016202646</v>
      </c>
      <c r="R226" s="38">
        <f>IF(Q226=Q225,0,IF(Q226&lt;&gt;Q225,Simulation!V226/Simulation!Y226))</f>
        <v>1.2838071735081691</v>
      </c>
      <c r="S226" s="27">
        <f>'Specification &amp; Data'!B$11*'Specification &amp; Data'!B$21*'Specification &amp; Data'!B$23*(Simulation!Q226-'Specification &amp; Data'!B$22)^2/2</f>
        <v>37.964247423637772</v>
      </c>
      <c r="T226" s="27">
        <f>IF(AND(M226=1,L226=1),'Specification &amp; Data'!E$14,IF(AND(M226=1,L226=2),'Specification &amp; Data'!E$15,IF(AND(M226=1,L226=3),'Specification &amp; Data'!E$16,IF(AND(M226=2,L226=1),'Specification &amp; Data'!F$14,IF(AND(M226=2,L226=2),'Specification &amp; Data'!F$15,IF(AND(M226=2,L226=3),'Specification &amp; Data'!F$16,IF(AND(M226=3,L226=1),'Specification &amp; Data'!I$14,IF(AND(M226=3,L226=2),'Specification &amp; Data'!I$15,IF(AND(M226=3,L226=3),'Specification &amp; Data'!I$16)))))))))</f>
        <v>102.35950200000001</v>
      </c>
      <c r="U226" s="27">
        <f>IF(AND(M226=1,L226=1),'Specification &amp; Data'!E$24,IF(AND(M226=1,L226=2),'Specification &amp; Data'!E$25,IF(AND(M226=1,L226=3),'Specification &amp; Data'!E$26,IF(M226=2,0,IF(AND(M226=3,L226=1),'Specification &amp; Data'!I$24,IF(AND(M226=3,L226=2),'Specification &amp; Data'!I$25,IF(AND(M226=3,L226=3),'Specification &amp; Data'!I$26)))))))</f>
        <v>-178.61733099000003</v>
      </c>
      <c r="V226" s="27">
        <f>'Specification &amp; Data'!B$46-Simulation!S226-Simulation!T226-Simulation!U226</f>
        <v>746.19499888919677</v>
      </c>
      <c r="W226" s="27">
        <f>Simulation!V226/Simulation!Y226</f>
        <v>1.2838071735081691</v>
      </c>
      <c r="X226" s="27">
        <f>60*Simulation!Q226/(2*'Specification &amp; Data'!B$15*PI())</f>
        <v>421.68366655892049</v>
      </c>
      <c r="Y226" s="27">
        <f>IF(L226=1,'Specification &amp; Data'!B$56,IF(L226=2,'Specification &amp; Data'!B$57,IF(L226=3,'Specification &amp; Data'!B$58)))</f>
        <v>581.23604096253996</v>
      </c>
      <c r="Z226" s="38">
        <f>Simulation!Y226*Simulation!Q226^2/(2*1000)</f>
        <v>36.561227509658195</v>
      </c>
    </row>
    <row r="227" spans="7:26">
      <c r="G227" s="44">
        <v>6500</v>
      </c>
      <c r="H227" s="44">
        <v>17.8</v>
      </c>
      <c r="I227" s="38">
        <f>Simulation!H227*746/1000</f>
        <v>13.2788</v>
      </c>
      <c r="J227" s="38">
        <f>60*1000*Simulation!I227/(2*PI()*Simulation!G227)</f>
        <v>19.508184538418398</v>
      </c>
      <c r="K227" s="37">
        <v>470.5</v>
      </c>
      <c r="L227" s="27">
        <f>IF(Q227&lt;='Specification &amp; Data'!I$7,1,IF(AND(Q227&gt;'Specification &amp; Data'!I$7,Q227&lt;='Specification &amp; Data'!I$8),2,IF(Q227&gt;'Specification &amp; Data'!I$8,3)))</f>
        <v>3</v>
      </c>
      <c r="M227" s="35">
        <v>3</v>
      </c>
      <c r="N227" s="33">
        <f t="shared" si="3"/>
        <v>222</v>
      </c>
      <c r="O227" s="27">
        <f>O226+(1/Simulation!Q227)</f>
        <v>38.52276632868567</v>
      </c>
      <c r="P227" s="38">
        <f>Simulation!Q227*3.6</f>
        <v>40.788605096865069</v>
      </c>
      <c r="Q227" s="38">
        <f>MIN('Specification &amp; Data'!I$9,SQRT(2*Simulation!R226+Simulation!Q226^2))</f>
        <v>11.330168082462519</v>
      </c>
      <c r="R227" s="38">
        <f>IF(Q227=Q226,0,IF(Q227&lt;&gt;Q226,Simulation!V227/Simulation!Y227))</f>
        <v>1.2821412054614891</v>
      </c>
      <c r="S227" s="27">
        <f>'Specification &amp; Data'!B$11*'Specification &amp; Data'!B$21*'Specification &amp; Data'!B$23*(Simulation!Q227-'Specification &amp; Data'!B$22)^2/2</f>
        <v>38.932568095459999</v>
      </c>
      <c r="T227" s="27">
        <f>IF(AND(M227=1,L227=1),'Specification &amp; Data'!E$14,IF(AND(M227=1,L227=2),'Specification &amp; Data'!E$15,IF(AND(M227=1,L227=3),'Specification &amp; Data'!E$16,IF(AND(M227=2,L227=1),'Specification &amp; Data'!F$14,IF(AND(M227=2,L227=2),'Specification &amp; Data'!F$15,IF(AND(M227=2,L227=3),'Specification &amp; Data'!F$16,IF(AND(M227=3,L227=1),'Specification &amp; Data'!I$14,IF(AND(M227=3,L227=2),'Specification &amp; Data'!I$15,IF(AND(M227=3,L227=3),'Specification &amp; Data'!I$16)))))))))</f>
        <v>102.35950200000001</v>
      </c>
      <c r="U227" s="27">
        <f>IF(AND(M227=1,L227=1),'Specification &amp; Data'!E$24,IF(AND(M227=1,L227=2),'Specification &amp; Data'!E$25,IF(AND(M227=1,L227=3),'Specification &amp; Data'!E$26,IF(M227=2,0,IF(AND(M227=3,L227=1),'Specification &amp; Data'!I$24,IF(AND(M227=3,L227=2),'Specification &amp; Data'!I$25,IF(AND(M227=3,L227=3),'Specification &amp; Data'!I$26)))))))</f>
        <v>-178.61733099000003</v>
      </c>
      <c r="V227" s="27">
        <f>'Specification &amp; Data'!B$46-Simulation!S227-Simulation!T227-Simulation!U227</f>
        <v>745.22667821737446</v>
      </c>
      <c r="W227" s="27">
        <f>Simulation!V227/Simulation!Y227</f>
        <v>1.2821412054614891</v>
      </c>
      <c r="X227" s="27">
        <f>60*Simulation!Q227/(2*'Specification &amp; Data'!B$15*PI())</f>
        <v>425.96509993368454</v>
      </c>
      <c r="Y227" s="27">
        <f>IF(L227=1,'Specification &amp; Data'!B$56,IF(L227=2,'Specification &amp; Data'!B$57,IF(L227=3,'Specification &amp; Data'!B$58)))</f>
        <v>581.23604096253996</v>
      </c>
      <c r="Z227" s="38">
        <f>Simulation!Y227*Simulation!Q227^2/(2*1000)</f>
        <v>37.307422508547397</v>
      </c>
    </row>
    <row r="228" spans="7:26">
      <c r="G228" s="44">
        <v>6500</v>
      </c>
      <c r="H228" s="44">
        <v>17.8</v>
      </c>
      <c r="I228" s="38">
        <f>Simulation!H228*746/1000</f>
        <v>13.2788</v>
      </c>
      <c r="J228" s="38">
        <f>60*1000*Simulation!I228/(2*PI()*Simulation!G228)</f>
        <v>19.508184538418398</v>
      </c>
      <c r="K228" s="37">
        <v>470.5</v>
      </c>
      <c r="L228" s="27">
        <f>IF(Q228&lt;='Specification &amp; Data'!I$7,1,IF(AND(Q228&gt;'Specification &amp; Data'!I$7,Q228&lt;='Specification &amp; Data'!I$8),2,IF(Q228&gt;'Specification &amp; Data'!I$8,3)))</f>
        <v>3</v>
      </c>
      <c r="M228" s="35">
        <v>3</v>
      </c>
      <c r="N228" s="33">
        <f t="shared" si="3"/>
        <v>223</v>
      </c>
      <c r="O228" s="27">
        <f>O227+(1/Simulation!Q228)</f>
        <v>38.610157753787568</v>
      </c>
      <c r="P228" s="38">
        <f>Simulation!Q228*3.6</f>
        <v>41.193972930436914</v>
      </c>
      <c r="Q228" s="38">
        <f>MIN('Specification &amp; Data'!I$9,SQRT(2*Simulation!R227+Simulation!Q227^2))</f>
        <v>11.442770258454697</v>
      </c>
      <c r="R228" s="38">
        <f>IF(Q228=Q227,0,IF(Q228&lt;&gt;Q227,Simulation!V228/Simulation!Y228))</f>
        <v>1.2804733189196038</v>
      </c>
      <c r="S228" s="27">
        <f>'Specification &amp; Data'!B$11*'Specification &amp; Data'!B$21*'Specification &amp; Data'!B$23*(Simulation!Q228-'Specification &amp; Data'!B$22)^2/2</f>
        <v>39.902003865840115</v>
      </c>
      <c r="T228" s="27">
        <f>IF(AND(M228=1,L228=1),'Specification &amp; Data'!E$14,IF(AND(M228=1,L228=2),'Specification &amp; Data'!E$15,IF(AND(M228=1,L228=3),'Specification &amp; Data'!E$16,IF(AND(M228=2,L228=1),'Specification &amp; Data'!F$14,IF(AND(M228=2,L228=2),'Specification &amp; Data'!F$15,IF(AND(M228=2,L228=3),'Specification &amp; Data'!F$16,IF(AND(M228=3,L228=1),'Specification &amp; Data'!I$14,IF(AND(M228=3,L228=2),'Specification &amp; Data'!I$15,IF(AND(M228=3,L228=3),'Specification &amp; Data'!I$16)))))))))</f>
        <v>102.35950200000001</v>
      </c>
      <c r="U228" s="27">
        <f>IF(AND(M228=1,L228=1),'Specification &amp; Data'!E$24,IF(AND(M228=1,L228=2),'Specification &amp; Data'!E$25,IF(AND(M228=1,L228=3),'Specification &amp; Data'!E$26,IF(M228=2,0,IF(AND(M228=3,L228=1),'Specification &amp; Data'!I$24,IF(AND(M228=3,L228=2),'Specification &amp; Data'!I$25,IF(AND(M228=3,L228=3),'Specification &amp; Data'!I$26)))))))</f>
        <v>-178.61733099000003</v>
      </c>
      <c r="V228" s="27">
        <f>'Specification &amp; Data'!B$46-Simulation!S228-Simulation!T228-Simulation!U228</f>
        <v>744.25724244699438</v>
      </c>
      <c r="W228" s="27">
        <f>Simulation!V228/Simulation!Y228</f>
        <v>1.2804733189196038</v>
      </c>
      <c r="X228" s="27">
        <f>60*Simulation!Q228/(2*'Specification &amp; Data'!B$15*PI())</f>
        <v>430.19845259007639</v>
      </c>
      <c r="Y228" s="27">
        <f>IF(L228=1,'Specification &amp; Data'!B$56,IF(L228=2,'Specification &amp; Data'!B$57,IF(L228=3,'Specification &amp; Data'!B$58)))</f>
        <v>581.23604096253996</v>
      </c>
      <c r="Z228" s="38">
        <f>Simulation!Y228*Simulation!Q228^2/(2*1000)</f>
        <v>38.052649186764761</v>
      </c>
    </row>
    <row r="229" spans="7:26">
      <c r="G229" s="44">
        <v>6500</v>
      </c>
      <c r="H229" s="44">
        <v>17.8</v>
      </c>
      <c r="I229" s="38">
        <f>Simulation!H229*746/1000</f>
        <v>13.2788</v>
      </c>
      <c r="J229" s="38">
        <f>60*1000*Simulation!I229/(2*PI()*Simulation!G229)</f>
        <v>19.508184538418398</v>
      </c>
      <c r="K229" s="37">
        <v>443.8</v>
      </c>
      <c r="L229" s="27">
        <f>IF(Q229&lt;='Specification &amp; Data'!I$7,1,IF(AND(Q229&gt;'Specification &amp; Data'!I$7,Q229&lt;='Specification &amp; Data'!I$8),2,IF(Q229&gt;'Specification &amp; Data'!I$8,3)))</f>
        <v>3</v>
      </c>
      <c r="M229" s="35">
        <v>3</v>
      </c>
      <c r="N229" s="33">
        <f t="shared" si="3"/>
        <v>224</v>
      </c>
      <c r="O229" s="27">
        <f>O228+(1/Simulation!Q229)</f>
        <v>38.696706886733921</v>
      </c>
      <c r="P229" s="38">
        <f>Simulation!Q229*3.6</f>
        <v>41.594870768160405</v>
      </c>
      <c r="Q229" s="38">
        <f>MIN('Specification &amp; Data'!I$9,SQRT(2*Simulation!R228+Simulation!Q228^2))</f>
        <v>11.554130768933446</v>
      </c>
      <c r="R229" s="38">
        <f>IF(Q229=Q228,0,IF(Q229&lt;&gt;Q228,Simulation!V229/Simulation!Y229))</f>
        <v>1.2788036512712906</v>
      </c>
      <c r="S229" s="27">
        <f>'Specification &amp; Data'!B$11*'Specification &amp; Data'!B$21*'Specification &amp; Data'!B$23*(Simulation!Q229-'Specification &amp; Data'!B$22)^2/2</f>
        <v>40.872474879468946</v>
      </c>
      <c r="T229" s="27">
        <f>IF(AND(M229=1,L229=1),'Specification &amp; Data'!E$14,IF(AND(M229=1,L229=2),'Specification &amp; Data'!E$15,IF(AND(M229=1,L229=3),'Specification &amp; Data'!E$16,IF(AND(M229=2,L229=1),'Specification &amp; Data'!F$14,IF(AND(M229=2,L229=2),'Specification &amp; Data'!F$15,IF(AND(M229=2,L229=3),'Specification &amp; Data'!F$16,IF(AND(M229=3,L229=1),'Specification &amp; Data'!I$14,IF(AND(M229=3,L229=2),'Specification &amp; Data'!I$15,IF(AND(M229=3,L229=3),'Specification &amp; Data'!I$16)))))))))</f>
        <v>102.35950200000001</v>
      </c>
      <c r="U229" s="27">
        <f>IF(AND(M229=1,L229=1),'Specification &amp; Data'!E$24,IF(AND(M229=1,L229=2),'Specification &amp; Data'!E$25,IF(AND(M229=1,L229=3),'Specification &amp; Data'!E$26,IF(M229=2,0,IF(AND(M229=3,L229=1),'Specification &amp; Data'!I$24,IF(AND(M229=3,L229=2),'Specification &amp; Data'!I$25,IF(AND(M229=3,L229=3),'Specification &amp; Data'!I$26)))))))</f>
        <v>-178.61733099000003</v>
      </c>
      <c r="V229" s="27">
        <f>'Specification &amp; Data'!B$46-Simulation!S229-Simulation!T229-Simulation!U229</f>
        <v>743.28677143336552</v>
      </c>
      <c r="W229" s="27">
        <f>Simulation!V229/Simulation!Y229</f>
        <v>1.2788036512712906</v>
      </c>
      <c r="X229" s="27">
        <f>60*Simulation!Q229/(2*'Specification &amp; Data'!B$15*PI())</f>
        <v>434.38512401714632</v>
      </c>
      <c r="Y229" s="27">
        <f>IF(L229=1,'Specification &amp; Data'!B$56,IF(L229=2,'Specification &amp; Data'!B$57,IF(L229=3,'Specification &amp; Data'!B$58)))</f>
        <v>581.23604096253996</v>
      </c>
      <c r="Z229" s="38">
        <f>Simulation!Y229*Simulation!Q229^2/(2*1000)</f>
        <v>38.796906429211759</v>
      </c>
    </row>
    <row r="230" spans="7:26">
      <c r="G230" s="44">
        <v>6500</v>
      </c>
      <c r="H230" s="44">
        <v>17.8</v>
      </c>
      <c r="I230" s="38">
        <f>Simulation!H230*746/1000</f>
        <v>13.2788</v>
      </c>
      <c r="J230" s="38">
        <f>60*1000*Simulation!I230/(2*PI()*Simulation!G230)</f>
        <v>19.508184538418398</v>
      </c>
      <c r="K230" s="37">
        <v>443.8</v>
      </c>
      <c r="L230" s="27">
        <f>IF(Q230&lt;='Specification &amp; Data'!I$7,1,IF(AND(Q230&gt;'Specification &amp; Data'!I$7,Q230&lt;='Specification &amp; Data'!I$8),2,IF(Q230&gt;'Specification &amp; Data'!I$8,3)))</f>
        <v>3</v>
      </c>
      <c r="M230" s="35">
        <v>3</v>
      </c>
      <c r="N230" s="33">
        <f t="shared" si="3"/>
        <v>225</v>
      </c>
      <c r="O230" s="27">
        <f>O229+(1/Simulation!Q230)</f>
        <v>38.782438673801586</v>
      </c>
      <c r="P230" s="38">
        <f>Simulation!Q230*3.6</f>
        <v>41.99142608748739</v>
      </c>
      <c r="Q230" s="38">
        <f>MIN('Specification &amp; Data'!I$9,SQRT(2*Simulation!R229+Simulation!Q229^2))</f>
        <v>11.664285024302053</v>
      </c>
      <c r="R230" s="38">
        <f>IF(Q230=Q229,0,IF(Q230&lt;&gt;Q229,Simulation!V230/Simulation!Y230))</f>
        <v>1.2771323331379529</v>
      </c>
      <c r="S230" s="27">
        <f>'Specification &amp; Data'!B$11*'Specification &amp; Data'!B$21*'Specification &amp; Data'!B$23*(Simulation!Q230-'Specification &amp; Data'!B$22)^2/2</f>
        <v>41.843905214479086</v>
      </c>
      <c r="T230" s="27">
        <f>IF(AND(M230=1,L230=1),'Specification &amp; Data'!E$14,IF(AND(M230=1,L230=2),'Specification &amp; Data'!E$15,IF(AND(M230=1,L230=3),'Specification &amp; Data'!E$16,IF(AND(M230=2,L230=1),'Specification &amp; Data'!F$14,IF(AND(M230=2,L230=2),'Specification &amp; Data'!F$15,IF(AND(M230=2,L230=3),'Specification &amp; Data'!F$16,IF(AND(M230=3,L230=1),'Specification &amp; Data'!I$14,IF(AND(M230=3,L230=2),'Specification &amp; Data'!I$15,IF(AND(M230=3,L230=3),'Specification &amp; Data'!I$16)))))))))</f>
        <v>102.35950200000001</v>
      </c>
      <c r="U230" s="27">
        <f>IF(AND(M230=1,L230=1),'Specification &amp; Data'!E$24,IF(AND(M230=1,L230=2),'Specification &amp; Data'!E$25,IF(AND(M230=1,L230=3),'Specification &amp; Data'!E$26,IF(M230=2,0,IF(AND(M230=3,L230=1),'Specification &amp; Data'!I$24,IF(AND(M230=3,L230=2),'Specification &amp; Data'!I$25,IF(AND(M230=3,L230=3),'Specification &amp; Data'!I$26)))))))</f>
        <v>-178.61733099000003</v>
      </c>
      <c r="V230" s="27">
        <f>'Specification &amp; Data'!B$46-Simulation!S230-Simulation!T230-Simulation!U230</f>
        <v>742.31534109835547</v>
      </c>
      <c r="W230" s="27">
        <f>Simulation!V230/Simulation!Y230</f>
        <v>1.2771323331379529</v>
      </c>
      <c r="X230" s="27">
        <f>60*Simulation!Q230/(2*'Specification &amp; Data'!B$15*PI())</f>
        <v>438.52644549223004</v>
      </c>
      <c r="Y230" s="27">
        <f>IF(L230=1,'Specification &amp; Data'!B$56,IF(L230=2,'Specification &amp; Data'!B$57,IF(L230=3,'Specification &amp; Data'!B$58)))</f>
        <v>581.23604096253996</v>
      </c>
      <c r="Z230" s="38">
        <f>Simulation!Y230*Simulation!Q230^2/(2*1000)</f>
        <v>39.540193200645128</v>
      </c>
    </row>
    <row r="231" spans="7:26">
      <c r="G231" s="44">
        <v>6500</v>
      </c>
      <c r="H231" s="44">
        <v>17.8</v>
      </c>
      <c r="I231" s="38">
        <f>Simulation!H231*746/1000</f>
        <v>13.2788</v>
      </c>
      <c r="J231" s="38">
        <f>60*1000*Simulation!I231/(2*PI()*Simulation!G231)</f>
        <v>19.508184538418398</v>
      </c>
      <c r="K231" s="37">
        <v>443.8</v>
      </c>
      <c r="L231" s="27">
        <f>IF(Q231&lt;='Specification &amp; Data'!I$7,1,IF(AND(Q231&gt;'Specification &amp; Data'!I$7,Q231&lt;='Specification &amp; Data'!I$8),2,IF(Q231&gt;'Specification &amp; Data'!I$8,3)))</f>
        <v>3</v>
      </c>
      <c r="M231" s="35">
        <v>3</v>
      </c>
      <c r="N231" s="33">
        <f t="shared" si="3"/>
        <v>226</v>
      </c>
      <c r="O231" s="27">
        <f>O230+(1/Simulation!Q231)</f>
        <v>38.867376866561152</v>
      </c>
      <c r="P231" s="38">
        <f>Simulation!Q231*3.6</f>
        <v>42.383760273669118</v>
      </c>
      <c r="Q231" s="38">
        <f>MIN('Specification &amp; Data'!I$9,SQRT(2*Simulation!R230+Simulation!Q230^2))</f>
        <v>11.773266742685866</v>
      </c>
      <c r="R231" s="38">
        <f>IF(Q231=Q230,0,IF(Q231&lt;&gt;Q230,Simulation!V231/Simulation!Y231))</f>
        <v>1.275459488824936</v>
      </c>
      <c r="S231" s="27">
        <f>'Specification &amp; Data'!B$11*'Specification &amp; Data'!B$21*'Specification &amp; Data'!B$23*(Simulation!Q231-'Specification &amp; Data'!B$22)^2/2</f>
        <v>42.816222620123803</v>
      </c>
      <c r="T231" s="27">
        <f>IF(AND(M231=1,L231=1),'Specification &amp; Data'!E$14,IF(AND(M231=1,L231=2),'Specification &amp; Data'!E$15,IF(AND(M231=1,L231=3),'Specification &amp; Data'!E$16,IF(AND(M231=2,L231=1),'Specification &amp; Data'!F$14,IF(AND(M231=2,L231=2),'Specification &amp; Data'!F$15,IF(AND(M231=2,L231=3),'Specification &amp; Data'!F$16,IF(AND(M231=3,L231=1),'Specification &amp; Data'!I$14,IF(AND(M231=3,L231=2),'Specification &amp; Data'!I$15,IF(AND(M231=3,L231=3),'Specification &amp; Data'!I$16)))))))))</f>
        <v>102.35950200000001</v>
      </c>
      <c r="U231" s="27">
        <f>IF(AND(M231=1,L231=1),'Specification &amp; Data'!E$24,IF(AND(M231=1,L231=2),'Specification &amp; Data'!E$25,IF(AND(M231=1,L231=3),'Specification &amp; Data'!E$26,IF(M231=2,0,IF(AND(M231=3,L231=1),'Specification &amp; Data'!I$24,IF(AND(M231=3,L231=2),'Specification &amp; Data'!I$25,IF(AND(M231=3,L231=3),'Specification &amp; Data'!I$26)))))))</f>
        <v>-178.61733099000003</v>
      </c>
      <c r="V231" s="27">
        <f>'Specification &amp; Data'!B$46-Simulation!S231-Simulation!T231-Simulation!U231</f>
        <v>741.34302369271074</v>
      </c>
      <c r="W231" s="27">
        <f>Simulation!V231/Simulation!Y231</f>
        <v>1.275459488824936</v>
      </c>
      <c r="X231" s="27">
        <f>60*Simulation!Q231/(2*'Specification &amp; Data'!B$15*PI())</f>
        <v>442.62368467036367</v>
      </c>
      <c r="Y231" s="27">
        <f>IF(L231=1,'Specification &amp; Data'!B$56,IF(L231=2,'Specification &amp; Data'!B$57,IF(L231=3,'Specification &amp; Data'!B$58)))</f>
        <v>581.23604096253996</v>
      </c>
      <c r="Z231" s="38">
        <f>Simulation!Y231*Simulation!Q231^2/(2*1000)</f>
        <v>40.282508541743482</v>
      </c>
    </row>
    <row r="232" spans="7:26">
      <c r="G232" s="44">
        <v>7000</v>
      </c>
      <c r="H232" s="44">
        <v>12.45</v>
      </c>
      <c r="I232" s="38">
        <f>Simulation!H232*746/1000</f>
        <v>9.2876999999999992</v>
      </c>
      <c r="J232" s="38">
        <f>60*1000*Simulation!I232/(2*PI()*Simulation!G232)</f>
        <v>12.670143128182255</v>
      </c>
      <c r="K232" s="37">
        <v>443.8</v>
      </c>
      <c r="L232" s="27">
        <f>IF(Q232&lt;='Specification &amp; Data'!I$7,1,IF(AND(Q232&gt;'Specification &amp; Data'!I$7,Q232&lt;='Specification &amp; Data'!I$8),2,IF(Q232&gt;'Specification &amp; Data'!I$8,3)))</f>
        <v>3</v>
      </c>
      <c r="M232" s="35">
        <v>3</v>
      </c>
      <c r="N232" s="33">
        <f t="shared" si="3"/>
        <v>227</v>
      </c>
      <c r="O232" s="27">
        <f>O231+(1/Simulation!Q232)</f>
        <v>38.951544100358952</v>
      </c>
      <c r="P232" s="38">
        <f>Simulation!Q232*3.6</f>
        <v>42.771989021860968</v>
      </c>
      <c r="Q232" s="38">
        <f>MIN('Specification &amp; Data'!I$9,SQRT(2*Simulation!R231+Simulation!Q231^2))</f>
        <v>11.881108061628046</v>
      </c>
      <c r="R232" s="38">
        <f>IF(Q232=Q231,0,IF(Q232&lt;&gt;Q231,Simulation!V232/Simulation!Y232))</f>
        <v>1.2737852367346774</v>
      </c>
      <c r="S232" s="27">
        <f>'Specification &amp; Data'!B$11*'Specification &amp; Data'!B$21*'Specification &amp; Data'!B$23*(Simulation!Q232-'Specification &amp; Data'!B$22)^2/2</f>
        <v>43.7893582766389</v>
      </c>
      <c r="T232" s="27">
        <f>IF(AND(M232=1,L232=1),'Specification &amp; Data'!E$14,IF(AND(M232=1,L232=2),'Specification &amp; Data'!E$15,IF(AND(M232=1,L232=3),'Specification &amp; Data'!E$16,IF(AND(M232=2,L232=1),'Specification &amp; Data'!F$14,IF(AND(M232=2,L232=2),'Specification &amp; Data'!F$15,IF(AND(M232=2,L232=3),'Specification &amp; Data'!F$16,IF(AND(M232=3,L232=1),'Specification &amp; Data'!I$14,IF(AND(M232=3,L232=2),'Specification &amp; Data'!I$15,IF(AND(M232=3,L232=3),'Specification &amp; Data'!I$16)))))))))</f>
        <v>102.35950200000001</v>
      </c>
      <c r="U232" s="27">
        <f>IF(AND(M232=1,L232=1),'Specification &amp; Data'!E$24,IF(AND(M232=1,L232=2),'Specification &amp; Data'!E$25,IF(AND(M232=1,L232=3),'Specification &amp; Data'!E$26,IF(M232=2,0,IF(AND(M232=3,L232=1),'Specification &amp; Data'!I$24,IF(AND(M232=3,L232=2),'Specification &amp; Data'!I$25,IF(AND(M232=3,L232=3),'Specification &amp; Data'!I$26)))))))</f>
        <v>-178.61733099000003</v>
      </c>
      <c r="V232" s="27">
        <f>'Specification &amp; Data'!B$46-Simulation!S232-Simulation!T232-Simulation!U232</f>
        <v>740.36988803619556</v>
      </c>
      <c r="W232" s="27">
        <f>Simulation!V232/Simulation!Y232</f>
        <v>1.2737852367346774</v>
      </c>
      <c r="X232" s="27">
        <f>60*Simulation!Q232/(2*'Specification &amp; Data'!B$15*PI())</f>
        <v>446.67804978355997</v>
      </c>
      <c r="Y232" s="27">
        <f>IF(L232=1,'Specification &amp; Data'!B$56,IF(L232=2,'Specification &amp; Data'!B$57,IF(L232=3,'Specification &amp; Data'!B$58)))</f>
        <v>581.23604096253996</v>
      </c>
      <c r="Z232" s="38">
        <f>Simulation!Y232*Simulation!Q232^2/(2*1000)</f>
        <v>41.023851565436189</v>
      </c>
    </row>
    <row r="233" spans="7:26">
      <c r="G233" s="44">
        <v>7000</v>
      </c>
      <c r="H233" s="44">
        <v>12.45</v>
      </c>
      <c r="I233" s="38">
        <f>Simulation!H233*746/1000</f>
        <v>9.2876999999999992</v>
      </c>
      <c r="J233" s="38">
        <f>60*1000*Simulation!I233/(2*PI()*Simulation!G233)</f>
        <v>12.670143128182255</v>
      </c>
      <c r="K233" s="37">
        <v>443.8</v>
      </c>
      <c r="L233" s="27">
        <f>IF(Q233&lt;='Specification &amp; Data'!I$7,1,IF(AND(Q233&gt;'Specification &amp; Data'!I$7,Q233&lt;='Specification &amp; Data'!I$8),2,IF(Q233&gt;'Specification &amp; Data'!I$8,3)))</f>
        <v>3</v>
      </c>
      <c r="M233" s="35">
        <v>3</v>
      </c>
      <c r="N233" s="33">
        <f t="shared" si="3"/>
        <v>228</v>
      </c>
      <c r="O233" s="27">
        <f>O232+(1/Simulation!Q233)</f>
        <v>39.034961966295725</v>
      </c>
      <c r="P233" s="38">
        <f>Simulation!Q233*3.6</f>
        <v>43.156222705681252</v>
      </c>
      <c r="Q233" s="38">
        <f>MIN('Specification &amp; Data'!I$9,SQRT(2*Simulation!R232+Simulation!Q232^2))</f>
        <v>11.987839640467014</v>
      </c>
      <c r="R233" s="38">
        <f>IF(Q233=Q232,0,IF(Q233&lt;&gt;Q232,Simulation!V233/Simulation!Y233))</f>
        <v>1.2721096897455748</v>
      </c>
      <c r="S233" s="27">
        <f>'Specification &amp; Data'!B$11*'Specification &amp; Data'!B$21*'Specification &amp; Data'!B$23*(Simulation!Q233-'Specification &amp; Data'!B$22)^2/2</f>
        <v>44.763246575031481</v>
      </c>
      <c r="T233" s="27">
        <f>IF(AND(M233=1,L233=1),'Specification &amp; Data'!E$14,IF(AND(M233=1,L233=2),'Specification &amp; Data'!E$15,IF(AND(M233=1,L233=3),'Specification &amp; Data'!E$16,IF(AND(M233=2,L233=1),'Specification &amp; Data'!F$14,IF(AND(M233=2,L233=2),'Specification &amp; Data'!F$15,IF(AND(M233=2,L233=3),'Specification &amp; Data'!F$16,IF(AND(M233=3,L233=1),'Specification &amp; Data'!I$14,IF(AND(M233=3,L233=2),'Specification &amp; Data'!I$15,IF(AND(M233=3,L233=3),'Specification &amp; Data'!I$16)))))))))</f>
        <v>102.35950200000001</v>
      </c>
      <c r="U233" s="27">
        <f>IF(AND(M233=1,L233=1),'Specification &amp; Data'!E$24,IF(AND(M233=1,L233=2),'Specification &amp; Data'!E$25,IF(AND(M233=1,L233=3),'Specification &amp; Data'!E$26,IF(M233=2,0,IF(AND(M233=3,L233=1),'Specification &amp; Data'!I$24,IF(AND(M233=3,L233=2),'Specification &amp; Data'!I$25,IF(AND(M233=3,L233=3),'Specification &amp; Data'!I$26)))))))</f>
        <v>-178.61733099000003</v>
      </c>
      <c r="V233" s="27">
        <f>'Specification &amp; Data'!B$46-Simulation!S233-Simulation!T233-Simulation!U233</f>
        <v>739.39599973780298</v>
      </c>
      <c r="W233" s="27">
        <f>Simulation!V233/Simulation!Y233</f>
        <v>1.2721096897455748</v>
      </c>
      <c r="X233" s="27">
        <f>60*Simulation!Q233/(2*'Specification &amp; Data'!B$15*PI())</f>
        <v>450.69069348975466</v>
      </c>
      <c r="Y233" s="27">
        <f>IF(L233=1,'Specification &amp; Data'!B$56,IF(L233=2,'Specification &amp; Data'!B$57,IF(L233=3,'Specification &amp; Data'!B$58)))</f>
        <v>581.23604096253996</v>
      </c>
      <c r="Z233" s="38">
        <f>Simulation!Y233*Simulation!Q233^2/(2*1000)</f>
        <v>41.764221453472388</v>
      </c>
    </row>
    <row r="234" spans="7:26">
      <c r="G234" s="44">
        <v>7000</v>
      </c>
      <c r="H234" s="44">
        <v>12.45</v>
      </c>
      <c r="I234" s="38">
        <f>Simulation!H234*746/1000</f>
        <v>9.2876999999999992</v>
      </c>
      <c r="J234" s="38">
        <f>60*1000*Simulation!I234/(2*PI()*Simulation!G234)</f>
        <v>12.670143128182255</v>
      </c>
      <c r="K234" s="37">
        <v>443.8</v>
      </c>
      <c r="L234" s="27">
        <f>IF(Q234&lt;='Specification &amp; Data'!I$7,1,IF(AND(Q234&gt;'Specification &amp; Data'!I$7,Q234&lt;='Specification &amp; Data'!I$8),2,IF(Q234&gt;'Specification &amp; Data'!I$8,3)))</f>
        <v>3</v>
      </c>
      <c r="M234" s="35">
        <v>3</v>
      </c>
      <c r="N234" s="33">
        <f t="shared" si="3"/>
        <v>229</v>
      </c>
      <c r="O234" s="27">
        <f>O233+(1/Simulation!Q234)</f>
        <v>39.117651077348462</v>
      </c>
      <c r="P234" s="38">
        <f>Simulation!Q234*3.6</f>
        <v>43.536566715584769</v>
      </c>
      <c r="Q234" s="38">
        <f>MIN('Specification &amp; Data'!I$9,SQRT(2*Simulation!R233+Simulation!Q233^2))</f>
        <v>12.093490754329101</v>
      </c>
      <c r="R234" s="38">
        <f>IF(Q234=Q233,0,IF(Q234&lt;&gt;Q233,Simulation!V234/Simulation!Y234))</f>
        <v>1.2704329555599929</v>
      </c>
      <c r="S234" s="27">
        <f>'Specification &amp; Data'!B$11*'Specification &amp; Data'!B$21*'Specification &amp; Data'!B$23*(Simulation!Q234-'Specification &amp; Data'!B$22)^2/2</f>
        <v>45.737824914805721</v>
      </c>
      <c r="T234" s="27">
        <f>IF(AND(M234=1,L234=1),'Specification &amp; Data'!E$14,IF(AND(M234=1,L234=2),'Specification &amp; Data'!E$15,IF(AND(M234=1,L234=3),'Specification &amp; Data'!E$16,IF(AND(M234=2,L234=1),'Specification &amp; Data'!F$14,IF(AND(M234=2,L234=2),'Specification &amp; Data'!F$15,IF(AND(M234=2,L234=3),'Specification &amp; Data'!F$16,IF(AND(M234=3,L234=1),'Specification &amp; Data'!I$14,IF(AND(M234=3,L234=2),'Specification &amp; Data'!I$15,IF(AND(M234=3,L234=3),'Specification &amp; Data'!I$16)))))))))</f>
        <v>102.35950200000001</v>
      </c>
      <c r="U234" s="27">
        <f>IF(AND(M234=1,L234=1),'Specification &amp; Data'!E$24,IF(AND(M234=1,L234=2),'Specification &amp; Data'!E$25,IF(AND(M234=1,L234=3),'Specification &amp; Data'!E$26,IF(M234=2,0,IF(AND(M234=3,L234=1),'Specification &amp; Data'!I$24,IF(AND(M234=3,L234=2),'Specification &amp; Data'!I$25,IF(AND(M234=3,L234=3),'Specification &amp; Data'!I$26)))))))</f>
        <v>-178.61733099000003</v>
      </c>
      <c r="V234" s="27">
        <f>'Specification &amp; Data'!B$46-Simulation!S234-Simulation!T234-Simulation!U234</f>
        <v>738.42142139802877</v>
      </c>
      <c r="W234" s="27">
        <f>Simulation!V234/Simulation!Y234</f>
        <v>1.2704329555599929</v>
      </c>
      <c r="X234" s="27">
        <f>60*Simulation!Q234/(2*'Specification &amp; Data'!B$15*PI())</f>
        <v>454.66271640652218</v>
      </c>
      <c r="Y234" s="27">
        <f>IF(L234=1,'Specification &amp; Data'!B$56,IF(L234=2,'Specification &amp; Data'!B$57,IF(L234=3,'Specification &amp; Data'!B$58)))</f>
        <v>581.23604096253996</v>
      </c>
      <c r="Z234" s="38">
        <f>Simulation!Y234*Simulation!Q234^2/(2*1000)</f>
        <v>42.503617453210197</v>
      </c>
    </row>
    <row r="235" spans="7:26">
      <c r="G235" s="44">
        <v>7000</v>
      </c>
      <c r="H235" s="44">
        <v>12.45</v>
      </c>
      <c r="I235" s="38">
        <f>Simulation!H235*746/1000</f>
        <v>9.2876999999999992</v>
      </c>
      <c r="J235" s="38">
        <f>60*1000*Simulation!I235/(2*PI()*Simulation!G235)</f>
        <v>12.670143128182255</v>
      </c>
      <c r="K235" s="37">
        <v>443.8</v>
      </c>
      <c r="L235" s="27">
        <f>IF(Q235&lt;='Specification &amp; Data'!I$7,1,IF(AND(Q235&gt;'Specification &amp; Data'!I$7,Q235&lt;='Specification &amp; Data'!I$8),2,IF(Q235&gt;'Specification &amp; Data'!I$8,3)))</f>
        <v>3</v>
      </c>
      <c r="M235" s="35">
        <v>3</v>
      </c>
      <c r="N235" s="33">
        <f t="shared" si="3"/>
        <v>230</v>
      </c>
      <c r="O235" s="27">
        <f>O234+(1/Simulation!Q235)</f>
        <v>39.199631129207532</v>
      </c>
      <c r="P235" s="38">
        <f>Simulation!Q235*3.6</f>
        <v>43.913121770020837</v>
      </c>
      <c r="Q235" s="38">
        <f>MIN('Specification &amp; Data'!I$9,SQRT(2*Simulation!R234+Simulation!Q234^2))</f>
        <v>12.198089380561344</v>
      </c>
      <c r="R235" s="38">
        <f>IF(Q235=Q234,0,IF(Q235&lt;&gt;Q234,Simulation!V235/Simulation!Y235))</f>
        <v>1.268755137024435</v>
      </c>
      <c r="S235" s="27">
        <f>'Specification &amp; Data'!B$11*'Specification &amp; Data'!B$21*'Specification &amp; Data'!B$23*(Simulation!Q235-'Specification &amp; Data'!B$22)^2/2</f>
        <v>46.713033517867075</v>
      </c>
      <c r="T235" s="27">
        <f>IF(AND(M235=1,L235=1),'Specification &amp; Data'!E$14,IF(AND(M235=1,L235=2),'Specification &amp; Data'!E$15,IF(AND(M235=1,L235=3),'Specification &amp; Data'!E$16,IF(AND(M235=2,L235=1),'Specification &amp; Data'!F$14,IF(AND(M235=2,L235=2),'Specification &amp; Data'!F$15,IF(AND(M235=2,L235=3),'Specification &amp; Data'!F$16,IF(AND(M235=3,L235=1),'Specification &amp; Data'!I$14,IF(AND(M235=3,L235=2),'Specification &amp; Data'!I$15,IF(AND(M235=3,L235=3),'Specification &amp; Data'!I$16)))))))))</f>
        <v>102.35950200000001</v>
      </c>
      <c r="U235" s="27">
        <f>IF(AND(M235=1,L235=1),'Specification &amp; Data'!E$24,IF(AND(M235=1,L235=2),'Specification &amp; Data'!E$25,IF(AND(M235=1,L235=3),'Specification &amp; Data'!E$26,IF(M235=2,0,IF(AND(M235=3,L235=1),'Specification &amp; Data'!I$24,IF(AND(M235=3,L235=2),'Specification &amp; Data'!I$25,IF(AND(M235=3,L235=3),'Specification &amp; Data'!I$26)))))))</f>
        <v>-178.61733099000003</v>
      </c>
      <c r="V235" s="27">
        <f>'Specification &amp; Data'!B$46-Simulation!S235-Simulation!T235-Simulation!U235</f>
        <v>737.44621279496744</v>
      </c>
      <c r="W235" s="27">
        <f>Simulation!V235/Simulation!Y235</f>
        <v>1.268755137024435</v>
      </c>
      <c r="X235" s="27">
        <f>60*Simulation!Q235/(2*'Specification &amp; Data'!B$15*PI())</f>
        <v>458.59517036057326</v>
      </c>
      <c r="Y235" s="27">
        <f>IF(L235=1,'Specification &amp; Data'!B$56,IF(L235=2,'Specification &amp; Data'!B$57,IF(L235=3,'Specification &amp; Data'!B$58)))</f>
        <v>581.23604096253996</v>
      </c>
      <c r="Z235" s="38">
        <f>Simulation!Y235*Simulation!Q235^2/(2*1000)</f>
        <v>43.24203887460822</v>
      </c>
    </row>
    <row r="236" spans="7:26">
      <c r="G236" s="44">
        <v>7000</v>
      </c>
      <c r="H236" s="44">
        <v>12.45</v>
      </c>
      <c r="I236" s="38">
        <f>Simulation!H236*746/1000</f>
        <v>9.2876999999999992</v>
      </c>
      <c r="J236" s="38">
        <f>60*1000*Simulation!I236/(2*PI()*Simulation!G236)</f>
        <v>12.670143128182255</v>
      </c>
      <c r="K236" s="37">
        <v>443.8</v>
      </c>
      <c r="L236" s="27">
        <f>IF(Q236&lt;='Specification &amp; Data'!I$7,1,IF(AND(Q236&gt;'Specification &amp; Data'!I$7,Q236&lt;='Specification &amp; Data'!I$8),2,IF(Q236&gt;'Specification &amp; Data'!I$8,3)))</f>
        <v>3</v>
      </c>
      <c r="M236" s="35">
        <v>3</v>
      </c>
      <c r="N236" s="33">
        <f t="shared" si="3"/>
        <v>231</v>
      </c>
      <c r="O236" s="27">
        <f>O235+(1/Simulation!Q236)</f>
        <v>39.280920956336111</v>
      </c>
      <c r="P236" s="38">
        <f>Simulation!Q236*3.6</f>
        <v>44.285984202006297</v>
      </c>
      <c r="Q236" s="38">
        <f>MIN('Specification &amp; Data'!I$9,SQRT(2*Simulation!R235+Simulation!Q235^2))</f>
        <v>12.301662278335082</v>
      </c>
      <c r="R236" s="38">
        <f>IF(Q236=Q235,0,IF(Q236&lt;&gt;Q235,Simulation!V236/Simulation!Y236))</f>
        <v>1.2670763324245622</v>
      </c>
      <c r="S236" s="27">
        <f>'Specification &amp; Data'!B$11*'Specification &amp; Data'!B$21*'Specification &amp; Data'!B$23*(Simulation!Q236-'Specification &amp; Data'!B$22)^2/2</f>
        <v>47.688815257046869</v>
      </c>
      <c r="T236" s="27">
        <f>IF(AND(M236=1,L236=1),'Specification &amp; Data'!E$14,IF(AND(M236=1,L236=2),'Specification &amp; Data'!E$15,IF(AND(M236=1,L236=3),'Specification &amp; Data'!E$16,IF(AND(M236=2,L236=1),'Specification &amp; Data'!F$14,IF(AND(M236=2,L236=2),'Specification &amp; Data'!F$15,IF(AND(M236=2,L236=3),'Specification &amp; Data'!F$16,IF(AND(M236=3,L236=1),'Specification &amp; Data'!I$14,IF(AND(M236=3,L236=2),'Specification &amp; Data'!I$15,IF(AND(M236=3,L236=3),'Specification &amp; Data'!I$16)))))))))</f>
        <v>102.35950200000001</v>
      </c>
      <c r="U236" s="27">
        <f>IF(AND(M236=1,L236=1),'Specification &amp; Data'!E$24,IF(AND(M236=1,L236=2),'Specification &amp; Data'!E$25,IF(AND(M236=1,L236=3),'Specification &amp; Data'!E$26,IF(M236=2,0,IF(AND(M236=3,L236=1),'Specification &amp; Data'!I$24,IF(AND(M236=3,L236=2),'Specification &amp; Data'!I$25,IF(AND(M236=3,L236=3),'Specification &amp; Data'!I$26)))))))</f>
        <v>-178.61733099000003</v>
      </c>
      <c r="V236" s="27">
        <f>'Specification &amp; Data'!B$46-Simulation!S236-Simulation!T236-Simulation!U236</f>
        <v>736.47043105578769</v>
      </c>
      <c r="W236" s="27">
        <f>Simulation!V236/Simulation!Y236</f>
        <v>1.2670763324245622</v>
      </c>
      <c r="X236" s="27">
        <f>60*Simulation!Q236/(2*'Specification &amp; Data'!B$15*PI())</f>
        <v>462.48906138050449</v>
      </c>
      <c r="Y236" s="27">
        <f>IF(L236=1,'Specification &amp; Data'!B$56,IF(L236=2,'Specification &amp; Data'!B$57,IF(L236=3,'Specification &amp; Data'!B$58)))</f>
        <v>581.23604096253996</v>
      </c>
      <c r="Z236" s="38">
        <f>Simulation!Y236*Simulation!Q236^2/(2*1000)</f>
        <v>43.979485087403184</v>
      </c>
    </row>
    <row r="237" spans="7:26">
      <c r="G237" s="44">
        <v>7000</v>
      </c>
      <c r="H237" s="44">
        <v>12.45</v>
      </c>
      <c r="I237" s="38">
        <f>Simulation!H237*746/1000</f>
        <v>9.2876999999999992</v>
      </c>
      <c r="J237" s="38">
        <f>60*1000*Simulation!I237/(2*PI()*Simulation!G237)</f>
        <v>12.670143128182255</v>
      </c>
      <c r="K237" s="37">
        <v>443.8</v>
      </c>
      <c r="L237" s="27">
        <f>IF(Q237&lt;='Specification &amp; Data'!I$7,1,IF(AND(Q237&gt;'Specification &amp; Data'!I$7,Q237&lt;='Specification &amp; Data'!I$8),2,IF(Q237&gt;'Specification &amp; Data'!I$8,3)))</f>
        <v>3</v>
      </c>
      <c r="M237" s="35">
        <v>3</v>
      </c>
      <c r="N237" s="33">
        <f t="shared" si="3"/>
        <v>232</v>
      </c>
      <c r="O237" s="27">
        <f>O236+(1/Simulation!Q237)</f>
        <v>39.361538583702583</v>
      </c>
      <c r="P237" s="38">
        <f>Simulation!Q237*3.6</f>
        <v>44.655246223448323</v>
      </c>
      <c r="Q237" s="38">
        <f>MIN('Specification &amp; Data'!I$9,SQRT(2*Simulation!R236+Simulation!Q236^2))</f>
        <v>12.404235062068979</v>
      </c>
      <c r="R237" s="38">
        <f>IF(Q237=Q236,0,IF(Q237&lt;&gt;Q236,Simulation!V237/Simulation!Y237))</f>
        <v>1.2653966357574391</v>
      </c>
      <c r="S237" s="27">
        <f>'Specification &amp; Data'!B$11*'Specification &amp; Data'!B$21*'Specification &amp; Data'!B$23*(Simulation!Q237-'Specification &amp; Data'!B$22)^2/2</f>
        <v>48.665115497863283</v>
      </c>
      <c r="T237" s="27">
        <f>IF(AND(M237=1,L237=1),'Specification &amp; Data'!E$14,IF(AND(M237=1,L237=2),'Specification &amp; Data'!E$15,IF(AND(M237=1,L237=3),'Specification &amp; Data'!E$16,IF(AND(M237=2,L237=1),'Specification &amp; Data'!F$14,IF(AND(M237=2,L237=2),'Specification &amp; Data'!F$15,IF(AND(M237=2,L237=3),'Specification &amp; Data'!F$16,IF(AND(M237=3,L237=1),'Specification &amp; Data'!I$14,IF(AND(M237=3,L237=2),'Specification &amp; Data'!I$15,IF(AND(M237=3,L237=3),'Specification &amp; Data'!I$16)))))))))</f>
        <v>102.35950200000001</v>
      </c>
      <c r="U237" s="27">
        <f>IF(AND(M237=1,L237=1),'Specification &amp; Data'!E$24,IF(AND(M237=1,L237=2),'Specification &amp; Data'!E$25,IF(AND(M237=1,L237=3),'Specification &amp; Data'!E$26,IF(M237=2,0,IF(AND(M237=3,L237=1),'Specification &amp; Data'!I$24,IF(AND(M237=3,L237=2),'Specification &amp; Data'!I$25,IF(AND(M237=3,L237=3),'Specification &amp; Data'!I$26)))))))</f>
        <v>-178.61733099000003</v>
      </c>
      <c r="V237" s="27">
        <f>'Specification &amp; Data'!B$46-Simulation!S237-Simulation!T237-Simulation!U237</f>
        <v>735.49413081497119</v>
      </c>
      <c r="W237" s="27">
        <f>Simulation!V237/Simulation!Y237</f>
        <v>1.2653966357574391</v>
      </c>
      <c r="X237" s="27">
        <f>60*Simulation!Q237/(2*'Specification &amp; Data'!B$15*PI())</f>
        <v>466.34535245718456</v>
      </c>
      <c r="Y237" s="27">
        <f>IF(L237=1,'Specification &amp; Data'!B$56,IF(L237=2,'Specification &amp; Data'!B$57,IF(L237=3,'Specification &amp; Data'!B$58)))</f>
        <v>581.23604096253996</v>
      </c>
      <c r="Z237" s="38">
        <f>Simulation!Y237*Simulation!Q237^2/(2*1000)</f>
        <v>44.715955518458969</v>
      </c>
    </row>
    <row r="238" spans="7:26">
      <c r="G238" s="44">
        <v>6900</v>
      </c>
      <c r="H238" s="44">
        <v>12.97</v>
      </c>
      <c r="I238" s="38">
        <f>Simulation!H238*746/1000</f>
        <v>9.6756200000000003</v>
      </c>
      <c r="J238" s="38">
        <f>60*1000*Simulation!I238/(2*PI()*Simulation!G238)</f>
        <v>13.390632612859172</v>
      </c>
      <c r="K238" s="37">
        <v>443.8</v>
      </c>
      <c r="L238" s="27">
        <f>IF(Q238&lt;='Specification &amp; Data'!I$7,1,IF(AND(Q238&gt;'Specification &amp; Data'!I$7,Q238&lt;='Specification &amp; Data'!I$8),2,IF(Q238&gt;'Specification &amp; Data'!I$8,3)))</f>
        <v>3</v>
      </c>
      <c r="M238" s="35">
        <v>3</v>
      </c>
      <c r="N238" s="33">
        <f t="shared" si="3"/>
        <v>233</v>
      </c>
      <c r="O238" s="27">
        <f>O237+(1/Simulation!Q238)</f>
        <v>39.441501274587139</v>
      </c>
      <c r="P238" s="38">
        <f>Simulation!Q238*3.6</f>
        <v>45.020996169294492</v>
      </c>
      <c r="Q238" s="38">
        <f>MIN('Specification &amp; Data'!I$9,SQRT(2*Simulation!R237+Simulation!Q237^2))</f>
        <v>12.505832269248469</v>
      </c>
      <c r="R238" s="38">
        <f>IF(Q238=Q237,0,IF(Q238&lt;&gt;Q237,Simulation!V238/Simulation!Y238))</f>
        <v>1.2637161369831256</v>
      </c>
      <c r="S238" s="27">
        <f>'Specification &amp; Data'!B$11*'Specification &amp; Data'!B$21*'Specification &amp; Data'!B$23*(Simulation!Q238-'Specification &amp; Data'!B$22)^2/2</f>
        <v>49.641881952287825</v>
      </c>
      <c r="T238" s="27">
        <f>IF(AND(M238=1,L238=1),'Specification &amp; Data'!E$14,IF(AND(M238=1,L238=2),'Specification &amp; Data'!E$15,IF(AND(M238=1,L238=3),'Specification &amp; Data'!E$16,IF(AND(M238=2,L238=1),'Specification &amp; Data'!F$14,IF(AND(M238=2,L238=2),'Specification &amp; Data'!F$15,IF(AND(M238=2,L238=3),'Specification &amp; Data'!F$16,IF(AND(M238=3,L238=1),'Specification &amp; Data'!I$14,IF(AND(M238=3,L238=2),'Specification &amp; Data'!I$15,IF(AND(M238=3,L238=3),'Specification &amp; Data'!I$16)))))))))</f>
        <v>102.35950200000001</v>
      </c>
      <c r="U238" s="27">
        <f>IF(AND(M238=1,L238=1),'Specification &amp; Data'!E$24,IF(AND(M238=1,L238=2),'Specification &amp; Data'!E$25,IF(AND(M238=1,L238=3),'Specification &amp; Data'!E$26,IF(M238=2,0,IF(AND(M238=3,L238=1),'Specification &amp; Data'!I$24,IF(AND(M238=3,L238=2),'Specification &amp; Data'!I$25,IF(AND(M238=3,L238=3),'Specification &amp; Data'!I$26)))))))</f>
        <v>-178.61733099000003</v>
      </c>
      <c r="V238" s="27">
        <f>'Specification &amp; Data'!B$46-Simulation!S238-Simulation!T238-Simulation!U238</f>
        <v>734.51736436054671</v>
      </c>
      <c r="W238" s="27">
        <f>Simulation!V238/Simulation!Y238</f>
        <v>1.2637161369831256</v>
      </c>
      <c r="X238" s="27">
        <f>60*Simulation!Q238/(2*'Specification &amp; Data'!B$15*PI())</f>
        <v>470.16496609347132</v>
      </c>
      <c r="Y238" s="27">
        <f>IF(L238=1,'Specification &amp; Data'!B$56,IF(L238=2,'Specification &amp; Data'!B$57,IF(L238=3,'Specification &amp; Data'!B$58)))</f>
        <v>581.23604096253996</v>
      </c>
      <c r="Z238" s="38">
        <f>Simulation!Y238*Simulation!Q238^2/(2*1000)</f>
        <v>45.451449649273947</v>
      </c>
    </row>
    <row r="239" spans="7:26">
      <c r="G239" s="44">
        <v>6900</v>
      </c>
      <c r="H239" s="44">
        <v>12.97</v>
      </c>
      <c r="I239" s="38">
        <f>Simulation!H239*746/1000</f>
        <v>9.6756200000000003</v>
      </c>
      <c r="J239" s="38">
        <f>60*1000*Simulation!I239/(2*PI()*Simulation!G239)</f>
        <v>13.390632612859172</v>
      </c>
      <c r="K239" s="37">
        <v>443.8</v>
      </c>
      <c r="L239" s="27">
        <f>IF(Q239&lt;='Specification &amp; Data'!I$7,1,IF(AND(Q239&gt;'Specification &amp; Data'!I$7,Q239&lt;='Specification &amp; Data'!I$8),2,IF(Q239&gt;'Specification &amp; Data'!I$8,3)))</f>
        <v>3</v>
      </c>
      <c r="M239" s="35">
        <v>3</v>
      </c>
      <c r="N239" s="33">
        <f t="shared" si="3"/>
        <v>234</v>
      </c>
      <c r="O239" s="27">
        <f>O238+(1/Simulation!Q239)</f>
        <v>39.520825574820542</v>
      </c>
      <c r="P239" s="38">
        <f>Simulation!Q239*3.6</f>
        <v>45.38331872336169</v>
      </c>
      <c r="Q239" s="38">
        <f>MIN('Specification &amp; Data'!I$9,SQRT(2*Simulation!R238+Simulation!Q238^2))</f>
        <v>12.606477423156024</v>
      </c>
      <c r="R239" s="38">
        <f>IF(Q239=Q238,0,IF(Q239&lt;&gt;Q238,Simulation!V239/Simulation!Y239))</f>
        <v>1.2620349222574989</v>
      </c>
      <c r="S239" s="27">
        <f>'Specification &amp; Data'!B$11*'Specification &amp; Data'!B$21*'Specification &amp; Data'!B$23*(Simulation!Q239-'Specification &amp; Data'!B$22)^2/2</f>
        <v>50.619064543419022</v>
      </c>
      <c r="T239" s="27">
        <f>IF(AND(M239=1,L239=1),'Specification &amp; Data'!E$14,IF(AND(M239=1,L239=2),'Specification &amp; Data'!E$15,IF(AND(M239=1,L239=3),'Specification &amp; Data'!E$16,IF(AND(M239=2,L239=1),'Specification &amp; Data'!F$14,IF(AND(M239=2,L239=2),'Specification &amp; Data'!F$15,IF(AND(M239=2,L239=3),'Specification &amp; Data'!F$16,IF(AND(M239=3,L239=1),'Specification &amp; Data'!I$14,IF(AND(M239=3,L239=2),'Specification &amp; Data'!I$15,IF(AND(M239=3,L239=3),'Specification &amp; Data'!I$16)))))))))</f>
        <v>102.35950200000001</v>
      </c>
      <c r="U239" s="27">
        <f>IF(AND(M239=1,L239=1),'Specification &amp; Data'!E$24,IF(AND(M239=1,L239=2),'Specification &amp; Data'!E$25,IF(AND(M239=1,L239=3),'Specification &amp; Data'!E$26,IF(M239=2,0,IF(AND(M239=3,L239=1),'Specification &amp; Data'!I$24,IF(AND(M239=3,L239=2),'Specification &amp; Data'!I$25,IF(AND(M239=3,L239=3),'Specification &amp; Data'!I$26)))))))</f>
        <v>-178.61733099000003</v>
      </c>
      <c r="V239" s="27">
        <f>'Specification &amp; Data'!B$46-Simulation!S239-Simulation!T239-Simulation!U239</f>
        <v>733.54018176941554</v>
      </c>
      <c r="W239" s="27">
        <f>Simulation!V239/Simulation!Y239</f>
        <v>1.2620349222574989</v>
      </c>
      <c r="X239" s="27">
        <f>60*Simulation!Q239/(2*'Specification &amp; Data'!B$15*PI())</f>
        <v>473.94878666259694</v>
      </c>
      <c r="Y239" s="27">
        <f>IF(L239=1,'Specification &amp; Data'!B$56,IF(L239=2,'Specification &amp; Data'!B$57,IF(L239=3,'Specification &amp; Data'!B$58)))</f>
        <v>581.23604096253996</v>
      </c>
      <c r="Z239" s="38">
        <f>Simulation!Y239*Simulation!Q239^2/(2*1000)</f>
        <v>46.185967013634496</v>
      </c>
    </row>
    <row r="240" spans="7:26">
      <c r="G240" s="44">
        <v>6900</v>
      </c>
      <c r="H240" s="44">
        <v>12.97</v>
      </c>
      <c r="I240" s="38">
        <f>Simulation!H240*746/1000</f>
        <v>9.6756200000000003</v>
      </c>
      <c r="J240" s="38">
        <f>60*1000*Simulation!I240/(2*PI()*Simulation!G240)</f>
        <v>13.390632612859172</v>
      </c>
      <c r="K240" s="37">
        <v>443.8</v>
      </c>
      <c r="L240" s="27">
        <f>IF(Q240&lt;='Specification &amp; Data'!I$7,1,IF(AND(Q240&gt;'Specification &amp; Data'!I$7,Q240&lt;='Specification &amp; Data'!I$8),2,IF(Q240&gt;'Specification &amp; Data'!I$8,3)))</f>
        <v>3</v>
      </c>
      <c r="M240" s="35">
        <v>3</v>
      </c>
      <c r="N240" s="33">
        <f t="shared" si="3"/>
        <v>235</v>
      </c>
      <c r="O240" s="27">
        <f>O239+(1/Simulation!Q240)</f>
        <v>39.59952735377513</v>
      </c>
      <c r="P240" s="38">
        <f>Simulation!Q240*3.6</f>
        <v>45.742295127498203</v>
      </c>
      <c r="Q240" s="38">
        <f>MIN('Specification &amp; Data'!I$9,SQRT(2*Simulation!R239+Simulation!Q239^2))</f>
        <v>12.706193090971723</v>
      </c>
      <c r="R240" s="38">
        <f>IF(Q240=Q239,0,IF(Q240&lt;&gt;Q239,Simulation!V240/Simulation!Y240))</f>
        <v>1.2603530741480029</v>
      </c>
      <c r="S240" s="27">
        <f>'Specification &amp; Data'!B$11*'Specification &amp; Data'!B$21*'Specification &amp; Data'!B$23*(Simulation!Q240-'Specification &amp; Data'!B$22)^2/2</f>
        <v>51.596615280082631</v>
      </c>
      <c r="T240" s="27">
        <f>IF(AND(M240=1,L240=1),'Specification &amp; Data'!E$14,IF(AND(M240=1,L240=2),'Specification &amp; Data'!E$15,IF(AND(M240=1,L240=3),'Specification &amp; Data'!E$16,IF(AND(M240=2,L240=1),'Specification &amp; Data'!F$14,IF(AND(M240=2,L240=2),'Specification &amp; Data'!F$15,IF(AND(M240=2,L240=3),'Specification &amp; Data'!F$16,IF(AND(M240=3,L240=1),'Specification &amp; Data'!I$14,IF(AND(M240=3,L240=2),'Specification &amp; Data'!I$15,IF(AND(M240=3,L240=3),'Specification &amp; Data'!I$16)))))))))</f>
        <v>102.35950200000001</v>
      </c>
      <c r="U240" s="27">
        <f>IF(AND(M240=1,L240=1),'Specification &amp; Data'!E$24,IF(AND(M240=1,L240=2),'Specification &amp; Data'!E$25,IF(AND(M240=1,L240=3),'Specification &amp; Data'!E$26,IF(M240=2,0,IF(AND(M240=3,L240=1),'Specification &amp; Data'!I$24,IF(AND(M240=3,L240=2),'Specification &amp; Data'!I$25,IF(AND(M240=3,L240=3),'Specification &amp; Data'!I$26)))))))</f>
        <v>-178.61733099000003</v>
      </c>
      <c r="V240" s="27">
        <f>'Specification &amp; Data'!B$46-Simulation!S240-Simulation!T240-Simulation!U240</f>
        <v>732.56263103275182</v>
      </c>
      <c r="W240" s="27">
        <f>Simulation!V240/Simulation!Y240</f>
        <v>1.2603530741480029</v>
      </c>
      <c r="X240" s="27">
        <f>60*Simulation!Q240/(2*'Specification &amp; Data'!B$15*PI())</f>
        <v>477.69766259249724</v>
      </c>
      <c r="Y240" s="27">
        <f>IF(L240=1,'Specification &amp; Data'!B$56,IF(L240=2,'Specification &amp; Data'!B$57,IF(L240=3,'Specification &amp; Data'!B$58)))</f>
        <v>581.23604096253996</v>
      </c>
      <c r="Z240" s="38">
        <f>Simulation!Y240*Simulation!Q240^2/(2*1000)</f>
        <v>46.919507195403909</v>
      </c>
    </row>
    <row r="241" spans="7:26">
      <c r="G241" s="44">
        <v>6900</v>
      </c>
      <c r="H241" s="44">
        <v>12.97</v>
      </c>
      <c r="I241" s="38">
        <f>Simulation!H241*746/1000</f>
        <v>9.6756200000000003</v>
      </c>
      <c r="J241" s="38">
        <f>60*1000*Simulation!I241/(2*PI()*Simulation!G241)</f>
        <v>13.390632612859172</v>
      </c>
      <c r="K241" s="37">
        <v>414.1</v>
      </c>
      <c r="L241" s="27">
        <f>IF(Q241&lt;='Specification &amp; Data'!I$7,1,IF(AND(Q241&gt;'Specification &amp; Data'!I$7,Q241&lt;='Specification &amp; Data'!I$8),2,IF(Q241&gt;'Specification &amp; Data'!I$8,3)))</f>
        <v>3</v>
      </c>
      <c r="M241" s="35">
        <v>3</v>
      </c>
      <c r="N241" s="33">
        <f t="shared" si="3"/>
        <v>236</v>
      </c>
      <c r="O241" s="27">
        <f>O240+(1/Simulation!Q241)</f>
        <v>39.677621842394757</v>
      </c>
      <c r="P241" s="38">
        <f>Simulation!Q241*3.6</f>
        <v>46.098003375559138</v>
      </c>
      <c r="Q241" s="38">
        <f>MIN('Specification &amp; Data'!I$9,SQRT(2*Simulation!R240+Simulation!Q240^2))</f>
        <v>12.805000937655317</v>
      </c>
      <c r="R241" s="38">
        <f>IF(Q241=Q240,0,IF(Q241&lt;&gt;Q240,Simulation!V241/Simulation!Y241))</f>
        <v>1.2586706718338285</v>
      </c>
      <c r="S241" s="27">
        <f>'Specification &amp; Data'!B$11*'Specification &amp; Data'!B$21*'Specification &amp; Data'!B$23*(Simulation!Q241-'Specification &amp; Data'!B$22)^2/2</f>
        <v>52.574488140479602</v>
      </c>
      <c r="T241" s="27">
        <f>IF(AND(M241=1,L241=1),'Specification &amp; Data'!E$14,IF(AND(M241=1,L241=2),'Specification &amp; Data'!E$15,IF(AND(M241=1,L241=3),'Specification &amp; Data'!E$16,IF(AND(M241=2,L241=1),'Specification &amp; Data'!F$14,IF(AND(M241=2,L241=2),'Specification &amp; Data'!F$15,IF(AND(M241=2,L241=3),'Specification &amp; Data'!F$16,IF(AND(M241=3,L241=1),'Specification &amp; Data'!I$14,IF(AND(M241=3,L241=2),'Specification &amp; Data'!I$15,IF(AND(M241=3,L241=3),'Specification &amp; Data'!I$16)))))))))</f>
        <v>102.35950200000001</v>
      </c>
      <c r="U241" s="27">
        <f>IF(AND(M241=1,L241=1),'Specification &amp; Data'!E$24,IF(AND(M241=1,L241=2),'Specification &amp; Data'!E$25,IF(AND(M241=1,L241=3),'Specification &amp; Data'!E$26,IF(M241=2,0,IF(AND(M241=3,L241=1),'Specification &amp; Data'!I$24,IF(AND(M241=3,L241=2),'Specification &amp; Data'!I$25,IF(AND(M241=3,L241=3),'Specification &amp; Data'!I$26)))))))</f>
        <v>-178.61733099000003</v>
      </c>
      <c r="V241" s="27">
        <f>'Specification &amp; Data'!B$46-Simulation!S241-Simulation!T241-Simulation!U241</f>
        <v>731.5847581723549</v>
      </c>
      <c r="W241" s="27">
        <f>Simulation!V241/Simulation!Y241</f>
        <v>1.2586706718338285</v>
      </c>
      <c r="X241" s="27">
        <f>60*Simulation!Q241/(2*'Specification &amp; Data'!B$15*PI())</f>
        <v>481.41240839154295</v>
      </c>
      <c r="Y241" s="27">
        <f>IF(L241=1,'Specification &amp; Data'!B$56,IF(L241=2,'Specification &amp; Data'!B$57,IF(L241=3,'Specification &amp; Data'!B$58)))</f>
        <v>581.23604096253996</v>
      </c>
      <c r="Z241" s="38">
        <f>Simulation!Y241*Simulation!Q241^2/(2*1000)</f>
        <v>47.652069826436659</v>
      </c>
    </row>
    <row r="242" spans="7:26">
      <c r="G242" s="44">
        <v>6900</v>
      </c>
      <c r="H242" s="44">
        <v>12.97</v>
      </c>
      <c r="I242" s="38">
        <f>Simulation!H242*746/1000</f>
        <v>9.6756200000000003</v>
      </c>
      <c r="J242" s="38">
        <f>60*1000*Simulation!I242/(2*PI()*Simulation!G242)</f>
        <v>13.390632612859172</v>
      </c>
      <c r="K242" s="37">
        <v>414.1</v>
      </c>
      <c r="L242" s="27">
        <f>IF(Q242&lt;='Specification &amp; Data'!I$7,1,IF(AND(Q242&gt;'Specification &amp; Data'!I$7,Q242&lt;='Specification &amp; Data'!I$8),2,IF(Q242&gt;'Specification &amp; Data'!I$8,3)))</f>
        <v>3</v>
      </c>
      <c r="M242" s="35">
        <v>3</v>
      </c>
      <c r="N242" s="33">
        <f t="shared" si="3"/>
        <v>237</v>
      </c>
      <c r="O242" s="27">
        <f>O241+(1/Simulation!Q242)</f>
        <v>39.755123668520817</v>
      </c>
      <c r="P242" s="38">
        <f>Simulation!Q242*3.6</f>
        <v>46.450518393522742</v>
      </c>
      <c r="Q242" s="38">
        <f>MIN('Specification &amp; Data'!I$9,SQRT(2*Simulation!R241+Simulation!Q241^2))</f>
        <v>12.902921775978539</v>
      </c>
      <c r="R242" s="38">
        <f>IF(Q242=Q241,0,IF(Q242&lt;&gt;Q241,Simulation!V242/Simulation!Y242))</f>
        <v>1.2569877912918803</v>
      </c>
      <c r="S242" s="27">
        <f>'Specification &amp; Data'!B$11*'Specification &amp; Data'!B$21*'Specification &amp; Data'!B$23*(Simulation!Q242-'Specification &amp; Data'!B$22)^2/2</f>
        <v>53.552638964094534</v>
      </c>
      <c r="T242" s="27">
        <f>IF(AND(M242=1,L242=1),'Specification &amp; Data'!E$14,IF(AND(M242=1,L242=2),'Specification &amp; Data'!E$15,IF(AND(M242=1,L242=3),'Specification &amp; Data'!E$16,IF(AND(M242=2,L242=1),'Specification &amp; Data'!F$14,IF(AND(M242=2,L242=2),'Specification &amp; Data'!F$15,IF(AND(M242=2,L242=3),'Specification &amp; Data'!F$16,IF(AND(M242=3,L242=1),'Specification &amp; Data'!I$14,IF(AND(M242=3,L242=2),'Specification &amp; Data'!I$15,IF(AND(M242=3,L242=3),'Specification &amp; Data'!I$16)))))))))</f>
        <v>102.35950200000001</v>
      </c>
      <c r="U242" s="27">
        <f>IF(AND(M242=1,L242=1),'Specification &amp; Data'!E$24,IF(AND(M242=1,L242=2),'Specification &amp; Data'!E$25,IF(AND(M242=1,L242=3),'Specification &amp; Data'!E$26,IF(M242=2,0,IF(AND(M242=3,L242=1),'Specification &amp; Data'!I$24,IF(AND(M242=3,L242=2),'Specification &amp; Data'!I$25,IF(AND(M242=3,L242=3),'Specification &amp; Data'!I$26)))))))</f>
        <v>-178.61733099000003</v>
      </c>
      <c r="V242" s="27">
        <f>'Specification &amp; Data'!B$46-Simulation!S242-Simulation!T242-Simulation!U242</f>
        <v>730.60660734874</v>
      </c>
      <c r="W242" s="27">
        <f>Simulation!V242/Simulation!Y242</f>
        <v>1.2569877912918803</v>
      </c>
      <c r="X242" s="27">
        <f>60*Simulation!Q242/(2*'Specification &amp; Data'!B$15*PI())</f>
        <v>485.0938065295374</v>
      </c>
      <c r="Y242" s="27">
        <f>IF(L242=1,'Specification &amp; Data'!B$56,IF(L242=2,'Specification &amp; Data'!B$57,IF(L242=3,'Specification &amp; Data'!B$58)))</f>
        <v>581.23604096253996</v>
      </c>
      <c r="Z242" s="38">
        <f>Simulation!Y242*Simulation!Q242^2/(2*1000)</f>
        <v>48.383654584609012</v>
      </c>
    </row>
    <row r="243" spans="7:26">
      <c r="G243" s="44">
        <v>6900</v>
      </c>
      <c r="H243" s="44">
        <v>12.97</v>
      </c>
      <c r="I243" s="38">
        <f>Simulation!H243*746/1000</f>
        <v>9.6756200000000003</v>
      </c>
      <c r="J243" s="38">
        <f>60*1000*Simulation!I243/(2*PI()*Simulation!G243)</f>
        <v>13.390632612859172</v>
      </c>
      <c r="K243" s="37">
        <v>414.1</v>
      </c>
      <c r="L243" s="27">
        <f>IF(Q243&lt;='Specification &amp; Data'!I$7,1,IF(AND(Q243&gt;'Specification &amp; Data'!I$7,Q243&lt;='Specification &amp; Data'!I$8),2,IF(Q243&gt;'Specification &amp; Data'!I$8,3)))</f>
        <v>3</v>
      </c>
      <c r="M243" s="35">
        <v>3</v>
      </c>
      <c r="N243" s="33">
        <f t="shared" si="3"/>
        <v>238</v>
      </c>
      <c r="O243" s="27">
        <f>O242+(1/Simulation!Q243)</f>
        <v>39.832046889745712</v>
      </c>
      <c r="P243" s="38">
        <f>Simulation!Q243*3.6</f>
        <v>46.799912206939879</v>
      </c>
      <c r="Q243" s="38">
        <f>MIN('Specification &amp; Data'!I$9,SQRT(2*Simulation!R242+Simulation!Q242^2))</f>
        <v>12.999975613038854</v>
      </c>
      <c r="R243" s="38">
        <f>IF(Q243=Q242,0,IF(Q243&lt;&gt;Q242,Simulation!V243/Simulation!Y243))</f>
        <v>1.2553045054697525</v>
      </c>
      <c r="S243" s="27">
        <f>'Specification &amp; Data'!B$11*'Specification &amp; Data'!B$21*'Specification &amp; Data'!B$23*(Simulation!Q243-'Specification &amp; Data'!B$22)^2/2</f>
        <v>54.531025351156423</v>
      </c>
      <c r="T243" s="27">
        <f>IF(AND(M243=1,L243=1),'Specification &amp; Data'!E$14,IF(AND(M243=1,L243=2),'Specification &amp; Data'!E$15,IF(AND(M243=1,L243=3),'Specification &amp; Data'!E$16,IF(AND(M243=2,L243=1),'Specification &amp; Data'!F$14,IF(AND(M243=2,L243=2),'Specification &amp; Data'!F$15,IF(AND(M243=2,L243=3),'Specification &amp; Data'!F$16,IF(AND(M243=3,L243=1),'Specification &amp; Data'!I$14,IF(AND(M243=3,L243=2),'Specification &amp; Data'!I$15,IF(AND(M243=3,L243=3),'Specification &amp; Data'!I$16)))))))))</f>
        <v>102.35950200000001</v>
      </c>
      <c r="U243" s="27">
        <f>IF(AND(M243=1,L243=1),'Specification &amp; Data'!E$24,IF(AND(M243=1,L243=2),'Specification &amp; Data'!E$25,IF(AND(M243=1,L243=3),'Specification &amp; Data'!E$26,IF(M243=2,0,IF(AND(M243=3,L243=1),'Specification &amp; Data'!I$24,IF(AND(M243=3,L243=2),'Specification &amp; Data'!I$25,IF(AND(M243=3,L243=3),'Specification &amp; Data'!I$26)))))))</f>
        <v>-178.61733099000003</v>
      </c>
      <c r="V243" s="27">
        <f>'Specification &amp; Data'!B$46-Simulation!S243-Simulation!T243-Simulation!U243</f>
        <v>729.62822096167804</v>
      </c>
      <c r="W243" s="27">
        <f>Simulation!V243/Simulation!Y243</f>
        <v>1.2553045054697525</v>
      </c>
      <c r="X243" s="27">
        <f>60*Simulation!Q243/(2*'Specification &amp; Data'!B$15*PI())</f>
        <v>488.74260918643137</v>
      </c>
      <c r="Y243" s="27">
        <f>IF(L243=1,'Specification &amp; Data'!B$56,IF(L243=2,'Specification &amp; Data'!B$57,IF(L243=3,'Specification &amp; Data'!B$58)))</f>
        <v>581.23604096253996</v>
      </c>
      <c r="Z243" s="38">
        <f>Simulation!Y243*Simulation!Q243^2/(2*1000)</f>
        <v>49.114261191957745</v>
      </c>
    </row>
    <row r="244" spans="7:26">
      <c r="G244" s="44">
        <v>6900</v>
      </c>
      <c r="H244" s="44">
        <v>12.97</v>
      </c>
      <c r="I244" s="38">
        <f>Simulation!H244*746/1000</f>
        <v>9.6756200000000003</v>
      </c>
      <c r="J244" s="38">
        <f>60*1000*Simulation!I244/(2*PI()*Simulation!G244)</f>
        <v>13.390632612859172</v>
      </c>
      <c r="K244" s="37">
        <v>469.1</v>
      </c>
      <c r="L244" s="27">
        <f>IF(Q244&lt;='Specification &amp; Data'!I$7,1,IF(AND(Q244&gt;'Specification &amp; Data'!I$7,Q244&lt;='Specification &amp; Data'!I$8),2,IF(Q244&gt;'Specification &amp; Data'!I$8,3)))</f>
        <v>3</v>
      </c>
      <c r="M244" s="35">
        <v>3</v>
      </c>
      <c r="N244" s="33">
        <f t="shared" si="3"/>
        <v>239</v>
      </c>
      <c r="O244" s="27">
        <f>O243+(1/Simulation!Q244)</f>
        <v>39.908405024001922</v>
      </c>
      <c r="P244" s="38">
        <f>Simulation!Q244*3.6</f>
        <v>47.146254096789662</v>
      </c>
      <c r="Q244" s="38">
        <f>MIN('Specification &amp; Data'!I$9,SQRT(2*Simulation!R243+Simulation!Q243^2))</f>
        <v>13.096181693552683</v>
      </c>
      <c r="R244" s="38">
        <f>IF(Q244=Q243,0,IF(Q244&lt;&gt;Q243,Simulation!V244/Simulation!Y244))</f>
        <v>1.2536208844468069</v>
      </c>
      <c r="S244" s="27">
        <f>'Specification &amp; Data'!B$11*'Specification &amp; Data'!B$21*'Specification &amp; Data'!B$23*(Simulation!Q244-'Specification &amp; Data'!B$22)^2/2</f>
        <v>55.509606569014771</v>
      </c>
      <c r="T244" s="27">
        <f>IF(AND(M244=1,L244=1),'Specification &amp; Data'!E$14,IF(AND(M244=1,L244=2),'Specification &amp; Data'!E$15,IF(AND(M244=1,L244=3),'Specification &amp; Data'!E$16,IF(AND(M244=2,L244=1),'Specification &amp; Data'!F$14,IF(AND(M244=2,L244=2),'Specification &amp; Data'!F$15,IF(AND(M244=2,L244=3),'Specification &amp; Data'!F$16,IF(AND(M244=3,L244=1),'Specification &amp; Data'!I$14,IF(AND(M244=3,L244=2),'Specification &amp; Data'!I$15,IF(AND(M244=3,L244=3),'Specification &amp; Data'!I$16)))))))))</f>
        <v>102.35950200000001</v>
      </c>
      <c r="U244" s="27">
        <f>IF(AND(M244=1,L244=1),'Specification &amp; Data'!E$24,IF(AND(M244=1,L244=2),'Specification &amp; Data'!E$25,IF(AND(M244=1,L244=3),'Specification &amp; Data'!E$26,IF(M244=2,0,IF(AND(M244=3,L244=1),'Specification &amp; Data'!I$24,IF(AND(M244=3,L244=2),'Specification &amp; Data'!I$25,IF(AND(M244=3,L244=3),'Specification &amp; Data'!I$26)))))))</f>
        <v>-178.61733099000003</v>
      </c>
      <c r="V244" s="27">
        <f>'Specification &amp; Data'!B$46-Simulation!S244-Simulation!T244-Simulation!U244</f>
        <v>728.64963974381976</v>
      </c>
      <c r="W244" s="27">
        <f>Simulation!V244/Simulation!Y244</f>
        <v>1.2536208844468069</v>
      </c>
      <c r="X244" s="27">
        <f>60*Simulation!Q244/(2*'Specification &amp; Data'!B$15*PI())</f>
        <v>492.35953987996032</v>
      </c>
      <c r="Y244" s="27">
        <f>IF(L244=1,'Specification &amp; Data'!B$56,IF(L244=2,'Specification &amp; Data'!B$57,IF(L244=3,'Specification &amp; Data'!B$58)))</f>
        <v>581.23604096253996</v>
      </c>
      <c r="Z244" s="38">
        <f>Simulation!Y244*Simulation!Q244^2/(2*1000)</f>
        <v>49.843889412919424</v>
      </c>
    </row>
    <row r="245" spans="7:26">
      <c r="G245" s="44">
        <v>6800</v>
      </c>
      <c r="H245" s="44">
        <v>13.48</v>
      </c>
      <c r="I245" s="38">
        <f>Simulation!H245*746/1000</f>
        <v>10.05608</v>
      </c>
      <c r="J245" s="38">
        <f>60*1000*Simulation!I245/(2*PI()*Simulation!G245)</f>
        <v>14.121836824654824</v>
      </c>
      <c r="K245" s="37">
        <v>469.1</v>
      </c>
      <c r="L245" s="27">
        <f>IF(Q245&lt;='Specification &amp; Data'!I$7,1,IF(AND(Q245&gt;'Specification &amp; Data'!I$7,Q245&lt;='Specification &amp; Data'!I$8),2,IF(Q245&gt;'Specification &amp; Data'!I$8,3)))</f>
        <v>3</v>
      </c>
      <c r="M245" s="35">
        <v>3</v>
      </c>
      <c r="N245" s="33">
        <f t="shared" si="3"/>
        <v>240</v>
      </c>
      <c r="O245" s="27">
        <f>O244+(1/Simulation!Q245)</f>
        <v>39.984211078074523</v>
      </c>
      <c r="P245" s="38">
        <f>Simulation!Q245*3.6</f>
        <v>47.489610744708337</v>
      </c>
      <c r="Q245" s="38">
        <f>MIN('Specification &amp; Data'!I$9,SQRT(2*Simulation!R244+Simulation!Q244^2))</f>
        <v>13.191558540196759</v>
      </c>
      <c r="R245" s="38">
        <f>IF(Q245=Q244,0,IF(Q245&lt;&gt;Q244,Simulation!V245/Simulation!Y245))</f>
        <v>1.2519369955843387</v>
      </c>
      <c r="S245" s="27">
        <f>'Specification &amp; Data'!B$11*'Specification &amp; Data'!B$21*'Specification &amp; Data'!B$23*(Simulation!Q245-'Specification &amp; Data'!B$22)^2/2</f>
        <v>56.488343464856548</v>
      </c>
      <c r="T245" s="27">
        <f>IF(AND(M245=1,L245=1),'Specification &amp; Data'!E$14,IF(AND(M245=1,L245=2),'Specification &amp; Data'!E$15,IF(AND(M245=1,L245=3),'Specification &amp; Data'!E$16,IF(AND(M245=2,L245=1),'Specification &amp; Data'!F$14,IF(AND(M245=2,L245=2),'Specification &amp; Data'!F$15,IF(AND(M245=2,L245=3),'Specification &amp; Data'!F$16,IF(AND(M245=3,L245=1),'Specification &amp; Data'!I$14,IF(AND(M245=3,L245=2),'Specification &amp; Data'!I$15,IF(AND(M245=3,L245=3),'Specification &amp; Data'!I$16)))))))))</f>
        <v>102.35950200000001</v>
      </c>
      <c r="U245" s="27">
        <f>IF(AND(M245=1,L245=1),'Specification &amp; Data'!E$24,IF(AND(M245=1,L245=2),'Specification &amp; Data'!E$25,IF(AND(M245=1,L245=3),'Specification &amp; Data'!E$26,IF(M245=2,0,IF(AND(M245=3,L245=1),'Specification &amp; Data'!I$24,IF(AND(M245=3,L245=2),'Specification &amp; Data'!I$25,IF(AND(M245=3,L245=3),'Specification &amp; Data'!I$26)))))))</f>
        <v>-178.61733099000003</v>
      </c>
      <c r="V245" s="27">
        <f>'Specification &amp; Data'!B$46-Simulation!S245-Simulation!T245-Simulation!U245</f>
        <v>727.67090284797791</v>
      </c>
      <c r="W245" s="27">
        <f>Simulation!V245/Simulation!Y245</f>
        <v>1.2519369955843387</v>
      </c>
      <c r="X245" s="27">
        <f>60*Simulation!Q245/(2*'Specification &amp; Data'!B$15*PI())</f>
        <v>495.94529498230423</v>
      </c>
      <c r="Y245" s="27">
        <f>IF(L245=1,'Specification &amp; Data'!B$56,IF(L245=2,'Specification &amp; Data'!B$57,IF(L245=3,'Specification &amp; Data'!B$58)))</f>
        <v>581.23604096253996</v>
      </c>
      <c r="Z245" s="38">
        <f>Simulation!Y245*Simulation!Q245^2/(2*1000)</f>
        <v>50.572539052663238</v>
      </c>
    </row>
    <row r="246" spans="7:26">
      <c r="G246" s="44">
        <v>6800</v>
      </c>
      <c r="H246" s="44">
        <v>13.48</v>
      </c>
      <c r="I246" s="38">
        <f>Simulation!H246*746/1000</f>
        <v>10.05608</v>
      </c>
      <c r="J246" s="38">
        <f>60*1000*Simulation!I246/(2*PI()*Simulation!G246)</f>
        <v>14.121836824654824</v>
      </c>
      <c r="K246" s="37">
        <v>469.1</v>
      </c>
      <c r="L246" s="27">
        <f>IF(Q246&lt;='Specification &amp; Data'!I$7,1,IF(AND(Q246&gt;'Specification &amp; Data'!I$7,Q246&lt;='Specification &amp; Data'!I$8),2,IF(Q246&gt;'Specification &amp; Data'!I$8,3)))</f>
        <v>3</v>
      </c>
      <c r="M246" s="35">
        <v>3</v>
      </c>
      <c r="N246" s="33">
        <f t="shared" si="3"/>
        <v>241</v>
      </c>
      <c r="O246" s="27">
        <f>O245+(1/Simulation!Q246)</f>
        <v>40.059477574206831</v>
      </c>
      <c r="P246" s="38">
        <f>Simulation!Q246*3.6</f>
        <v>47.830046368464494</v>
      </c>
      <c r="Q246" s="38">
        <f>MIN('Specification &amp; Data'!I$9,SQRT(2*Simulation!R245+Simulation!Q245^2))</f>
        <v>13.286123991240137</v>
      </c>
      <c r="R246" s="38">
        <f>IF(Q246=Q245,0,IF(Q246&lt;&gt;Q245,Simulation!V246/Simulation!Y246))</f>
        <v>1.2502529036657311</v>
      </c>
      <c r="S246" s="27">
        <f>'Specification &amp; Data'!B$11*'Specification &amp; Data'!B$21*'Specification &amp; Data'!B$23*(Simulation!Q246-'Specification &amp; Data'!B$22)^2/2</f>
        <v>57.46719838424513</v>
      </c>
      <c r="T246" s="27">
        <f>IF(AND(M246=1,L246=1),'Specification &amp; Data'!E$14,IF(AND(M246=1,L246=2),'Specification &amp; Data'!E$15,IF(AND(M246=1,L246=3),'Specification &amp; Data'!E$16,IF(AND(M246=2,L246=1),'Specification &amp; Data'!F$14,IF(AND(M246=2,L246=2),'Specification &amp; Data'!F$15,IF(AND(M246=2,L246=3),'Specification &amp; Data'!F$16,IF(AND(M246=3,L246=1),'Specification &amp; Data'!I$14,IF(AND(M246=3,L246=2),'Specification &amp; Data'!I$15,IF(AND(M246=3,L246=3),'Specification &amp; Data'!I$16)))))))))</f>
        <v>102.35950200000001</v>
      </c>
      <c r="U246" s="27">
        <f>IF(AND(M246=1,L246=1),'Specification &amp; Data'!E$24,IF(AND(M246=1,L246=2),'Specification &amp; Data'!E$25,IF(AND(M246=1,L246=3),'Specification &amp; Data'!E$26,IF(M246=2,0,IF(AND(M246=3,L246=1),'Specification &amp; Data'!I$24,IF(AND(M246=3,L246=2),'Specification &amp; Data'!I$25,IF(AND(M246=3,L246=3),'Specification &amp; Data'!I$26)))))))</f>
        <v>-178.61733099000003</v>
      </c>
      <c r="V246" s="27">
        <f>'Specification &amp; Data'!B$46-Simulation!S246-Simulation!T246-Simulation!U246</f>
        <v>726.69204792858943</v>
      </c>
      <c r="W246" s="27">
        <f>Simulation!V246/Simulation!Y246</f>
        <v>1.2502529036657311</v>
      </c>
      <c r="X246" s="27">
        <f>60*Simulation!Q246/(2*'Specification &amp; Data'!B$15*PI())</f>
        <v>499.50054513488726</v>
      </c>
      <c r="Y246" s="27">
        <f>IF(L246=1,'Specification &amp; Data'!B$56,IF(L246=2,'Specification &amp; Data'!B$57,IF(L246=3,'Specification &amp; Data'!B$58)))</f>
        <v>581.23604096253996</v>
      </c>
      <c r="Z246" s="38">
        <f>Simulation!Y246*Simulation!Q246^2/(2*1000)</f>
        <v>51.300209955511228</v>
      </c>
    </row>
    <row r="247" spans="7:26">
      <c r="G247" s="44">
        <v>6800</v>
      </c>
      <c r="H247" s="44">
        <v>13.48</v>
      </c>
      <c r="I247" s="38">
        <f>Simulation!H247*746/1000</f>
        <v>10.05608</v>
      </c>
      <c r="J247" s="38">
        <f>60*1000*Simulation!I247/(2*PI()*Simulation!G247)</f>
        <v>14.121836824654824</v>
      </c>
      <c r="K247" s="37">
        <v>469.1</v>
      </c>
      <c r="L247" s="27">
        <f>IF(Q247&lt;='Specification &amp; Data'!I$7,1,IF(AND(Q247&gt;'Specification &amp; Data'!I$7,Q247&lt;='Specification &amp; Data'!I$8),2,IF(Q247&gt;'Specification &amp; Data'!I$8,3)))</f>
        <v>3</v>
      </c>
      <c r="M247" s="35">
        <v>3</v>
      </c>
      <c r="N247" s="33">
        <f t="shared" si="3"/>
        <v>242</v>
      </c>
      <c r="O247" s="27">
        <f>O246+(1/Simulation!Q247)</f>
        <v>40.134216574952731</v>
      </c>
      <c r="P247" s="38">
        <f>Simulation!Q247*3.6</f>
        <v>48.167622848470309</v>
      </c>
      <c r="Q247" s="38">
        <f>MIN('Specification &amp; Data'!I$9,SQRT(2*Simulation!R246+Simulation!Q246^2))</f>
        <v>13.379895235686197</v>
      </c>
      <c r="R247" s="38">
        <f>IF(Q247=Q246,0,IF(Q247&lt;&gt;Q246,Simulation!V247/Simulation!Y247))</f>
        <v>1.2485686710273942</v>
      </c>
      <c r="S247" s="27">
        <f>'Specification &amp; Data'!B$11*'Specification &amp; Data'!B$21*'Specification &amp; Data'!B$23*(Simulation!Q247-'Specification &amp; Data'!B$22)^2/2</f>
        <v>58.446135095011968</v>
      </c>
      <c r="T247" s="27">
        <f>IF(AND(M247=1,L247=1),'Specification &amp; Data'!E$14,IF(AND(M247=1,L247=2),'Specification &amp; Data'!E$15,IF(AND(M247=1,L247=3),'Specification &amp; Data'!E$16,IF(AND(M247=2,L247=1),'Specification &amp; Data'!F$14,IF(AND(M247=2,L247=2),'Specification &amp; Data'!F$15,IF(AND(M247=2,L247=3),'Specification &amp; Data'!F$16,IF(AND(M247=3,L247=1),'Specification &amp; Data'!I$14,IF(AND(M247=3,L247=2),'Specification &amp; Data'!I$15,IF(AND(M247=3,L247=3),'Specification &amp; Data'!I$16)))))))))</f>
        <v>102.35950200000001</v>
      </c>
      <c r="U247" s="27">
        <f>IF(AND(M247=1,L247=1),'Specification &amp; Data'!E$24,IF(AND(M247=1,L247=2),'Specification &amp; Data'!E$25,IF(AND(M247=1,L247=3),'Specification &amp; Data'!E$26,IF(M247=2,0,IF(AND(M247=3,L247=1),'Specification &amp; Data'!I$24,IF(AND(M247=3,L247=2),'Specification &amp; Data'!I$25,IF(AND(M247=3,L247=3),'Specification &amp; Data'!I$26)))))))</f>
        <v>-178.61733099000003</v>
      </c>
      <c r="V247" s="27">
        <f>'Specification &amp; Data'!B$46-Simulation!S247-Simulation!T247-Simulation!U247</f>
        <v>725.71311121782253</v>
      </c>
      <c r="W247" s="27">
        <f>Simulation!V247/Simulation!Y247</f>
        <v>1.2485686710273942</v>
      </c>
      <c r="X247" s="27">
        <f>60*Simulation!Q247/(2*'Specification &amp; Data'!B$15*PI())</f>
        <v>503.02593656956492</v>
      </c>
      <c r="Y247" s="27">
        <f>IF(L247=1,'Specification &amp; Data'!B$56,IF(L247=2,'Specification &amp; Data'!B$57,IF(L247=3,'Specification &amp; Data'!B$58)))</f>
        <v>581.23604096253996</v>
      </c>
      <c r="Z247" s="38">
        <f>Simulation!Y247*Simulation!Q247^2/(2*1000)</f>
        <v>52.026902003439815</v>
      </c>
    </row>
    <row r="248" spans="7:26">
      <c r="G248" s="44">
        <v>6800</v>
      </c>
      <c r="H248" s="44">
        <v>13.48</v>
      </c>
      <c r="I248" s="38">
        <f>Simulation!H248*746/1000</f>
        <v>10.05608</v>
      </c>
      <c r="J248" s="38">
        <f>60*1000*Simulation!I248/(2*PI()*Simulation!G248)</f>
        <v>14.121836824654824</v>
      </c>
      <c r="K248" s="37">
        <v>469.1</v>
      </c>
      <c r="L248" s="27">
        <f>IF(Q248&lt;='Specification &amp; Data'!I$7,1,IF(AND(Q248&gt;'Specification &amp; Data'!I$7,Q248&lt;='Specification &amp; Data'!I$8),2,IF(Q248&gt;'Specification &amp; Data'!I$8,3)))</f>
        <v>3</v>
      </c>
      <c r="M248" s="35">
        <v>3</v>
      </c>
      <c r="N248" s="33">
        <f t="shared" si="3"/>
        <v>243</v>
      </c>
      <c r="O248" s="27">
        <f>O247+(1/Simulation!Q248)</f>
        <v>40.208439706414829</v>
      </c>
      <c r="P248" s="38">
        <f>Simulation!Q248*3.6</f>
        <v>48.502399846043801</v>
      </c>
      <c r="Q248" s="38">
        <f>MIN('Specification &amp; Data'!I$9,SQRT(2*Simulation!R247+Simulation!Q247^2))</f>
        <v>13.472888846123277</v>
      </c>
      <c r="R248" s="38">
        <f>IF(Q248=Q247,0,IF(Q248&lt;&gt;Q247,Simulation!V248/Simulation!Y248))</f>
        <v>1.2468843576812314</v>
      </c>
      <c r="S248" s="27">
        <f>'Specification &amp; Data'!B$11*'Specification &amp; Data'!B$21*'Specification &amp; Data'!B$23*(Simulation!Q248-'Specification &amp; Data'!B$22)^2/2</f>
        <v>59.425118716076014</v>
      </c>
      <c r="T248" s="27">
        <f>IF(AND(M248=1,L248=1),'Specification &amp; Data'!E$14,IF(AND(M248=1,L248=2),'Specification &amp; Data'!E$15,IF(AND(M248=1,L248=3),'Specification &amp; Data'!E$16,IF(AND(M248=2,L248=1),'Specification &amp; Data'!F$14,IF(AND(M248=2,L248=2),'Specification &amp; Data'!F$15,IF(AND(M248=2,L248=3),'Specification &amp; Data'!F$16,IF(AND(M248=3,L248=1),'Specification &amp; Data'!I$14,IF(AND(M248=3,L248=2),'Specification &amp; Data'!I$15,IF(AND(M248=3,L248=3),'Specification &amp; Data'!I$16)))))))))</f>
        <v>102.35950200000001</v>
      </c>
      <c r="U248" s="27">
        <f>IF(AND(M248=1,L248=1),'Specification &amp; Data'!E$24,IF(AND(M248=1,L248=2),'Specification &amp; Data'!E$25,IF(AND(M248=1,L248=3),'Specification &amp; Data'!E$26,IF(M248=2,0,IF(AND(M248=3,L248=1),'Specification &amp; Data'!I$24,IF(AND(M248=3,L248=2),'Specification &amp; Data'!I$25,IF(AND(M248=3,L248=3),'Specification &amp; Data'!I$26)))))))</f>
        <v>-178.61733099000003</v>
      </c>
      <c r="V248" s="27">
        <f>'Specification &amp; Data'!B$46-Simulation!S248-Simulation!T248-Simulation!U248</f>
        <v>724.73412759675853</v>
      </c>
      <c r="W248" s="27">
        <f>Simulation!V248/Simulation!Y248</f>
        <v>1.2468843576812314</v>
      </c>
      <c r="X248" s="27">
        <f>60*Simulation!Q248/(2*'Specification &amp; Data'!B$15*PI())</f>
        <v>506.52209234366495</v>
      </c>
      <c r="Y248" s="27">
        <f>IF(L248=1,'Specification &amp; Data'!B$56,IF(L248=2,'Specification &amp; Data'!B$57,IF(L248=3,'Specification &amp; Data'!B$58)))</f>
        <v>581.23604096253996</v>
      </c>
      <c r="Z248" s="38">
        <f>Simulation!Y248*Simulation!Q248^2/(2*1000)</f>
        <v>52.752615114657644</v>
      </c>
    </row>
    <row r="249" spans="7:26">
      <c r="G249" s="44">
        <v>6800</v>
      </c>
      <c r="H249" s="44">
        <v>13.48</v>
      </c>
      <c r="I249" s="38">
        <f>Simulation!H249*746/1000</f>
        <v>10.05608</v>
      </c>
      <c r="J249" s="38">
        <f>60*1000*Simulation!I249/(2*PI()*Simulation!G249)</f>
        <v>14.121836824654824</v>
      </c>
      <c r="K249" s="37">
        <v>469.1</v>
      </c>
      <c r="L249" s="27">
        <f>IF(Q249&lt;='Specification &amp; Data'!I$7,1,IF(AND(Q249&gt;'Specification &amp; Data'!I$7,Q249&lt;='Specification &amp; Data'!I$8),2,IF(Q249&gt;'Specification &amp; Data'!I$8,3)))</f>
        <v>3</v>
      </c>
      <c r="M249" s="35">
        <v>3</v>
      </c>
      <c r="N249" s="33">
        <f t="shared" si="3"/>
        <v>244</v>
      </c>
      <c r="O249" s="27">
        <f>O248+(1/Simulation!Q249)</f>
        <v>40.282158179994681</v>
      </c>
      <c r="P249" s="38">
        <f>Simulation!Q249*3.6</f>
        <v>48.834434914070698</v>
      </c>
      <c r="Q249" s="38">
        <f>MIN('Specification &amp; Data'!I$9,SQRT(2*Simulation!R248+Simulation!Q248^2))</f>
        <v>13.565120809464082</v>
      </c>
      <c r="R249" s="38">
        <f>IF(Q249=Q248,0,IF(Q249&lt;&gt;Q248,Simulation!V249/Simulation!Y249))</f>
        <v>1.2452000214292889</v>
      </c>
      <c r="S249" s="27">
        <f>'Specification &amp; Data'!B$11*'Specification &amp; Data'!B$21*'Specification &amp; Data'!B$23*(Simulation!Q249-'Specification &amp; Data'!B$22)^2/2</f>
        <v>60.404115650804684</v>
      </c>
      <c r="T249" s="27">
        <f>IF(AND(M249=1,L249=1),'Specification &amp; Data'!E$14,IF(AND(M249=1,L249=2),'Specification &amp; Data'!E$15,IF(AND(M249=1,L249=3),'Specification &amp; Data'!E$16,IF(AND(M249=2,L249=1),'Specification &amp; Data'!F$14,IF(AND(M249=2,L249=2),'Specification &amp; Data'!F$15,IF(AND(M249=2,L249=3),'Specification &amp; Data'!F$16,IF(AND(M249=3,L249=1),'Specification &amp; Data'!I$14,IF(AND(M249=3,L249=2),'Specification &amp; Data'!I$15,IF(AND(M249=3,L249=3),'Specification &amp; Data'!I$16)))))))))</f>
        <v>102.35950200000001</v>
      </c>
      <c r="U249" s="27">
        <f>IF(AND(M249=1,L249=1),'Specification &amp; Data'!E$24,IF(AND(M249=1,L249=2),'Specification &amp; Data'!E$25,IF(AND(M249=1,L249=3),'Specification &amp; Data'!E$26,IF(M249=2,0,IF(AND(M249=3,L249=1),'Specification &amp; Data'!I$24,IF(AND(M249=3,L249=2),'Specification &amp; Data'!I$25,IF(AND(M249=3,L249=3),'Specification &amp; Data'!I$26)))))))</f>
        <v>-178.61733099000003</v>
      </c>
      <c r="V249" s="27">
        <f>'Specification &amp; Data'!B$46-Simulation!S249-Simulation!T249-Simulation!U249</f>
        <v>723.75513066202984</v>
      </c>
      <c r="W249" s="27">
        <f>Simulation!V249/Simulation!Y249</f>
        <v>1.2452000214292889</v>
      </c>
      <c r="X249" s="27">
        <f>60*Simulation!Q249/(2*'Specification &amp; Data'!B$15*PI())</f>
        <v>509.98961349565542</v>
      </c>
      <c r="Y249" s="27">
        <f>IF(L249=1,'Specification &amp; Data'!B$56,IF(L249=2,'Specification &amp; Data'!B$57,IF(L249=3,'Specification &amp; Data'!B$58)))</f>
        <v>581.23604096253996</v>
      </c>
      <c r="Z249" s="38">
        <f>Simulation!Y249*Simulation!Q249^2/(2*1000)</f>
        <v>53.477349242254391</v>
      </c>
    </row>
    <row r="250" spans="7:26">
      <c r="G250" s="44">
        <v>6800</v>
      </c>
      <c r="H250" s="44">
        <v>13.48</v>
      </c>
      <c r="I250" s="38">
        <f>Simulation!H250*746/1000</f>
        <v>10.05608</v>
      </c>
      <c r="J250" s="38">
        <f>60*1000*Simulation!I250/(2*PI()*Simulation!G250)</f>
        <v>14.121836824654824</v>
      </c>
      <c r="K250" s="37">
        <v>469.1</v>
      </c>
      <c r="L250" s="27">
        <f>IF(Q250&lt;='Specification &amp; Data'!I$7,1,IF(AND(Q250&gt;'Specification &amp; Data'!I$7,Q250&lt;='Specification &amp; Data'!I$8),2,IF(Q250&gt;'Specification &amp; Data'!I$8,3)))</f>
        <v>3</v>
      </c>
      <c r="M250" s="35">
        <v>3</v>
      </c>
      <c r="N250" s="33">
        <f t="shared" si="3"/>
        <v>245</v>
      </c>
      <c r="O250" s="27">
        <f>O249+(1/Simulation!Q250)</f>
        <v>40.355807063406196</v>
      </c>
      <c r="P250" s="38">
        <f>Simulation!Q250*3.6</f>
        <v>48.880578132934232</v>
      </c>
      <c r="Q250" s="38">
        <f>MIN('Specification &amp; Data'!I$9,SQRT(2*Simulation!R249+Simulation!Q249^2))</f>
        <v>13.577938370259508</v>
      </c>
      <c r="R250" s="38">
        <f>IF(Q250=Q249,0,IF(Q250&lt;&gt;Q249,Simulation!V250/Simulation!Y250))</f>
        <v>1.2449648585873674</v>
      </c>
      <c r="S250" s="27">
        <f>'Specification &amp; Data'!B$11*'Specification &amp; Data'!B$21*'Specification &amp; Data'!B$23*(Simulation!Q250-'Specification &amp; Data'!B$22)^2/2</f>
        <v>60.54080077002466</v>
      </c>
      <c r="T250" s="27">
        <f>IF(AND(M250=1,L250=1),'Specification &amp; Data'!E$14,IF(AND(M250=1,L250=2),'Specification &amp; Data'!E$15,IF(AND(M250=1,L250=3),'Specification &amp; Data'!E$16,IF(AND(M250=2,L250=1),'Specification &amp; Data'!F$14,IF(AND(M250=2,L250=2),'Specification &amp; Data'!F$15,IF(AND(M250=2,L250=3),'Specification &amp; Data'!F$16,IF(AND(M250=3,L250=1),'Specification &amp; Data'!I$14,IF(AND(M250=3,L250=2),'Specification &amp; Data'!I$15,IF(AND(M250=3,L250=3),'Specification &amp; Data'!I$16)))))))))</f>
        <v>102.35950200000001</v>
      </c>
      <c r="U250" s="27">
        <f>IF(AND(M250=1,L250=1),'Specification &amp; Data'!E$24,IF(AND(M250=1,L250=2),'Specification &amp; Data'!E$25,IF(AND(M250=1,L250=3),'Specification &amp; Data'!E$26,IF(M250=2,0,IF(AND(M250=3,L250=1),'Specification &amp; Data'!I$24,IF(AND(M250=3,L250=2),'Specification &amp; Data'!I$25,IF(AND(M250=3,L250=3),'Specification &amp; Data'!I$26)))))))</f>
        <v>-178.61733099000003</v>
      </c>
      <c r="V250" s="27">
        <f>'Specification &amp; Data'!B$46-Simulation!S250-Simulation!T250-Simulation!U250</f>
        <v>723.61844554280981</v>
      </c>
      <c r="W250" s="27">
        <f>Simulation!V250/Simulation!Y250</f>
        <v>1.2449648585873674</v>
      </c>
      <c r="X250" s="27">
        <f>60*Simulation!Q250/(2*'Specification &amp; Data'!B$15*PI())</f>
        <v>510.47149810013718</v>
      </c>
      <c r="Y250" s="27">
        <f>IF(L250=1,'Specification &amp; Data'!B$56,IF(L250=2,'Specification &amp; Data'!B$57,IF(L250=3,'Specification &amp; Data'!B$58)))</f>
        <v>581.23604096253996</v>
      </c>
      <c r="Z250" s="38">
        <f>Simulation!Y250*Simulation!Q250^2/(2*1000)</f>
        <v>53.578457521658208</v>
      </c>
    </row>
    <row r="251" spans="7:26">
      <c r="G251" s="44">
        <v>6700</v>
      </c>
      <c r="H251" s="44">
        <v>14</v>
      </c>
      <c r="I251" s="38">
        <f>Simulation!H251*746/1000</f>
        <v>10.444000000000001</v>
      </c>
      <c r="J251" s="38">
        <f>60*1000*Simulation!I251/(2*PI()*Simulation!G251)</f>
        <v>14.88550052822467</v>
      </c>
      <c r="K251" s="37">
        <v>469.1</v>
      </c>
      <c r="L251" s="27">
        <f>IF(Q251&lt;='Specification &amp; Data'!I$7,1,IF(AND(Q251&gt;'Specification &amp; Data'!I$7,Q251&lt;='Specification &amp; Data'!I$8),2,IF(Q251&gt;'Specification &amp; Data'!I$8,3)))</f>
        <v>3</v>
      </c>
      <c r="M251" s="35">
        <v>3</v>
      </c>
      <c r="N251" s="33">
        <f t="shared" si="3"/>
        <v>246</v>
      </c>
      <c r="O251" s="27">
        <f>O250+(1/Simulation!Q251)</f>
        <v>40.429455946817711</v>
      </c>
      <c r="P251" s="38">
        <f>Simulation!Q251*3.6</f>
        <v>48.880578132934232</v>
      </c>
      <c r="Q251" s="38">
        <f>MIN('Specification &amp; Data'!I$9,SQRT(2*Simulation!R250+Simulation!Q250^2))</f>
        <v>13.577938370259508</v>
      </c>
      <c r="R251" s="38">
        <f>IF(Q251=Q250,0,IF(Q251&lt;&gt;Q250,Simulation!V251/Simulation!Y251))</f>
        <v>0</v>
      </c>
      <c r="S251" s="27">
        <f>'Specification &amp; Data'!B$11*'Specification &amp; Data'!B$21*'Specification &amp; Data'!B$23*(Simulation!Q251-'Specification &amp; Data'!B$22)^2/2</f>
        <v>60.54080077002466</v>
      </c>
      <c r="T251" s="27">
        <f>IF(AND(M251=1,L251=1),'Specification &amp; Data'!E$14,IF(AND(M251=1,L251=2),'Specification &amp; Data'!E$15,IF(AND(M251=1,L251=3),'Specification &amp; Data'!E$16,IF(AND(M251=2,L251=1),'Specification &amp; Data'!F$14,IF(AND(M251=2,L251=2),'Specification &amp; Data'!F$15,IF(AND(M251=2,L251=3),'Specification &amp; Data'!F$16,IF(AND(M251=3,L251=1),'Specification &amp; Data'!I$14,IF(AND(M251=3,L251=2),'Specification &amp; Data'!I$15,IF(AND(M251=3,L251=3),'Specification &amp; Data'!I$16)))))))))</f>
        <v>102.35950200000001</v>
      </c>
      <c r="U251" s="27">
        <f>IF(AND(M251=1,L251=1),'Specification &amp; Data'!E$24,IF(AND(M251=1,L251=2),'Specification &amp; Data'!E$25,IF(AND(M251=1,L251=3),'Specification &amp; Data'!E$26,IF(M251=2,0,IF(AND(M251=3,L251=1),'Specification &amp; Data'!I$24,IF(AND(M251=3,L251=2),'Specification &amp; Data'!I$25,IF(AND(M251=3,L251=3),'Specification &amp; Data'!I$26)))))))</f>
        <v>-178.61733099000003</v>
      </c>
      <c r="V251" s="27">
        <f>'Specification &amp; Data'!B$46-Simulation!S251-Simulation!T251-Simulation!U251</f>
        <v>723.61844554280981</v>
      </c>
      <c r="W251" s="27">
        <f>Simulation!V251/Simulation!Y251</f>
        <v>1.2449648585873674</v>
      </c>
      <c r="X251" s="27">
        <f>60*Simulation!Q251/(2*'Specification &amp; Data'!B$15*PI())</f>
        <v>510.47149810013718</v>
      </c>
      <c r="Y251" s="27">
        <f>IF(L251=1,'Specification &amp; Data'!B$56,IF(L251=2,'Specification &amp; Data'!B$57,IF(L251=3,'Specification &amp; Data'!B$58)))</f>
        <v>581.23604096253996</v>
      </c>
      <c r="Z251" s="38">
        <f>Simulation!Y251*Simulation!Q251^2/(2*1000)</f>
        <v>53.578457521658208</v>
      </c>
    </row>
    <row r="252" spans="7:26">
      <c r="G252" s="44">
        <v>6700</v>
      </c>
      <c r="H252" s="44">
        <v>14</v>
      </c>
      <c r="I252" s="38">
        <f>Simulation!H252*746/1000</f>
        <v>10.444000000000001</v>
      </c>
      <c r="J252" s="38">
        <f>60*1000*Simulation!I252/(2*PI()*Simulation!G252)</f>
        <v>14.88550052822467</v>
      </c>
      <c r="K252" s="37">
        <v>469.1</v>
      </c>
      <c r="L252" s="27">
        <f>IF(Q252&lt;='Specification &amp; Data'!I$7,1,IF(AND(Q252&gt;'Specification &amp; Data'!I$7,Q252&lt;='Specification &amp; Data'!I$8),2,IF(Q252&gt;'Specification &amp; Data'!I$8,3)))</f>
        <v>3</v>
      </c>
      <c r="M252" s="35">
        <v>3</v>
      </c>
      <c r="N252" s="33">
        <f t="shared" si="3"/>
        <v>247</v>
      </c>
      <c r="O252" s="27">
        <f>O251+(1/Simulation!Q252)</f>
        <v>40.503104830229226</v>
      </c>
      <c r="P252" s="38">
        <f>Simulation!Q252*3.6</f>
        <v>48.880578132934232</v>
      </c>
      <c r="Q252" s="38">
        <f>MIN('Specification &amp; Data'!I$9,SQRT(2*Simulation!R251+Simulation!Q251^2))</f>
        <v>13.577938370259508</v>
      </c>
      <c r="R252" s="38">
        <f>IF(Q252=Q251,0,IF(Q252&lt;&gt;Q251,Simulation!V252/Simulation!Y252))</f>
        <v>0</v>
      </c>
      <c r="S252" s="27">
        <f>'Specification &amp; Data'!B$11*'Specification &amp; Data'!B$21*'Specification &amp; Data'!B$23*(Simulation!Q252-'Specification &amp; Data'!B$22)^2/2</f>
        <v>60.54080077002466</v>
      </c>
      <c r="T252" s="27">
        <f>IF(AND(M252=1,L252=1),'Specification &amp; Data'!E$14,IF(AND(M252=1,L252=2),'Specification &amp; Data'!E$15,IF(AND(M252=1,L252=3),'Specification &amp; Data'!E$16,IF(AND(M252=2,L252=1),'Specification &amp; Data'!F$14,IF(AND(M252=2,L252=2),'Specification &amp; Data'!F$15,IF(AND(M252=2,L252=3),'Specification &amp; Data'!F$16,IF(AND(M252=3,L252=1),'Specification &amp; Data'!I$14,IF(AND(M252=3,L252=2),'Specification &amp; Data'!I$15,IF(AND(M252=3,L252=3),'Specification &amp; Data'!I$16)))))))))</f>
        <v>102.35950200000001</v>
      </c>
      <c r="U252" s="27">
        <f>IF(AND(M252=1,L252=1),'Specification &amp; Data'!E$24,IF(AND(M252=1,L252=2),'Specification &amp; Data'!E$25,IF(AND(M252=1,L252=3),'Specification &amp; Data'!E$26,IF(M252=2,0,IF(AND(M252=3,L252=1),'Specification &amp; Data'!I$24,IF(AND(M252=3,L252=2),'Specification &amp; Data'!I$25,IF(AND(M252=3,L252=3),'Specification &amp; Data'!I$26)))))))</f>
        <v>-178.61733099000003</v>
      </c>
      <c r="V252" s="27">
        <f>'Specification &amp; Data'!B$46-Simulation!S252-Simulation!T252-Simulation!U252</f>
        <v>723.61844554280981</v>
      </c>
      <c r="W252" s="27">
        <f>Simulation!V252/Simulation!Y252</f>
        <v>1.2449648585873674</v>
      </c>
      <c r="X252" s="27">
        <f>60*Simulation!Q252/(2*'Specification &amp; Data'!B$15*PI())</f>
        <v>510.47149810013718</v>
      </c>
      <c r="Y252" s="27">
        <f>IF(L252=1,'Specification &amp; Data'!B$56,IF(L252=2,'Specification &amp; Data'!B$57,IF(L252=3,'Specification &amp; Data'!B$58)))</f>
        <v>581.23604096253996</v>
      </c>
      <c r="Z252" s="38">
        <f>Simulation!Y252*Simulation!Q252^2/(2*1000)</f>
        <v>53.578457521658208</v>
      </c>
    </row>
    <row r="253" spans="7:26">
      <c r="G253" s="44">
        <v>6700</v>
      </c>
      <c r="H253" s="44">
        <v>14</v>
      </c>
      <c r="I253" s="38">
        <f>Simulation!H253*746/1000</f>
        <v>10.444000000000001</v>
      </c>
      <c r="J253" s="38">
        <f>60*1000*Simulation!I253/(2*PI()*Simulation!G253)</f>
        <v>14.88550052822467</v>
      </c>
      <c r="K253" s="37">
        <v>469.1</v>
      </c>
      <c r="L253" s="27">
        <f>IF(Q253&lt;='Specification &amp; Data'!I$7,1,IF(AND(Q253&gt;'Specification &amp; Data'!I$7,Q253&lt;='Specification &amp; Data'!I$8),2,IF(Q253&gt;'Specification &amp; Data'!I$8,3)))</f>
        <v>3</v>
      </c>
      <c r="M253" s="35">
        <v>3</v>
      </c>
      <c r="N253" s="33">
        <f t="shared" si="3"/>
        <v>248</v>
      </c>
      <c r="O253" s="27">
        <f>O252+(1/Simulation!Q253)</f>
        <v>40.576753713640741</v>
      </c>
      <c r="P253" s="38">
        <f>Simulation!Q253*3.6</f>
        <v>48.880578132934232</v>
      </c>
      <c r="Q253" s="38">
        <f>MIN('Specification &amp; Data'!I$9,SQRT(2*Simulation!R252+Simulation!Q252^2))</f>
        <v>13.577938370259508</v>
      </c>
      <c r="R253" s="38">
        <f>IF(Q253=Q252,0,IF(Q253&lt;&gt;Q252,Simulation!V253/Simulation!Y253))</f>
        <v>0</v>
      </c>
      <c r="S253" s="27">
        <f>'Specification &amp; Data'!B$11*'Specification &amp; Data'!B$21*'Specification &amp; Data'!B$23*(Simulation!Q253-'Specification &amp; Data'!B$22)^2/2</f>
        <v>60.54080077002466</v>
      </c>
      <c r="T253" s="27">
        <f>IF(AND(M253=1,L253=1),'Specification &amp; Data'!E$14,IF(AND(M253=1,L253=2),'Specification &amp; Data'!E$15,IF(AND(M253=1,L253=3),'Specification &amp; Data'!E$16,IF(AND(M253=2,L253=1),'Specification &amp; Data'!F$14,IF(AND(M253=2,L253=2),'Specification &amp; Data'!F$15,IF(AND(M253=2,L253=3),'Specification &amp; Data'!F$16,IF(AND(M253=3,L253=1),'Specification &amp; Data'!I$14,IF(AND(M253=3,L253=2),'Specification &amp; Data'!I$15,IF(AND(M253=3,L253=3),'Specification &amp; Data'!I$16)))))))))</f>
        <v>102.35950200000001</v>
      </c>
      <c r="U253" s="27">
        <f>IF(AND(M253=1,L253=1),'Specification &amp; Data'!E$24,IF(AND(M253=1,L253=2),'Specification &amp; Data'!E$25,IF(AND(M253=1,L253=3),'Specification &amp; Data'!E$26,IF(M253=2,0,IF(AND(M253=3,L253=1),'Specification &amp; Data'!I$24,IF(AND(M253=3,L253=2),'Specification &amp; Data'!I$25,IF(AND(M253=3,L253=3),'Specification &amp; Data'!I$26)))))))</f>
        <v>-178.61733099000003</v>
      </c>
      <c r="V253" s="27">
        <f>'Specification &amp; Data'!B$46-Simulation!S253-Simulation!T253-Simulation!U253</f>
        <v>723.61844554280981</v>
      </c>
      <c r="W253" s="27">
        <f>Simulation!V253/Simulation!Y253</f>
        <v>1.2449648585873674</v>
      </c>
      <c r="X253" s="27">
        <f>60*Simulation!Q253/(2*'Specification &amp; Data'!B$15*PI())</f>
        <v>510.47149810013718</v>
      </c>
      <c r="Y253" s="27">
        <f>IF(L253=1,'Specification &amp; Data'!B$56,IF(L253=2,'Specification &amp; Data'!B$57,IF(L253=3,'Specification &amp; Data'!B$58)))</f>
        <v>581.23604096253996</v>
      </c>
      <c r="Z253" s="38">
        <f>Simulation!Y253*Simulation!Q253^2/(2*1000)</f>
        <v>53.578457521658208</v>
      </c>
    </row>
    <row r="254" spans="7:26">
      <c r="G254" s="44">
        <v>6700</v>
      </c>
      <c r="H254" s="44">
        <v>14</v>
      </c>
      <c r="I254" s="38">
        <f>Simulation!H254*746/1000</f>
        <v>10.444000000000001</v>
      </c>
      <c r="J254" s="38">
        <f>60*1000*Simulation!I254/(2*PI()*Simulation!G254)</f>
        <v>14.88550052822467</v>
      </c>
      <c r="K254" s="37">
        <v>469.1</v>
      </c>
      <c r="L254" s="27">
        <f>IF(Q254&lt;='Specification &amp; Data'!I$7,1,IF(AND(Q254&gt;'Specification &amp; Data'!I$7,Q254&lt;='Specification &amp; Data'!I$8),2,IF(Q254&gt;'Specification &amp; Data'!I$8,3)))</f>
        <v>3</v>
      </c>
      <c r="M254" s="35">
        <v>3</v>
      </c>
      <c r="N254" s="33">
        <f t="shared" si="3"/>
        <v>249</v>
      </c>
      <c r="O254" s="27">
        <f>O253+(1/Simulation!Q254)</f>
        <v>40.650402597052256</v>
      </c>
      <c r="P254" s="38">
        <f>Simulation!Q254*3.6</f>
        <v>48.880578132934232</v>
      </c>
      <c r="Q254" s="38">
        <f>MIN('Specification &amp; Data'!I$9,SQRT(2*Simulation!R253+Simulation!Q253^2))</f>
        <v>13.577938370259508</v>
      </c>
      <c r="R254" s="38">
        <f>IF(Q254=Q253,0,IF(Q254&lt;&gt;Q253,Simulation!V254/Simulation!Y254))</f>
        <v>0</v>
      </c>
      <c r="S254" s="27">
        <f>'Specification &amp; Data'!B$11*'Specification &amp; Data'!B$21*'Specification &amp; Data'!B$23*(Simulation!Q254-'Specification &amp; Data'!B$22)^2/2</f>
        <v>60.54080077002466</v>
      </c>
      <c r="T254" s="27">
        <f>IF(AND(M254=1,L254=1),'Specification &amp; Data'!E$14,IF(AND(M254=1,L254=2),'Specification &amp; Data'!E$15,IF(AND(M254=1,L254=3),'Specification &amp; Data'!E$16,IF(AND(M254=2,L254=1),'Specification &amp; Data'!F$14,IF(AND(M254=2,L254=2),'Specification &amp; Data'!F$15,IF(AND(M254=2,L254=3),'Specification &amp; Data'!F$16,IF(AND(M254=3,L254=1),'Specification &amp; Data'!I$14,IF(AND(M254=3,L254=2),'Specification &amp; Data'!I$15,IF(AND(M254=3,L254=3),'Specification &amp; Data'!I$16)))))))))</f>
        <v>102.35950200000001</v>
      </c>
      <c r="U254" s="27">
        <f>IF(AND(M254=1,L254=1),'Specification &amp; Data'!E$24,IF(AND(M254=1,L254=2),'Specification &amp; Data'!E$25,IF(AND(M254=1,L254=3),'Specification &amp; Data'!E$26,IF(M254=2,0,IF(AND(M254=3,L254=1),'Specification &amp; Data'!I$24,IF(AND(M254=3,L254=2),'Specification &amp; Data'!I$25,IF(AND(M254=3,L254=3),'Specification &amp; Data'!I$26)))))))</f>
        <v>-178.61733099000003</v>
      </c>
      <c r="V254" s="27">
        <f>'Specification &amp; Data'!B$46-Simulation!S254-Simulation!T254-Simulation!U254</f>
        <v>723.61844554280981</v>
      </c>
      <c r="W254" s="27">
        <f>Simulation!V254/Simulation!Y254</f>
        <v>1.2449648585873674</v>
      </c>
      <c r="X254" s="27">
        <f>60*Simulation!Q254/(2*'Specification &amp; Data'!B$15*PI())</f>
        <v>510.47149810013718</v>
      </c>
      <c r="Y254" s="27">
        <f>IF(L254=1,'Specification &amp; Data'!B$56,IF(L254=2,'Specification &amp; Data'!B$57,IF(L254=3,'Specification &amp; Data'!B$58)))</f>
        <v>581.23604096253996</v>
      </c>
      <c r="Z254" s="38">
        <f>Simulation!Y254*Simulation!Q254^2/(2*1000)</f>
        <v>53.578457521658208</v>
      </c>
    </row>
    <row r="255" spans="7:26">
      <c r="G255" s="44">
        <v>6700</v>
      </c>
      <c r="H255" s="44">
        <v>14</v>
      </c>
      <c r="I255" s="38">
        <f>Simulation!H255*746/1000</f>
        <v>10.444000000000001</v>
      </c>
      <c r="J255" s="38">
        <f>60*1000*Simulation!I255/(2*PI()*Simulation!G255)</f>
        <v>14.88550052822467</v>
      </c>
      <c r="K255" s="37">
        <v>469.1</v>
      </c>
      <c r="L255" s="27">
        <f>IF(Q255&lt;='Specification &amp; Data'!I$7,1,IF(AND(Q255&gt;'Specification &amp; Data'!I$7,Q255&lt;='Specification &amp; Data'!I$8),2,IF(Q255&gt;'Specification &amp; Data'!I$8,3)))</f>
        <v>3</v>
      </c>
      <c r="M255" s="35">
        <v>3</v>
      </c>
      <c r="N255" s="33">
        <f t="shared" si="3"/>
        <v>250</v>
      </c>
      <c r="O255" s="27">
        <f>O254+(1/Simulation!Q255)</f>
        <v>40.724051480463771</v>
      </c>
      <c r="P255" s="38">
        <f>Simulation!Q255*3.6</f>
        <v>48.880578132934232</v>
      </c>
      <c r="Q255" s="38">
        <f>MIN('Specification &amp; Data'!I$9,SQRT(2*Simulation!R254+Simulation!Q254^2))</f>
        <v>13.577938370259508</v>
      </c>
      <c r="R255" s="38">
        <f>IF(Q255=Q254,0,IF(Q255&lt;&gt;Q254,Simulation!V255/Simulation!Y255))</f>
        <v>0</v>
      </c>
      <c r="S255" s="27">
        <f>'Specification &amp; Data'!B$11*'Specification &amp; Data'!B$21*'Specification &amp; Data'!B$23*(Simulation!Q255-'Specification &amp; Data'!B$22)^2/2</f>
        <v>60.54080077002466</v>
      </c>
      <c r="T255" s="27">
        <f>IF(AND(M255=1,L255=1),'Specification &amp; Data'!E$14,IF(AND(M255=1,L255=2),'Specification &amp; Data'!E$15,IF(AND(M255=1,L255=3),'Specification &amp; Data'!E$16,IF(AND(M255=2,L255=1),'Specification &amp; Data'!F$14,IF(AND(M255=2,L255=2),'Specification &amp; Data'!F$15,IF(AND(M255=2,L255=3),'Specification &amp; Data'!F$16,IF(AND(M255=3,L255=1),'Specification &amp; Data'!I$14,IF(AND(M255=3,L255=2),'Specification &amp; Data'!I$15,IF(AND(M255=3,L255=3),'Specification &amp; Data'!I$16)))))))))</f>
        <v>102.35950200000001</v>
      </c>
      <c r="U255" s="27">
        <f>IF(AND(M255=1,L255=1),'Specification &amp; Data'!E$24,IF(AND(M255=1,L255=2),'Specification &amp; Data'!E$25,IF(AND(M255=1,L255=3),'Specification &amp; Data'!E$26,IF(M255=2,0,IF(AND(M255=3,L255=1),'Specification &amp; Data'!I$24,IF(AND(M255=3,L255=2),'Specification &amp; Data'!I$25,IF(AND(M255=3,L255=3),'Specification &amp; Data'!I$26)))))))</f>
        <v>-178.61733099000003</v>
      </c>
      <c r="V255" s="27">
        <f>'Specification &amp; Data'!B$46-Simulation!S255-Simulation!T255-Simulation!U255</f>
        <v>723.61844554280981</v>
      </c>
      <c r="W255" s="27">
        <f>Simulation!V255/Simulation!Y255</f>
        <v>1.2449648585873674</v>
      </c>
      <c r="X255" s="27">
        <f>60*Simulation!Q255/(2*'Specification &amp; Data'!B$15*PI())</f>
        <v>510.47149810013718</v>
      </c>
      <c r="Y255" s="27">
        <f>IF(L255=1,'Specification &amp; Data'!B$56,IF(L255=2,'Specification &amp; Data'!B$57,IF(L255=3,'Specification &amp; Data'!B$58)))</f>
        <v>581.23604096253996</v>
      </c>
      <c r="Z255" s="38">
        <f>Simulation!Y255*Simulation!Q255^2/(2*1000)</f>
        <v>53.578457521658208</v>
      </c>
    </row>
    <row r="256" spans="7:26">
      <c r="G256" s="44">
        <v>6700</v>
      </c>
      <c r="H256" s="44">
        <v>14</v>
      </c>
      <c r="I256" s="38">
        <f>Simulation!H256*746/1000</f>
        <v>10.444000000000001</v>
      </c>
      <c r="J256" s="38">
        <f>60*1000*Simulation!I256/(2*PI()*Simulation!G256)</f>
        <v>14.88550052822467</v>
      </c>
      <c r="K256" s="37">
        <v>457.16</v>
      </c>
      <c r="L256" s="27">
        <f>IF(Q256&lt;='Specification &amp; Data'!I$7,1,IF(AND(Q256&gt;'Specification &amp; Data'!I$7,Q256&lt;='Specification &amp; Data'!I$8),2,IF(Q256&gt;'Specification &amp; Data'!I$8,3)))</f>
        <v>3</v>
      </c>
      <c r="M256" s="35">
        <v>3</v>
      </c>
      <c r="N256" s="33">
        <f t="shared" si="3"/>
        <v>251</v>
      </c>
      <c r="O256" s="27">
        <f>O255+(1/Simulation!Q256)</f>
        <v>40.797700363875286</v>
      </c>
      <c r="P256" s="38">
        <f>Simulation!Q256*3.6</f>
        <v>48.880578132934232</v>
      </c>
      <c r="Q256" s="38">
        <f>MIN('Specification &amp; Data'!I$9,SQRT(2*Simulation!R255+Simulation!Q255^2))</f>
        <v>13.577938370259508</v>
      </c>
      <c r="R256" s="38">
        <f>IF(Q256=Q255,0,IF(Q256&lt;&gt;Q255,Simulation!V256/Simulation!Y256))</f>
        <v>0</v>
      </c>
      <c r="S256" s="27">
        <f>'Specification &amp; Data'!B$11*'Specification &amp; Data'!B$21*'Specification &amp; Data'!B$23*(Simulation!Q256-'Specification &amp; Data'!B$22)^2/2</f>
        <v>60.54080077002466</v>
      </c>
      <c r="T256" s="27">
        <f>IF(AND(M256=1,L256=1),'Specification &amp; Data'!E$14,IF(AND(M256=1,L256=2),'Specification &amp; Data'!E$15,IF(AND(M256=1,L256=3),'Specification &amp; Data'!E$16,IF(AND(M256=2,L256=1),'Specification &amp; Data'!F$14,IF(AND(M256=2,L256=2),'Specification &amp; Data'!F$15,IF(AND(M256=2,L256=3),'Specification &amp; Data'!F$16,IF(AND(M256=3,L256=1),'Specification &amp; Data'!I$14,IF(AND(M256=3,L256=2),'Specification &amp; Data'!I$15,IF(AND(M256=3,L256=3),'Specification &amp; Data'!I$16)))))))))</f>
        <v>102.35950200000001</v>
      </c>
      <c r="U256" s="27">
        <f>IF(AND(M256=1,L256=1),'Specification &amp; Data'!E$24,IF(AND(M256=1,L256=2),'Specification &amp; Data'!E$25,IF(AND(M256=1,L256=3),'Specification &amp; Data'!E$26,IF(M256=2,0,IF(AND(M256=3,L256=1),'Specification &amp; Data'!I$24,IF(AND(M256=3,L256=2),'Specification &amp; Data'!I$25,IF(AND(M256=3,L256=3),'Specification &amp; Data'!I$26)))))))</f>
        <v>-178.61733099000003</v>
      </c>
      <c r="V256" s="27">
        <f>'Specification &amp; Data'!B$46-Simulation!S256-Simulation!T256-Simulation!U256</f>
        <v>723.61844554280981</v>
      </c>
      <c r="W256" s="27">
        <f>Simulation!V256/Simulation!Y256</f>
        <v>1.2449648585873674</v>
      </c>
      <c r="X256" s="27">
        <f>60*Simulation!Q256/(2*'Specification &amp; Data'!B$15*PI())</f>
        <v>510.47149810013718</v>
      </c>
      <c r="Y256" s="27">
        <f>IF(L256=1,'Specification &amp; Data'!B$56,IF(L256=2,'Specification &amp; Data'!B$57,IF(L256=3,'Specification &amp; Data'!B$58)))</f>
        <v>581.23604096253996</v>
      </c>
      <c r="Z256" s="38">
        <f>Simulation!Y256*Simulation!Q256^2/(2*1000)</f>
        <v>53.578457521658208</v>
      </c>
    </row>
    <row r="257" spans="7:26">
      <c r="G257" s="44">
        <v>6600</v>
      </c>
      <c r="H257" s="44">
        <v>16.8</v>
      </c>
      <c r="I257" s="38">
        <f>Simulation!H257*746/1000</f>
        <v>12.532800000000002</v>
      </c>
      <c r="J257" s="38">
        <f>60*1000*Simulation!I257/(2*PI()*Simulation!G257)</f>
        <v>18.133246098019146</v>
      </c>
      <c r="K257" s="37">
        <v>457.16</v>
      </c>
      <c r="L257" s="27">
        <f>IF(Q257&lt;='Specification &amp; Data'!I$7,1,IF(AND(Q257&gt;'Specification &amp; Data'!I$7,Q257&lt;='Specification &amp; Data'!I$8),2,IF(Q257&gt;'Specification &amp; Data'!I$8,3)))</f>
        <v>3</v>
      </c>
      <c r="M257" s="35">
        <v>3</v>
      </c>
      <c r="N257" s="33">
        <f t="shared" si="3"/>
        <v>252</v>
      </c>
      <c r="O257" s="27">
        <f>O256+(1/Simulation!Q257)</f>
        <v>40.871349247286801</v>
      </c>
      <c r="P257" s="38">
        <f>Simulation!Q257*3.6</f>
        <v>48.880578132934232</v>
      </c>
      <c r="Q257" s="38">
        <f>MIN('Specification &amp; Data'!I$9,SQRT(2*Simulation!R256+Simulation!Q256^2))</f>
        <v>13.577938370259508</v>
      </c>
      <c r="R257" s="38">
        <f>IF(Q257=Q256,0,IF(Q257&lt;&gt;Q256,Simulation!V257/Simulation!Y257))</f>
        <v>0</v>
      </c>
      <c r="S257" s="27">
        <f>'Specification &amp; Data'!B$11*'Specification &amp; Data'!B$21*'Specification &amp; Data'!B$23*(Simulation!Q257-'Specification &amp; Data'!B$22)^2/2</f>
        <v>60.54080077002466</v>
      </c>
      <c r="T257" s="27">
        <f>IF(AND(M257=1,L257=1),'Specification &amp; Data'!E$14,IF(AND(M257=1,L257=2),'Specification &amp; Data'!E$15,IF(AND(M257=1,L257=3),'Specification &amp; Data'!E$16,IF(AND(M257=2,L257=1),'Specification &amp; Data'!F$14,IF(AND(M257=2,L257=2),'Specification &amp; Data'!F$15,IF(AND(M257=2,L257=3),'Specification &amp; Data'!F$16,IF(AND(M257=3,L257=1),'Specification &amp; Data'!I$14,IF(AND(M257=3,L257=2),'Specification &amp; Data'!I$15,IF(AND(M257=3,L257=3),'Specification &amp; Data'!I$16)))))))))</f>
        <v>102.35950200000001</v>
      </c>
      <c r="U257" s="27">
        <f>IF(AND(M257=1,L257=1),'Specification &amp; Data'!E$24,IF(AND(M257=1,L257=2),'Specification &amp; Data'!E$25,IF(AND(M257=1,L257=3),'Specification &amp; Data'!E$26,IF(M257=2,0,IF(AND(M257=3,L257=1),'Specification &amp; Data'!I$24,IF(AND(M257=3,L257=2),'Specification &amp; Data'!I$25,IF(AND(M257=3,L257=3),'Specification &amp; Data'!I$26)))))))</f>
        <v>-178.61733099000003</v>
      </c>
      <c r="V257" s="27">
        <f>'Specification &amp; Data'!B$46-Simulation!S257-Simulation!T257-Simulation!U257</f>
        <v>723.61844554280981</v>
      </c>
      <c r="W257" s="27">
        <f>Simulation!V257/Simulation!Y257</f>
        <v>1.2449648585873674</v>
      </c>
      <c r="X257" s="27">
        <f>60*Simulation!Q257/(2*'Specification &amp; Data'!B$15*PI())</f>
        <v>510.47149810013718</v>
      </c>
      <c r="Y257" s="27">
        <f>IF(L257=1,'Specification &amp; Data'!B$56,IF(L257=2,'Specification &amp; Data'!B$57,IF(L257=3,'Specification &amp; Data'!B$58)))</f>
        <v>581.23604096253996</v>
      </c>
      <c r="Z257" s="38">
        <f>Simulation!Y257*Simulation!Q257^2/(2*1000)</f>
        <v>53.578457521658208</v>
      </c>
    </row>
    <row r="258" spans="7:26">
      <c r="G258" s="44">
        <v>6600</v>
      </c>
      <c r="H258" s="44">
        <v>16.8</v>
      </c>
      <c r="I258" s="38">
        <f>Simulation!H258*746/1000</f>
        <v>12.532800000000002</v>
      </c>
      <c r="J258" s="38">
        <f>60*1000*Simulation!I258/(2*PI()*Simulation!G258)</f>
        <v>18.133246098019146</v>
      </c>
      <c r="K258" s="37">
        <v>457.16</v>
      </c>
      <c r="L258" s="27">
        <f>IF(Q258&lt;='Specification &amp; Data'!I$7,1,IF(AND(Q258&gt;'Specification &amp; Data'!I$7,Q258&lt;='Specification &amp; Data'!I$8),2,IF(Q258&gt;'Specification &amp; Data'!I$8,3)))</f>
        <v>3</v>
      </c>
      <c r="M258" s="35">
        <v>3</v>
      </c>
      <c r="N258" s="33">
        <f t="shared" si="3"/>
        <v>253</v>
      </c>
      <c r="O258" s="27">
        <f>O257+(1/Simulation!Q258)</f>
        <v>40.944998130698316</v>
      </c>
      <c r="P258" s="38">
        <f>Simulation!Q258*3.6</f>
        <v>48.880578132934232</v>
      </c>
      <c r="Q258" s="38">
        <f>MIN('Specification &amp; Data'!I$9,SQRT(2*Simulation!R257+Simulation!Q257^2))</f>
        <v>13.577938370259508</v>
      </c>
      <c r="R258" s="38">
        <f>IF(Q258=Q257,0,IF(Q258&lt;&gt;Q257,Simulation!V258/Simulation!Y258))</f>
        <v>0</v>
      </c>
      <c r="S258" s="27">
        <f>'Specification &amp; Data'!B$11*'Specification &amp; Data'!B$21*'Specification &amp; Data'!B$23*(Simulation!Q258-'Specification &amp; Data'!B$22)^2/2</f>
        <v>60.54080077002466</v>
      </c>
      <c r="T258" s="27">
        <f>IF(AND(M258=1,L258=1),'Specification &amp; Data'!E$14,IF(AND(M258=1,L258=2),'Specification &amp; Data'!E$15,IF(AND(M258=1,L258=3),'Specification &amp; Data'!E$16,IF(AND(M258=2,L258=1),'Specification &amp; Data'!F$14,IF(AND(M258=2,L258=2),'Specification &amp; Data'!F$15,IF(AND(M258=2,L258=3),'Specification &amp; Data'!F$16,IF(AND(M258=3,L258=1),'Specification &amp; Data'!I$14,IF(AND(M258=3,L258=2),'Specification &amp; Data'!I$15,IF(AND(M258=3,L258=3),'Specification &amp; Data'!I$16)))))))))</f>
        <v>102.35950200000001</v>
      </c>
      <c r="U258" s="27">
        <f>IF(AND(M258=1,L258=1),'Specification &amp; Data'!E$24,IF(AND(M258=1,L258=2),'Specification &amp; Data'!E$25,IF(AND(M258=1,L258=3),'Specification &amp; Data'!E$26,IF(M258=2,0,IF(AND(M258=3,L258=1),'Specification &amp; Data'!I$24,IF(AND(M258=3,L258=2),'Specification &amp; Data'!I$25,IF(AND(M258=3,L258=3),'Specification &amp; Data'!I$26)))))))</f>
        <v>-178.61733099000003</v>
      </c>
      <c r="V258" s="27">
        <f>'Specification &amp; Data'!B$46-Simulation!S258-Simulation!T258-Simulation!U258</f>
        <v>723.61844554280981</v>
      </c>
      <c r="W258" s="27">
        <f>Simulation!V258/Simulation!Y258</f>
        <v>1.2449648585873674</v>
      </c>
      <c r="X258" s="27">
        <f>60*Simulation!Q258/(2*'Specification &amp; Data'!B$15*PI())</f>
        <v>510.47149810013718</v>
      </c>
      <c r="Y258" s="27">
        <f>IF(L258=1,'Specification &amp; Data'!B$56,IF(L258=2,'Specification &amp; Data'!B$57,IF(L258=3,'Specification &amp; Data'!B$58)))</f>
        <v>581.23604096253996</v>
      </c>
      <c r="Z258" s="38">
        <f>Simulation!Y258*Simulation!Q258^2/(2*1000)</f>
        <v>53.578457521658208</v>
      </c>
    </row>
    <row r="259" spans="7:26">
      <c r="G259" s="44">
        <v>6600</v>
      </c>
      <c r="H259" s="44">
        <v>16.8</v>
      </c>
      <c r="I259" s="38">
        <f>Simulation!H259*746/1000</f>
        <v>12.532800000000002</v>
      </c>
      <c r="J259" s="38">
        <f>60*1000*Simulation!I259/(2*PI()*Simulation!G259)</f>
        <v>18.133246098019146</v>
      </c>
      <c r="K259" s="37">
        <v>457.16</v>
      </c>
      <c r="L259" s="27">
        <f>IF(Q259&lt;='Specification &amp; Data'!I$7,1,IF(AND(Q259&gt;'Specification &amp; Data'!I$7,Q259&lt;='Specification &amp; Data'!I$8),2,IF(Q259&gt;'Specification &amp; Data'!I$8,3)))</f>
        <v>3</v>
      </c>
      <c r="M259" s="35">
        <v>3</v>
      </c>
      <c r="N259" s="33">
        <f t="shared" si="3"/>
        <v>254</v>
      </c>
      <c r="O259" s="27">
        <f>O258+(1/Simulation!Q259)</f>
        <v>41.018647014109831</v>
      </c>
      <c r="P259" s="38">
        <f>Simulation!Q259*3.6</f>
        <v>48.880578132934232</v>
      </c>
      <c r="Q259" s="38">
        <f>MIN('Specification &amp; Data'!I$9,SQRT(2*Simulation!R258+Simulation!Q258^2))</f>
        <v>13.577938370259508</v>
      </c>
      <c r="R259" s="38">
        <f>IF(Q259=Q258,0,IF(Q259&lt;&gt;Q258,Simulation!V259/Simulation!Y259))</f>
        <v>0</v>
      </c>
      <c r="S259" s="27">
        <f>'Specification &amp; Data'!B$11*'Specification &amp; Data'!B$21*'Specification &amp; Data'!B$23*(Simulation!Q259-'Specification &amp; Data'!B$22)^2/2</f>
        <v>60.54080077002466</v>
      </c>
      <c r="T259" s="27">
        <f>IF(AND(M259=1,L259=1),'Specification &amp; Data'!E$14,IF(AND(M259=1,L259=2),'Specification &amp; Data'!E$15,IF(AND(M259=1,L259=3),'Specification &amp; Data'!E$16,IF(AND(M259=2,L259=1),'Specification &amp; Data'!F$14,IF(AND(M259=2,L259=2),'Specification &amp; Data'!F$15,IF(AND(M259=2,L259=3),'Specification &amp; Data'!F$16,IF(AND(M259=3,L259=1),'Specification &amp; Data'!I$14,IF(AND(M259=3,L259=2),'Specification &amp; Data'!I$15,IF(AND(M259=3,L259=3),'Specification &amp; Data'!I$16)))))))))</f>
        <v>102.35950200000001</v>
      </c>
      <c r="U259" s="27">
        <f>IF(AND(M259=1,L259=1),'Specification &amp; Data'!E$24,IF(AND(M259=1,L259=2),'Specification &amp; Data'!E$25,IF(AND(M259=1,L259=3),'Specification &amp; Data'!E$26,IF(M259=2,0,IF(AND(M259=3,L259=1),'Specification &amp; Data'!I$24,IF(AND(M259=3,L259=2),'Specification &amp; Data'!I$25,IF(AND(M259=3,L259=3),'Specification &amp; Data'!I$26)))))))</f>
        <v>-178.61733099000003</v>
      </c>
      <c r="V259" s="27">
        <f>'Specification &amp; Data'!B$46-Simulation!S259-Simulation!T259-Simulation!U259</f>
        <v>723.61844554280981</v>
      </c>
      <c r="W259" s="27">
        <f>Simulation!V259/Simulation!Y259</f>
        <v>1.2449648585873674</v>
      </c>
      <c r="X259" s="27">
        <f>60*Simulation!Q259/(2*'Specification &amp; Data'!B$15*PI())</f>
        <v>510.47149810013718</v>
      </c>
      <c r="Y259" s="27">
        <f>IF(L259=1,'Specification &amp; Data'!B$56,IF(L259=2,'Specification &amp; Data'!B$57,IF(L259=3,'Specification &amp; Data'!B$58)))</f>
        <v>581.23604096253996</v>
      </c>
      <c r="Z259" s="38">
        <f>Simulation!Y259*Simulation!Q259^2/(2*1000)</f>
        <v>53.578457521658208</v>
      </c>
    </row>
    <row r="260" spans="7:26">
      <c r="G260" s="44">
        <v>6600</v>
      </c>
      <c r="H260" s="44">
        <v>16.8</v>
      </c>
      <c r="I260" s="38">
        <f>Simulation!H260*746/1000</f>
        <v>12.532800000000002</v>
      </c>
      <c r="J260" s="38">
        <f>60*1000*Simulation!I260/(2*PI()*Simulation!G260)</f>
        <v>18.133246098019146</v>
      </c>
      <c r="K260" s="37">
        <v>457.16</v>
      </c>
      <c r="L260" s="27">
        <f>IF(Q260&lt;='Specification &amp; Data'!I$7,1,IF(AND(Q260&gt;'Specification &amp; Data'!I$7,Q260&lt;='Specification &amp; Data'!I$8),2,IF(Q260&gt;'Specification &amp; Data'!I$8,3)))</f>
        <v>3</v>
      </c>
      <c r="M260" s="35">
        <v>3</v>
      </c>
      <c r="N260" s="33">
        <f t="shared" si="3"/>
        <v>255</v>
      </c>
      <c r="O260" s="27">
        <f>O259+(1/Simulation!Q260)</f>
        <v>41.092295897521346</v>
      </c>
      <c r="P260" s="38">
        <f>Simulation!Q260*3.6</f>
        <v>48.880578132934232</v>
      </c>
      <c r="Q260" s="38">
        <f>MIN('Specification &amp; Data'!I$9,SQRT(2*Simulation!R259+Simulation!Q259^2))</f>
        <v>13.577938370259508</v>
      </c>
      <c r="R260" s="38">
        <f>IF(Q260=Q259,0,IF(Q260&lt;&gt;Q259,Simulation!V260/Simulation!Y260))</f>
        <v>0</v>
      </c>
      <c r="S260" s="27">
        <f>'Specification &amp; Data'!B$11*'Specification &amp; Data'!B$21*'Specification &amp; Data'!B$23*(Simulation!Q260-'Specification &amp; Data'!B$22)^2/2</f>
        <v>60.54080077002466</v>
      </c>
      <c r="T260" s="27">
        <f>IF(AND(M260=1,L260=1),'Specification &amp; Data'!E$14,IF(AND(M260=1,L260=2),'Specification &amp; Data'!E$15,IF(AND(M260=1,L260=3),'Specification &amp; Data'!E$16,IF(AND(M260=2,L260=1),'Specification &amp; Data'!F$14,IF(AND(M260=2,L260=2),'Specification &amp; Data'!F$15,IF(AND(M260=2,L260=3),'Specification &amp; Data'!F$16,IF(AND(M260=3,L260=1),'Specification &amp; Data'!I$14,IF(AND(M260=3,L260=2),'Specification &amp; Data'!I$15,IF(AND(M260=3,L260=3),'Specification &amp; Data'!I$16)))))))))</f>
        <v>102.35950200000001</v>
      </c>
      <c r="U260" s="27">
        <f>IF(AND(M260=1,L260=1),'Specification &amp; Data'!E$24,IF(AND(M260=1,L260=2),'Specification &amp; Data'!E$25,IF(AND(M260=1,L260=3),'Specification &amp; Data'!E$26,IF(M260=2,0,IF(AND(M260=3,L260=1),'Specification &amp; Data'!I$24,IF(AND(M260=3,L260=2),'Specification &amp; Data'!I$25,IF(AND(M260=3,L260=3),'Specification &amp; Data'!I$26)))))))</f>
        <v>-178.61733099000003</v>
      </c>
      <c r="V260" s="27">
        <f>'Specification &amp; Data'!B$46-Simulation!S260-Simulation!T260-Simulation!U260</f>
        <v>723.61844554280981</v>
      </c>
      <c r="W260" s="27">
        <f>Simulation!V260/Simulation!Y260</f>
        <v>1.2449648585873674</v>
      </c>
      <c r="X260" s="27">
        <f>60*Simulation!Q260/(2*'Specification &amp; Data'!B$15*PI())</f>
        <v>510.47149810013718</v>
      </c>
      <c r="Y260" s="27">
        <f>IF(L260=1,'Specification &amp; Data'!B$56,IF(L260=2,'Specification &amp; Data'!B$57,IF(L260=3,'Specification &amp; Data'!B$58)))</f>
        <v>581.23604096253996</v>
      </c>
      <c r="Z260" s="38">
        <f>Simulation!Y260*Simulation!Q260^2/(2*1000)</f>
        <v>53.578457521658208</v>
      </c>
    </row>
    <row r="261" spans="7:26">
      <c r="G261" s="44">
        <v>6600</v>
      </c>
      <c r="H261" s="44">
        <v>16.8</v>
      </c>
      <c r="I261" s="38">
        <f>Simulation!H261*746/1000</f>
        <v>12.532800000000002</v>
      </c>
      <c r="J261" s="38">
        <f>60*1000*Simulation!I261/(2*PI()*Simulation!G261)</f>
        <v>18.133246098019146</v>
      </c>
      <c r="K261" s="37">
        <v>457.16</v>
      </c>
      <c r="L261" s="27">
        <f>IF(Q261&lt;='Specification &amp; Data'!I$7,1,IF(AND(Q261&gt;'Specification &amp; Data'!I$7,Q261&lt;='Specification &amp; Data'!I$8),2,IF(Q261&gt;'Specification &amp; Data'!I$8,3)))</f>
        <v>3</v>
      </c>
      <c r="M261" s="35">
        <v>3</v>
      </c>
      <c r="N261" s="33">
        <f t="shared" si="3"/>
        <v>256</v>
      </c>
      <c r="O261" s="27">
        <f>O260+(1/Simulation!Q261)</f>
        <v>41.165944780932861</v>
      </c>
      <c r="P261" s="38">
        <f>Simulation!Q261*3.6</f>
        <v>48.880578132934232</v>
      </c>
      <c r="Q261" s="38">
        <f>MIN('Specification &amp; Data'!I$9,SQRT(2*Simulation!R260+Simulation!Q260^2))</f>
        <v>13.577938370259508</v>
      </c>
      <c r="R261" s="38">
        <f>IF(Q261=Q260,0,IF(Q261&lt;&gt;Q260,Simulation!V261/Simulation!Y261))</f>
        <v>0</v>
      </c>
      <c r="S261" s="27">
        <f>'Specification &amp; Data'!B$11*'Specification &amp; Data'!B$21*'Specification &amp; Data'!B$23*(Simulation!Q261-'Specification &amp; Data'!B$22)^2/2</f>
        <v>60.54080077002466</v>
      </c>
      <c r="T261" s="27">
        <f>IF(AND(M261=1,L261=1),'Specification &amp; Data'!E$14,IF(AND(M261=1,L261=2),'Specification &amp; Data'!E$15,IF(AND(M261=1,L261=3),'Specification &amp; Data'!E$16,IF(AND(M261=2,L261=1),'Specification &amp; Data'!F$14,IF(AND(M261=2,L261=2),'Specification &amp; Data'!F$15,IF(AND(M261=2,L261=3),'Specification &amp; Data'!F$16,IF(AND(M261=3,L261=1),'Specification &amp; Data'!I$14,IF(AND(M261=3,L261=2),'Specification &amp; Data'!I$15,IF(AND(M261=3,L261=3),'Specification &amp; Data'!I$16)))))))))</f>
        <v>102.35950200000001</v>
      </c>
      <c r="U261" s="27">
        <f>IF(AND(M261=1,L261=1),'Specification &amp; Data'!E$24,IF(AND(M261=1,L261=2),'Specification &amp; Data'!E$25,IF(AND(M261=1,L261=3),'Specification &amp; Data'!E$26,IF(M261=2,0,IF(AND(M261=3,L261=1),'Specification &amp; Data'!I$24,IF(AND(M261=3,L261=2),'Specification &amp; Data'!I$25,IF(AND(M261=3,L261=3),'Specification &amp; Data'!I$26)))))))</f>
        <v>-178.61733099000003</v>
      </c>
      <c r="V261" s="27">
        <f>'Specification &amp; Data'!B$46-Simulation!S261-Simulation!T261-Simulation!U261</f>
        <v>723.61844554280981</v>
      </c>
      <c r="W261" s="27">
        <f>Simulation!V261/Simulation!Y261</f>
        <v>1.2449648585873674</v>
      </c>
      <c r="X261" s="27">
        <f>60*Simulation!Q261/(2*'Specification &amp; Data'!B$15*PI())</f>
        <v>510.47149810013718</v>
      </c>
      <c r="Y261" s="27">
        <f>IF(L261=1,'Specification &amp; Data'!B$56,IF(L261=2,'Specification &amp; Data'!B$57,IF(L261=3,'Specification &amp; Data'!B$58)))</f>
        <v>581.23604096253996</v>
      </c>
      <c r="Z261" s="38">
        <f>Simulation!Y261*Simulation!Q261^2/(2*1000)</f>
        <v>53.578457521658208</v>
      </c>
    </row>
    <row r="262" spans="7:26">
      <c r="G262" s="44">
        <v>6500</v>
      </c>
      <c r="H262" s="44">
        <v>18</v>
      </c>
      <c r="I262" s="38">
        <f>Simulation!H262*746/1000</f>
        <v>13.428000000000001</v>
      </c>
      <c r="J262" s="38">
        <f>60*1000*Simulation!I262/(2*PI()*Simulation!G262)</f>
        <v>19.727377623119729</v>
      </c>
      <c r="K262" s="37">
        <v>457.16</v>
      </c>
      <c r="L262" s="27">
        <f>IF(Q262&lt;='Specification &amp; Data'!I$7,1,IF(AND(Q262&gt;'Specification &amp; Data'!I$7,Q262&lt;='Specification &amp; Data'!I$8),2,IF(Q262&gt;'Specification &amp; Data'!I$8,3)))</f>
        <v>3</v>
      </c>
      <c r="M262" s="35">
        <v>3</v>
      </c>
      <c r="N262" s="33">
        <f t="shared" si="3"/>
        <v>257</v>
      </c>
      <c r="O262" s="27">
        <f>O261+(1/Simulation!Q262)</f>
        <v>41.239593664344376</v>
      </c>
      <c r="P262" s="38">
        <f>Simulation!Q262*3.6</f>
        <v>48.880578132934232</v>
      </c>
      <c r="Q262" s="38">
        <f>MIN('Specification &amp; Data'!I$9,SQRT(2*Simulation!R261+Simulation!Q261^2))</f>
        <v>13.577938370259508</v>
      </c>
      <c r="R262" s="38">
        <f>IF(Q262=Q261,0,IF(Q262&lt;&gt;Q261,Simulation!V262/Simulation!Y262))</f>
        <v>0</v>
      </c>
      <c r="S262" s="27">
        <f>'Specification &amp; Data'!B$11*'Specification &amp; Data'!B$21*'Specification &amp; Data'!B$23*(Simulation!Q262-'Specification &amp; Data'!B$22)^2/2</f>
        <v>60.54080077002466</v>
      </c>
      <c r="T262" s="27">
        <f>IF(AND(M262=1,L262=1),'Specification &amp; Data'!E$14,IF(AND(M262=1,L262=2),'Specification &amp; Data'!E$15,IF(AND(M262=1,L262=3),'Specification &amp; Data'!E$16,IF(AND(M262=2,L262=1),'Specification &amp; Data'!F$14,IF(AND(M262=2,L262=2),'Specification &amp; Data'!F$15,IF(AND(M262=2,L262=3),'Specification &amp; Data'!F$16,IF(AND(M262=3,L262=1),'Specification &amp; Data'!I$14,IF(AND(M262=3,L262=2),'Specification &amp; Data'!I$15,IF(AND(M262=3,L262=3),'Specification &amp; Data'!I$16)))))))))</f>
        <v>102.35950200000001</v>
      </c>
      <c r="U262" s="27">
        <f>IF(AND(M262=1,L262=1),'Specification &amp; Data'!E$24,IF(AND(M262=1,L262=2),'Specification &amp; Data'!E$25,IF(AND(M262=1,L262=3),'Specification &amp; Data'!E$26,IF(M262=2,0,IF(AND(M262=3,L262=1),'Specification &amp; Data'!I$24,IF(AND(M262=3,L262=2),'Specification &amp; Data'!I$25,IF(AND(M262=3,L262=3),'Specification &amp; Data'!I$26)))))))</f>
        <v>-178.61733099000003</v>
      </c>
      <c r="V262" s="27">
        <f>'Specification &amp; Data'!B$46-Simulation!S262-Simulation!T262-Simulation!U262</f>
        <v>723.61844554280981</v>
      </c>
      <c r="W262" s="27">
        <f>Simulation!V262/Simulation!Y262</f>
        <v>1.2449648585873674</v>
      </c>
      <c r="X262" s="27">
        <f>60*Simulation!Q262/(2*'Specification &amp; Data'!B$15*PI())</f>
        <v>510.47149810013718</v>
      </c>
      <c r="Y262" s="27">
        <f>IF(L262=1,'Specification &amp; Data'!B$56,IF(L262=2,'Specification &amp; Data'!B$57,IF(L262=3,'Specification &amp; Data'!B$58)))</f>
        <v>581.23604096253996</v>
      </c>
      <c r="Z262" s="38">
        <f>Simulation!Y262*Simulation!Q262^2/(2*1000)</f>
        <v>53.578457521658208</v>
      </c>
    </row>
    <row r="263" spans="7:26">
      <c r="G263" s="44">
        <v>6500</v>
      </c>
      <c r="H263" s="44">
        <v>18</v>
      </c>
      <c r="I263" s="38">
        <f>Simulation!H263*746/1000</f>
        <v>13.428000000000001</v>
      </c>
      <c r="J263" s="38">
        <f>60*1000*Simulation!I263/(2*PI()*Simulation!G263)</f>
        <v>19.727377623119729</v>
      </c>
      <c r="K263" s="37">
        <v>504.5</v>
      </c>
      <c r="L263" s="27">
        <f>IF(Q263&lt;='Specification &amp; Data'!I$7,1,IF(AND(Q263&gt;'Specification &amp; Data'!I$7,Q263&lt;='Specification &amp; Data'!I$8),2,IF(Q263&gt;'Specification &amp; Data'!I$8,3)))</f>
        <v>3</v>
      </c>
      <c r="M263" s="35">
        <v>3</v>
      </c>
      <c r="N263" s="33">
        <f t="shared" ref="N263:N314" si="4">N262+1</f>
        <v>258</v>
      </c>
      <c r="O263" s="27">
        <f>O262+(1/Simulation!Q263)</f>
        <v>41.313242547755891</v>
      </c>
      <c r="P263" s="38">
        <f>Simulation!Q263*3.6</f>
        <v>48.880578132934232</v>
      </c>
      <c r="Q263" s="38">
        <f>MIN('Specification &amp; Data'!I$9,SQRT(2*Simulation!R262+Simulation!Q262^2))</f>
        <v>13.577938370259508</v>
      </c>
      <c r="R263" s="38">
        <f>IF(Q263=Q262,0,IF(Q263&lt;&gt;Q262,Simulation!V263/Simulation!Y263))</f>
        <v>0</v>
      </c>
      <c r="S263" s="27">
        <f>'Specification &amp; Data'!B$11*'Specification &amp; Data'!B$21*'Specification &amp; Data'!B$23*(Simulation!Q263-'Specification &amp; Data'!B$22)^2/2</f>
        <v>60.54080077002466</v>
      </c>
      <c r="T263" s="27">
        <f>IF(AND(M263=1,L263=1),'Specification &amp; Data'!E$14,IF(AND(M263=1,L263=2),'Specification &amp; Data'!E$15,IF(AND(M263=1,L263=3),'Specification &amp; Data'!E$16,IF(AND(M263=2,L263=1),'Specification &amp; Data'!F$14,IF(AND(M263=2,L263=2),'Specification &amp; Data'!F$15,IF(AND(M263=2,L263=3),'Specification &amp; Data'!F$16,IF(AND(M263=3,L263=1),'Specification &amp; Data'!I$14,IF(AND(M263=3,L263=2),'Specification &amp; Data'!I$15,IF(AND(M263=3,L263=3),'Specification &amp; Data'!I$16)))))))))</f>
        <v>102.35950200000001</v>
      </c>
      <c r="U263" s="27">
        <f>IF(AND(M263=1,L263=1),'Specification &amp; Data'!E$24,IF(AND(M263=1,L263=2),'Specification &amp; Data'!E$25,IF(AND(M263=1,L263=3),'Specification &amp; Data'!E$26,IF(M263=2,0,IF(AND(M263=3,L263=1),'Specification &amp; Data'!I$24,IF(AND(M263=3,L263=2),'Specification &amp; Data'!I$25,IF(AND(M263=3,L263=3),'Specification &amp; Data'!I$26)))))))</f>
        <v>-178.61733099000003</v>
      </c>
      <c r="V263" s="27">
        <f>'Specification &amp; Data'!B$46-Simulation!S263-Simulation!T263-Simulation!U263</f>
        <v>723.61844554280981</v>
      </c>
      <c r="W263" s="27">
        <f>Simulation!V263/Simulation!Y263</f>
        <v>1.2449648585873674</v>
      </c>
      <c r="X263" s="27">
        <f>60*Simulation!Q263/(2*'Specification &amp; Data'!B$15*PI())</f>
        <v>510.47149810013718</v>
      </c>
      <c r="Y263" s="27">
        <f>IF(L263=1,'Specification &amp; Data'!B$56,IF(L263=2,'Specification &amp; Data'!B$57,IF(L263=3,'Specification &amp; Data'!B$58)))</f>
        <v>581.23604096253996</v>
      </c>
      <c r="Z263" s="38">
        <f>Simulation!Y263*Simulation!Q263^2/(2*1000)</f>
        <v>53.578457521658208</v>
      </c>
    </row>
    <row r="264" spans="7:26">
      <c r="G264" s="44">
        <v>6500</v>
      </c>
      <c r="H264" s="44">
        <v>18</v>
      </c>
      <c r="I264" s="38">
        <f>Simulation!H264*746/1000</f>
        <v>13.428000000000001</v>
      </c>
      <c r="J264" s="38">
        <f>60*1000*Simulation!I264/(2*PI()*Simulation!G264)</f>
        <v>19.727377623119729</v>
      </c>
      <c r="K264" s="37">
        <v>504.5</v>
      </c>
      <c r="L264" s="27">
        <f>IF(Q264&lt;='Specification &amp; Data'!I$7,1,IF(AND(Q264&gt;'Specification &amp; Data'!I$7,Q264&lt;='Specification &amp; Data'!I$8),2,IF(Q264&gt;'Specification &amp; Data'!I$8,3)))</f>
        <v>3</v>
      </c>
      <c r="M264" s="35">
        <v>3</v>
      </c>
      <c r="N264" s="33">
        <f t="shared" si="4"/>
        <v>259</v>
      </c>
      <c r="O264" s="27">
        <f>O263+(1/Simulation!Q264)</f>
        <v>41.386891431167406</v>
      </c>
      <c r="P264" s="38">
        <f>Simulation!Q264*3.6</f>
        <v>48.880578132934232</v>
      </c>
      <c r="Q264" s="38">
        <f>MIN('Specification &amp; Data'!I$9,SQRT(2*Simulation!R263+Simulation!Q263^2))</f>
        <v>13.577938370259508</v>
      </c>
      <c r="R264" s="38">
        <f>IF(Q264=Q263,0,IF(Q264&lt;&gt;Q263,Simulation!V264/Simulation!Y264))</f>
        <v>0</v>
      </c>
      <c r="S264" s="27">
        <f>'Specification &amp; Data'!B$11*'Specification &amp; Data'!B$21*'Specification &amp; Data'!B$23*(Simulation!Q264-'Specification &amp; Data'!B$22)^2/2</f>
        <v>60.54080077002466</v>
      </c>
      <c r="T264" s="27">
        <f>IF(AND(M264=1,L264=1),'Specification &amp; Data'!E$14,IF(AND(M264=1,L264=2),'Specification &amp; Data'!E$15,IF(AND(M264=1,L264=3),'Specification &amp; Data'!E$16,IF(AND(M264=2,L264=1),'Specification &amp; Data'!F$14,IF(AND(M264=2,L264=2),'Specification &amp; Data'!F$15,IF(AND(M264=2,L264=3),'Specification &amp; Data'!F$16,IF(AND(M264=3,L264=1),'Specification &amp; Data'!I$14,IF(AND(M264=3,L264=2),'Specification &amp; Data'!I$15,IF(AND(M264=3,L264=3),'Specification &amp; Data'!I$16)))))))))</f>
        <v>102.35950200000001</v>
      </c>
      <c r="U264" s="27">
        <f>IF(AND(M264=1,L264=1),'Specification &amp; Data'!E$24,IF(AND(M264=1,L264=2),'Specification &amp; Data'!E$25,IF(AND(M264=1,L264=3),'Specification &amp; Data'!E$26,IF(M264=2,0,IF(AND(M264=3,L264=1),'Specification &amp; Data'!I$24,IF(AND(M264=3,L264=2),'Specification &amp; Data'!I$25,IF(AND(M264=3,L264=3),'Specification &amp; Data'!I$26)))))))</f>
        <v>-178.61733099000003</v>
      </c>
      <c r="V264" s="27">
        <f>'Specification &amp; Data'!B$46-Simulation!S264-Simulation!T264-Simulation!U264</f>
        <v>723.61844554280981</v>
      </c>
      <c r="W264" s="27">
        <f>Simulation!V264/Simulation!Y264</f>
        <v>1.2449648585873674</v>
      </c>
      <c r="X264" s="27">
        <f>60*Simulation!Q264/(2*'Specification &amp; Data'!B$15*PI())</f>
        <v>510.47149810013718</v>
      </c>
      <c r="Y264" s="27">
        <f>IF(L264=1,'Specification &amp; Data'!B$56,IF(L264=2,'Specification &amp; Data'!B$57,IF(L264=3,'Specification &amp; Data'!B$58)))</f>
        <v>581.23604096253996</v>
      </c>
      <c r="Z264" s="38">
        <f>Simulation!Y264*Simulation!Q264^2/(2*1000)</f>
        <v>53.578457521658208</v>
      </c>
    </row>
    <row r="265" spans="7:26">
      <c r="G265" s="44">
        <v>6500</v>
      </c>
      <c r="H265" s="44">
        <v>18</v>
      </c>
      <c r="I265" s="38">
        <f>Simulation!H265*746/1000</f>
        <v>13.428000000000001</v>
      </c>
      <c r="J265" s="38">
        <f>60*1000*Simulation!I265/(2*PI()*Simulation!G265)</f>
        <v>19.727377623119729</v>
      </c>
      <c r="K265" s="37">
        <v>504.5</v>
      </c>
      <c r="L265" s="27">
        <f>IF(Q265&lt;='Specification &amp; Data'!I$7,1,IF(AND(Q265&gt;'Specification &amp; Data'!I$7,Q265&lt;='Specification &amp; Data'!I$8),2,IF(Q265&gt;'Specification &amp; Data'!I$8,3)))</f>
        <v>3</v>
      </c>
      <c r="M265" s="35">
        <v>3</v>
      </c>
      <c r="N265" s="33">
        <f t="shared" si="4"/>
        <v>260</v>
      </c>
      <c r="O265" s="27">
        <f>O264+(1/Simulation!Q265)</f>
        <v>41.460540314578921</v>
      </c>
      <c r="P265" s="38">
        <f>Simulation!Q265*3.6</f>
        <v>48.880578132934232</v>
      </c>
      <c r="Q265" s="38">
        <f>MIN('Specification &amp; Data'!I$9,SQRT(2*Simulation!R264+Simulation!Q264^2))</f>
        <v>13.577938370259508</v>
      </c>
      <c r="R265" s="38">
        <f>IF(Q265=Q264,0,IF(Q265&lt;&gt;Q264,Simulation!V265/Simulation!Y265))</f>
        <v>0</v>
      </c>
      <c r="S265" s="27">
        <f>'Specification &amp; Data'!B$11*'Specification &amp; Data'!B$21*'Specification &amp; Data'!B$23*(Simulation!Q265-'Specification &amp; Data'!B$22)^2/2</f>
        <v>60.54080077002466</v>
      </c>
      <c r="T265" s="27">
        <f>IF(AND(M265=1,L265=1),'Specification &amp; Data'!E$14,IF(AND(M265=1,L265=2),'Specification &amp; Data'!E$15,IF(AND(M265=1,L265=3),'Specification &amp; Data'!E$16,IF(AND(M265=2,L265=1),'Specification &amp; Data'!F$14,IF(AND(M265=2,L265=2),'Specification &amp; Data'!F$15,IF(AND(M265=2,L265=3),'Specification &amp; Data'!F$16,IF(AND(M265=3,L265=1),'Specification &amp; Data'!I$14,IF(AND(M265=3,L265=2),'Specification &amp; Data'!I$15,IF(AND(M265=3,L265=3),'Specification &amp; Data'!I$16)))))))))</f>
        <v>102.35950200000001</v>
      </c>
      <c r="U265" s="27">
        <f>IF(AND(M265=1,L265=1),'Specification &amp; Data'!E$24,IF(AND(M265=1,L265=2),'Specification &amp; Data'!E$25,IF(AND(M265=1,L265=3),'Specification &amp; Data'!E$26,IF(M265=2,0,IF(AND(M265=3,L265=1),'Specification &amp; Data'!I$24,IF(AND(M265=3,L265=2),'Specification &amp; Data'!I$25,IF(AND(M265=3,L265=3),'Specification &amp; Data'!I$26)))))))</f>
        <v>-178.61733099000003</v>
      </c>
      <c r="V265" s="27">
        <f>'Specification &amp; Data'!B$46-Simulation!S265-Simulation!T265-Simulation!U265</f>
        <v>723.61844554280981</v>
      </c>
      <c r="W265" s="27">
        <f>Simulation!V265/Simulation!Y265</f>
        <v>1.2449648585873674</v>
      </c>
      <c r="X265" s="27">
        <f>60*Simulation!Q265/(2*'Specification &amp; Data'!B$15*PI())</f>
        <v>510.47149810013718</v>
      </c>
      <c r="Y265" s="27">
        <f>IF(L265=1,'Specification &amp; Data'!B$56,IF(L265=2,'Specification &amp; Data'!B$57,IF(L265=3,'Specification &amp; Data'!B$58)))</f>
        <v>581.23604096253996</v>
      </c>
      <c r="Z265" s="38">
        <f>Simulation!Y265*Simulation!Q265^2/(2*1000)</f>
        <v>53.578457521658208</v>
      </c>
    </row>
    <row r="266" spans="7:26">
      <c r="G266" s="44">
        <v>6400</v>
      </c>
      <c r="H266" s="44">
        <v>17.8</v>
      </c>
      <c r="I266" s="38">
        <f>Simulation!H266*746/1000</f>
        <v>13.2788</v>
      </c>
      <c r="J266" s="38">
        <f>60*1000*Simulation!I266/(2*PI()*Simulation!G266)</f>
        <v>19.812999921831185</v>
      </c>
      <c r="K266" s="37">
        <v>504.5</v>
      </c>
      <c r="L266" s="27">
        <f>IF(Q266&lt;='Specification &amp; Data'!I$7,1,IF(AND(Q266&gt;'Specification &amp; Data'!I$7,Q266&lt;='Specification &amp; Data'!I$8),2,IF(Q266&gt;'Specification &amp; Data'!I$8,3)))</f>
        <v>3</v>
      </c>
      <c r="M266" s="35">
        <v>3</v>
      </c>
      <c r="N266" s="33">
        <f t="shared" si="4"/>
        <v>261</v>
      </c>
      <c r="O266" s="27">
        <f>O265+(1/Simulation!Q266)</f>
        <v>41.534189197990436</v>
      </c>
      <c r="P266" s="38">
        <f>Simulation!Q266*3.6</f>
        <v>48.880578132934232</v>
      </c>
      <c r="Q266" s="38">
        <f>MIN('Specification &amp; Data'!I$9,SQRT(2*Simulation!R265+Simulation!Q265^2))</f>
        <v>13.577938370259508</v>
      </c>
      <c r="R266" s="38">
        <f>IF(Q266=Q265,0,IF(Q266&lt;&gt;Q265,Simulation!V266/Simulation!Y266))</f>
        <v>0</v>
      </c>
      <c r="S266" s="27">
        <f>'Specification &amp; Data'!B$11*'Specification &amp; Data'!B$21*'Specification &amp; Data'!B$23*(Simulation!Q266-'Specification &amp; Data'!B$22)^2/2</f>
        <v>60.54080077002466</v>
      </c>
      <c r="T266" s="27">
        <f>IF(AND(M266=1,L266=1),'Specification &amp; Data'!E$14,IF(AND(M266=1,L266=2),'Specification &amp; Data'!E$15,IF(AND(M266=1,L266=3),'Specification &amp; Data'!E$16,IF(AND(M266=2,L266=1),'Specification &amp; Data'!F$14,IF(AND(M266=2,L266=2),'Specification &amp; Data'!F$15,IF(AND(M266=2,L266=3),'Specification &amp; Data'!F$16,IF(AND(M266=3,L266=1),'Specification &amp; Data'!I$14,IF(AND(M266=3,L266=2),'Specification &amp; Data'!I$15,IF(AND(M266=3,L266=3),'Specification &amp; Data'!I$16)))))))))</f>
        <v>102.35950200000001</v>
      </c>
      <c r="U266" s="27">
        <f>IF(AND(M266=1,L266=1),'Specification &amp; Data'!E$24,IF(AND(M266=1,L266=2),'Specification &amp; Data'!E$25,IF(AND(M266=1,L266=3),'Specification &amp; Data'!E$26,IF(M266=2,0,IF(AND(M266=3,L266=1),'Specification &amp; Data'!I$24,IF(AND(M266=3,L266=2),'Specification &amp; Data'!I$25,IF(AND(M266=3,L266=3),'Specification &amp; Data'!I$26)))))))</f>
        <v>-178.61733099000003</v>
      </c>
      <c r="V266" s="27">
        <f>'Specification &amp; Data'!B$46-Simulation!S266-Simulation!T266-Simulation!U266</f>
        <v>723.61844554280981</v>
      </c>
      <c r="W266" s="27">
        <f>Simulation!V266/Simulation!Y266</f>
        <v>1.2449648585873674</v>
      </c>
      <c r="X266" s="27">
        <f>60*Simulation!Q266/(2*'Specification &amp; Data'!B$15*PI())</f>
        <v>510.47149810013718</v>
      </c>
      <c r="Y266" s="27">
        <f>IF(L266=1,'Specification &amp; Data'!B$56,IF(L266=2,'Specification &amp; Data'!B$57,IF(L266=3,'Specification &amp; Data'!B$58)))</f>
        <v>581.23604096253996</v>
      </c>
      <c r="Z266" s="38">
        <f>Simulation!Y266*Simulation!Q266^2/(2*1000)</f>
        <v>53.578457521658208</v>
      </c>
    </row>
    <row r="267" spans="7:26">
      <c r="G267" s="44">
        <v>6400</v>
      </c>
      <c r="H267" s="44">
        <v>17.8</v>
      </c>
      <c r="I267" s="38">
        <f>Simulation!H267*746/1000</f>
        <v>13.2788</v>
      </c>
      <c r="J267" s="38">
        <f>60*1000*Simulation!I267/(2*PI()*Simulation!G267)</f>
        <v>19.812999921831185</v>
      </c>
      <c r="K267" s="37">
        <v>504.5</v>
      </c>
      <c r="L267" s="27">
        <f>IF(Q267&lt;='Specification &amp; Data'!I$7,1,IF(AND(Q267&gt;'Specification &amp; Data'!I$7,Q267&lt;='Specification &amp; Data'!I$8),2,IF(Q267&gt;'Specification &amp; Data'!I$8,3)))</f>
        <v>3</v>
      </c>
      <c r="M267" s="35">
        <v>3</v>
      </c>
      <c r="N267" s="33">
        <f t="shared" si="4"/>
        <v>262</v>
      </c>
      <c r="O267" s="27">
        <f>O266+(1/Simulation!Q267)</f>
        <v>41.607838081401951</v>
      </c>
      <c r="P267" s="38">
        <f>Simulation!Q267*3.6</f>
        <v>48.880578132934232</v>
      </c>
      <c r="Q267" s="38">
        <f>MIN('Specification &amp; Data'!I$9,SQRT(2*Simulation!R266+Simulation!Q266^2))</f>
        <v>13.577938370259508</v>
      </c>
      <c r="R267" s="38">
        <f>IF(Q267=Q266,0,IF(Q267&lt;&gt;Q266,Simulation!V267/Simulation!Y267))</f>
        <v>0</v>
      </c>
      <c r="S267" s="27">
        <f>'Specification &amp; Data'!B$11*'Specification &amp; Data'!B$21*'Specification &amp; Data'!B$23*(Simulation!Q267-'Specification &amp; Data'!B$22)^2/2</f>
        <v>60.54080077002466</v>
      </c>
      <c r="T267" s="27">
        <f>IF(AND(M267=1,L267=1),'Specification &amp; Data'!E$14,IF(AND(M267=1,L267=2),'Specification &amp; Data'!E$15,IF(AND(M267=1,L267=3),'Specification &amp; Data'!E$16,IF(AND(M267=2,L267=1),'Specification &amp; Data'!F$14,IF(AND(M267=2,L267=2),'Specification &amp; Data'!F$15,IF(AND(M267=2,L267=3),'Specification &amp; Data'!F$16,IF(AND(M267=3,L267=1),'Specification &amp; Data'!I$14,IF(AND(M267=3,L267=2),'Specification &amp; Data'!I$15,IF(AND(M267=3,L267=3),'Specification &amp; Data'!I$16)))))))))</f>
        <v>102.35950200000001</v>
      </c>
      <c r="U267" s="27">
        <f>IF(AND(M267=1,L267=1),'Specification &amp; Data'!E$24,IF(AND(M267=1,L267=2),'Specification &amp; Data'!E$25,IF(AND(M267=1,L267=3),'Specification &amp; Data'!E$26,IF(M267=2,0,IF(AND(M267=3,L267=1),'Specification &amp; Data'!I$24,IF(AND(M267=3,L267=2),'Specification &amp; Data'!I$25,IF(AND(M267=3,L267=3),'Specification &amp; Data'!I$26)))))))</f>
        <v>-178.61733099000003</v>
      </c>
      <c r="V267" s="27">
        <f>'Specification &amp; Data'!B$46-Simulation!S267-Simulation!T267-Simulation!U267</f>
        <v>723.61844554280981</v>
      </c>
      <c r="W267" s="27">
        <f>Simulation!V267/Simulation!Y267</f>
        <v>1.2449648585873674</v>
      </c>
      <c r="X267" s="27">
        <f>60*Simulation!Q267/(2*'Specification &amp; Data'!B$15*PI())</f>
        <v>510.47149810013718</v>
      </c>
      <c r="Y267" s="27">
        <f>IF(L267=1,'Specification &amp; Data'!B$56,IF(L267=2,'Specification &amp; Data'!B$57,IF(L267=3,'Specification &amp; Data'!B$58)))</f>
        <v>581.23604096253996</v>
      </c>
      <c r="Z267" s="38">
        <f>Simulation!Y267*Simulation!Q267^2/(2*1000)</f>
        <v>53.578457521658208</v>
      </c>
    </row>
    <row r="268" spans="7:26">
      <c r="G268" s="44">
        <v>6400</v>
      </c>
      <c r="H268" s="44">
        <v>17.8</v>
      </c>
      <c r="I268" s="38">
        <f>Simulation!H268*746/1000</f>
        <v>13.2788</v>
      </c>
      <c r="J268" s="38">
        <f>60*1000*Simulation!I268/(2*PI()*Simulation!G268)</f>
        <v>19.812999921831185</v>
      </c>
      <c r="K268" s="37">
        <v>504.5</v>
      </c>
      <c r="L268" s="27">
        <f>IF(Q268&lt;='Specification &amp; Data'!I$7,1,IF(AND(Q268&gt;'Specification &amp; Data'!I$7,Q268&lt;='Specification &amp; Data'!I$8),2,IF(Q268&gt;'Specification &amp; Data'!I$8,3)))</f>
        <v>3</v>
      </c>
      <c r="M268" s="35">
        <v>3</v>
      </c>
      <c r="N268" s="33">
        <f t="shared" si="4"/>
        <v>263</v>
      </c>
      <c r="O268" s="27">
        <f>O267+(1/Simulation!Q268)</f>
        <v>41.681486964813466</v>
      </c>
      <c r="P268" s="38">
        <f>Simulation!Q268*3.6</f>
        <v>48.880578132934232</v>
      </c>
      <c r="Q268" s="38">
        <f>MIN('Specification &amp; Data'!I$9,SQRT(2*Simulation!R267+Simulation!Q267^2))</f>
        <v>13.577938370259508</v>
      </c>
      <c r="R268" s="38">
        <f>IF(Q268=Q267,0,IF(Q268&lt;&gt;Q267,Simulation!V268/Simulation!Y268))</f>
        <v>0</v>
      </c>
      <c r="S268" s="27">
        <f>'Specification &amp; Data'!B$11*'Specification &amp; Data'!B$21*'Specification &amp; Data'!B$23*(Simulation!Q268-'Specification &amp; Data'!B$22)^2/2</f>
        <v>60.54080077002466</v>
      </c>
      <c r="T268" s="27">
        <f>IF(AND(M268=1,L268=1),'Specification &amp; Data'!E$14,IF(AND(M268=1,L268=2),'Specification &amp; Data'!E$15,IF(AND(M268=1,L268=3),'Specification &amp; Data'!E$16,IF(AND(M268=2,L268=1),'Specification &amp; Data'!F$14,IF(AND(M268=2,L268=2),'Specification &amp; Data'!F$15,IF(AND(M268=2,L268=3),'Specification &amp; Data'!F$16,IF(AND(M268=3,L268=1),'Specification &amp; Data'!I$14,IF(AND(M268=3,L268=2),'Specification &amp; Data'!I$15,IF(AND(M268=3,L268=3),'Specification &amp; Data'!I$16)))))))))</f>
        <v>102.35950200000001</v>
      </c>
      <c r="U268" s="27">
        <f>IF(AND(M268=1,L268=1),'Specification &amp; Data'!E$24,IF(AND(M268=1,L268=2),'Specification &amp; Data'!E$25,IF(AND(M268=1,L268=3),'Specification &amp; Data'!E$26,IF(M268=2,0,IF(AND(M268=3,L268=1),'Specification &amp; Data'!I$24,IF(AND(M268=3,L268=2),'Specification &amp; Data'!I$25,IF(AND(M268=3,L268=3),'Specification &amp; Data'!I$26)))))))</f>
        <v>-178.61733099000003</v>
      </c>
      <c r="V268" s="27">
        <f>'Specification &amp; Data'!B$46-Simulation!S268-Simulation!T268-Simulation!U268</f>
        <v>723.61844554280981</v>
      </c>
      <c r="W268" s="27">
        <f>Simulation!V268/Simulation!Y268</f>
        <v>1.2449648585873674</v>
      </c>
      <c r="X268" s="27">
        <f>60*Simulation!Q268/(2*'Specification &amp; Data'!B$15*PI())</f>
        <v>510.47149810013718</v>
      </c>
      <c r="Y268" s="27">
        <f>IF(L268=1,'Specification &amp; Data'!B$56,IF(L268=2,'Specification &amp; Data'!B$57,IF(L268=3,'Specification &amp; Data'!B$58)))</f>
        <v>581.23604096253996</v>
      </c>
      <c r="Z268" s="38">
        <f>Simulation!Y268*Simulation!Q268^2/(2*1000)</f>
        <v>53.578457521658208</v>
      </c>
    </row>
    <row r="269" spans="7:26">
      <c r="G269" s="44">
        <v>6400</v>
      </c>
      <c r="H269" s="44">
        <v>17.8</v>
      </c>
      <c r="I269" s="38">
        <f>Simulation!H269*746/1000</f>
        <v>13.2788</v>
      </c>
      <c r="J269" s="38">
        <f>60*1000*Simulation!I269/(2*PI()*Simulation!G269)</f>
        <v>19.812999921831185</v>
      </c>
      <c r="K269" s="37">
        <v>504.5</v>
      </c>
      <c r="L269" s="27">
        <f>IF(Q269&lt;='Specification &amp; Data'!I$7,1,IF(AND(Q269&gt;'Specification &amp; Data'!I$7,Q269&lt;='Specification &amp; Data'!I$8),2,IF(Q269&gt;'Specification &amp; Data'!I$8,3)))</f>
        <v>3</v>
      </c>
      <c r="M269" s="35">
        <v>3</v>
      </c>
      <c r="N269" s="33">
        <f t="shared" si="4"/>
        <v>264</v>
      </c>
      <c r="O269" s="27">
        <f>O268+(1/Simulation!Q269)</f>
        <v>41.755135848224981</v>
      </c>
      <c r="P269" s="38">
        <f>Simulation!Q269*3.6</f>
        <v>48.880578132934232</v>
      </c>
      <c r="Q269" s="38">
        <f>MIN('Specification &amp; Data'!I$9,SQRT(2*Simulation!R268+Simulation!Q268^2))</f>
        <v>13.577938370259508</v>
      </c>
      <c r="R269" s="38">
        <f>IF(Q269=Q268,0,IF(Q269&lt;&gt;Q268,Simulation!V269/Simulation!Y269))</f>
        <v>0</v>
      </c>
      <c r="S269" s="27">
        <f>'Specification &amp; Data'!B$11*'Specification &amp; Data'!B$21*'Specification &amp; Data'!B$23*(Simulation!Q269-'Specification &amp; Data'!B$22)^2/2</f>
        <v>60.54080077002466</v>
      </c>
      <c r="T269" s="27">
        <f>IF(AND(M269=1,L269=1),'Specification &amp; Data'!E$14,IF(AND(M269=1,L269=2),'Specification &amp; Data'!E$15,IF(AND(M269=1,L269=3),'Specification &amp; Data'!E$16,IF(AND(M269=2,L269=1),'Specification &amp; Data'!F$14,IF(AND(M269=2,L269=2),'Specification &amp; Data'!F$15,IF(AND(M269=2,L269=3),'Specification &amp; Data'!F$16,IF(AND(M269=3,L269=1),'Specification &amp; Data'!I$14,IF(AND(M269=3,L269=2),'Specification &amp; Data'!I$15,IF(AND(M269=3,L269=3),'Specification &amp; Data'!I$16)))))))))</f>
        <v>102.35950200000001</v>
      </c>
      <c r="U269" s="27">
        <f>IF(AND(M269=1,L269=1),'Specification &amp; Data'!E$24,IF(AND(M269=1,L269=2),'Specification &amp; Data'!E$25,IF(AND(M269=1,L269=3),'Specification &amp; Data'!E$26,IF(M269=2,0,IF(AND(M269=3,L269=1),'Specification &amp; Data'!I$24,IF(AND(M269=3,L269=2),'Specification &amp; Data'!I$25,IF(AND(M269=3,L269=3),'Specification &amp; Data'!I$26)))))))</f>
        <v>-178.61733099000003</v>
      </c>
      <c r="V269" s="27">
        <f>'Specification &amp; Data'!B$46-Simulation!S269-Simulation!T269-Simulation!U269</f>
        <v>723.61844554280981</v>
      </c>
      <c r="W269" s="27">
        <f>Simulation!V269/Simulation!Y269</f>
        <v>1.2449648585873674</v>
      </c>
      <c r="X269" s="27">
        <f>60*Simulation!Q269/(2*'Specification &amp; Data'!B$15*PI())</f>
        <v>510.47149810013718</v>
      </c>
      <c r="Y269" s="27">
        <f>IF(L269=1,'Specification &amp; Data'!B$56,IF(L269=2,'Specification &amp; Data'!B$57,IF(L269=3,'Specification &amp; Data'!B$58)))</f>
        <v>581.23604096253996</v>
      </c>
      <c r="Z269" s="38">
        <f>Simulation!Y269*Simulation!Q269^2/(2*1000)</f>
        <v>53.578457521658208</v>
      </c>
    </row>
    <row r="270" spans="7:26">
      <c r="G270" s="44">
        <v>6300</v>
      </c>
      <c r="H270" s="44">
        <v>17.5</v>
      </c>
      <c r="I270" s="38">
        <f>Simulation!H270*746/1000</f>
        <v>13.055</v>
      </c>
      <c r="J270" s="38">
        <f>60*1000*Simulation!I270/(2*PI()*Simulation!G270)</f>
        <v>19.788264591092322</v>
      </c>
      <c r="K270" s="37">
        <v>504.5</v>
      </c>
      <c r="L270" s="27">
        <f>IF(Q270&lt;='Specification &amp; Data'!I$7,1,IF(AND(Q270&gt;'Specification &amp; Data'!I$7,Q270&lt;='Specification &amp; Data'!I$8),2,IF(Q270&gt;'Specification &amp; Data'!I$8,3)))</f>
        <v>3</v>
      </c>
      <c r="M270" s="35">
        <v>3</v>
      </c>
      <c r="N270" s="33">
        <f t="shared" si="4"/>
        <v>265</v>
      </c>
      <c r="O270" s="27">
        <f>O269+(1/Simulation!Q270)</f>
        <v>41.828784731636496</v>
      </c>
      <c r="P270" s="38">
        <f>Simulation!Q270*3.6</f>
        <v>48.880578132934232</v>
      </c>
      <c r="Q270" s="38">
        <f>MIN('Specification &amp; Data'!I$9,SQRT(2*Simulation!R269+Simulation!Q269^2))</f>
        <v>13.577938370259508</v>
      </c>
      <c r="R270" s="38">
        <f>IF(Q270=Q269,0,IF(Q270&lt;&gt;Q269,Simulation!V270/Simulation!Y270))</f>
        <v>0</v>
      </c>
      <c r="S270" s="27">
        <f>'Specification &amp; Data'!B$11*'Specification &amp; Data'!B$21*'Specification &amp; Data'!B$23*(Simulation!Q270-'Specification &amp; Data'!B$22)^2/2</f>
        <v>60.54080077002466</v>
      </c>
      <c r="T270" s="27">
        <f>IF(AND(M270=1,L270=1),'Specification &amp; Data'!E$14,IF(AND(M270=1,L270=2),'Specification &amp; Data'!E$15,IF(AND(M270=1,L270=3),'Specification &amp; Data'!E$16,IF(AND(M270=2,L270=1),'Specification &amp; Data'!F$14,IF(AND(M270=2,L270=2),'Specification &amp; Data'!F$15,IF(AND(M270=2,L270=3),'Specification &amp; Data'!F$16,IF(AND(M270=3,L270=1),'Specification &amp; Data'!I$14,IF(AND(M270=3,L270=2),'Specification &amp; Data'!I$15,IF(AND(M270=3,L270=3),'Specification &amp; Data'!I$16)))))))))</f>
        <v>102.35950200000001</v>
      </c>
      <c r="U270" s="27">
        <f>IF(AND(M270=1,L270=1),'Specification &amp; Data'!E$24,IF(AND(M270=1,L270=2),'Specification &amp; Data'!E$25,IF(AND(M270=1,L270=3),'Specification &amp; Data'!E$26,IF(M270=2,0,IF(AND(M270=3,L270=1),'Specification &amp; Data'!I$24,IF(AND(M270=3,L270=2),'Specification &amp; Data'!I$25,IF(AND(M270=3,L270=3),'Specification &amp; Data'!I$26)))))))</f>
        <v>-178.61733099000003</v>
      </c>
      <c r="V270" s="27">
        <f>'Specification &amp; Data'!B$46-Simulation!S270-Simulation!T270-Simulation!U270</f>
        <v>723.61844554280981</v>
      </c>
      <c r="W270" s="27">
        <f>Simulation!V270/Simulation!Y270</f>
        <v>1.2449648585873674</v>
      </c>
      <c r="X270" s="27">
        <f>60*Simulation!Q270/(2*'Specification &amp; Data'!B$15*PI())</f>
        <v>510.47149810013718</v>
      </c>
      <c r="Y270" s="27">
        <f>IF(L270=1,'Specification &amp; Data'!B$56,IF(L270=2,'Specification &amp; Data'!B$57,IF(L270=3,'Specification &amp; Data'!B$58)))</f>
        <v>581.23604096253996</v>
      </c>
      <c r="Z270" s="38">
        <f>Simulation!Y270*Simulation!Q270^2/(2*1000)</f>
        <v>53.578457521658208</v>
      </c>
    </row>
    <row r="271" spans="7:26">
      <c r="G271" s="44">
        <v>6200</v>
      </c>
      <c r="H271" s="44">
        <v>17.440000000000001</v>
      </c>
      <c r="I271" s="38">
        <f>Simulation!H271*746/1000</f>
        <v>13.010240000000001</v>
      </c>
      <c r="J271" s="38">
        <f>60*1000*Simulation!I271/(2*PI()*Simulation!G271)</f>
        <v>20.038490388502264</v>
      </c>
      <c r="K271" s="37">
        <v>504.5</v>
      </c>
      <c r="L271" s="27">
        <f>IF(Q271&lt;='Specification &amp; Data'!I$7,1,IF(AND(Q271&gt;'Specification &amp; Data'!I$7,Q271&lt;='Specification &amp; Data'!I$8),2,IF(Q271&gt;'Specification &amp; Data'!I$8,3)))</f>
        <v>3</v>
      </c>
      <c r="M271" s="35">
        <v>3</v>
      </c>
      <c r="N271" s="33">
        <f t="shared" si="4"/>
        <v>266</v>
      </c>
      <c r="O271" s="27">
        <f>O270+(1/Simulation!Q271)</f>
        <v>41.902433615048011</v>
      </c>
      <c r="P271" s="38">
        <f>Simulation!Q271*3.6</f>
        <v>48.880578132934232</v>
      </c>
      <c r="Q271" s="38">
        <f>MIN('Specification &amp; Data'!I$9,SQRT(2*Simulation!R270+Simulation!Q270^2))</f>
        <v>13.577938370259508</v>
      </c>
      <c r="R271" s="38">
        <f>IF(Q271=Q270,0,IF(Q271&lt;&gt;Q270,Simulation!V271/Simulation!Y271))</f>
        <v>0</v>
      </c>
      <c r="S271" s="27">
        <f>'Specification &amp; Data'!B$11*'Specification &amp; Data'!B$21*'Specification &amp; Data'!B$23*(Simulation!Q271-'Specification &amp; Data'!B$22)^2/2</f>
        <v>60.54080077002466</v>
      </c>
      <c r="T271" s="27">
        <f>IF(AND(M271=1,L271=1),'Specification &amp; Data'!E$14,IF(AND(M271=1,L271=2),'Specification &amp; Data'!E$15,IF(AND(M271=1,L271=3),'Specification &amp; Data'!E$16,IF(AND(M271=2,L271=1),'Specification &amp; Data'!F$14,IF(AND(M271=2,L271=2),'Specification &amp; Data'!F$15,IF(AND(M271=2,L271=3),'Specification &amp; Data'!F$16,IF(AND(M271=3,L271=1),'Specification &amp; Data'!I$14,IF(AND(M271=3,L271=2),'Specification &amp; Data'!I$15,IF(AND(M271=3,L271=3),'Specification &amp; Data'!I$16)))))))))</f>
        <v>102.35950200000001</v>
      </c>
      <c r="U271" s="27">
        <f>IF(AND(M271=1,L271=1),'Specification &amp; Data'!E$24,IF(AND(M271=1,L271=2),'Specification &amp; Data'!E$25,IF(AND(M271=1,L271=3),'Specification &amp; Data'!E$26,IF(M271=2,0,IF(AND(M271=3,L271=1),'Specification &amp; Data'!I$24,IF(AND(M271=3,L271=2),'Specification &amp; Data'!I$25,IF(AND(M271=3,L271=3),'Specification &amp; Data'!I$26)))))))</f>
        <v>-178.61733099000003</v>
      </c>
      <c r="V271" s="27">
        <f>'Specification &amp; Data'!B$46-Simulation!S271-Simulation!T271-Simulation!U271</f>
        <v>723.61844554280981</v>
      </c>
      <c r="W271" s="27">
        <f>Simulation!V271/Simulation!Y271</f>
        <v>1.2449648585873674</v>
      </c>
      <c r="X271" s="27">
        <f>60*Simulation!Q271/(2*'Specification &amp; Data'!B$15*PI())</f>
        <v>510.47149810013718</v>
      </c>
      <c r="Y271" s="27">
        <f>IF(L271=1,'Specification &amp; Data'!B$56,IF(L271=2,'Specification &amp; Data'!B$57,IF(L271=3,'Specification &amp; Data'!B$58)))</f>
        <v>581.23604096253996</v>
      </c>
      <c r="Z271" s="38">
        <f>Simulation!Y271*Simulation!Q271^2/(2*1000)</f>
        <v>53.578457521658208</v>
      </c>
    </row>
    <row r="272" spans="7:26">
      <c r="G272" s="44">
        <v>6200</v>
      </c>
      <c r="H272" s="44">
        <v>17.440000000000001</v>
      </c>
      <c r="I272" s="38">
        <f>Simulation!H272*746/1000</f>
        <v>13.010240000000001</v>
      </c>
      <c r="J272" s="38">
        <f>60*1000*Simulation!I272/(2*PI()*Simulation!G272)</f>
        <v>20.038490388502264</v>
      </c>
      <c r="K272" s="37">
        <v>504.5</v>
      </c>
      <c r="L272" s="27">
        <f>IF(Q272&lt;='Specification &amp; Data'!I$7,1,IF(AND(Q272&gt;'Specification &amp; Data'!I$7,Q272&lt;='Specification &amp; Data'!I$8),2,IF(Q272&gt;'Specification &amp; Data'!I$8,3)))</f>
        <v>3</v>
      </c>
      <c r="M272" s="35">
        <v>3</v>
      </c>
      <c r="N272" s="33">
        <f t="shared" si="4"/>
        <v>267</v>
      </c>
      <c r="O272" s="27">
        <f>O271+(1/Simulation!Q272)</f>
        <v>41.976082498459526</v>
      </c>
      <c r="P272" s="38">
        <f>Simulation!Q272*3.6</f>
        <v>48.880578132934232</v>
      </c>
      <c r="Q272" s="38">
        <f>MIN('Specification &amp; Data'!I$9,SQRT(2*Simulation!R271+Simulation!Q271^2))</f>
        <v>13.577938370259508</v>
      </c>
      <c r="R272" s="38">
        <f>IF(Q272=Q271,0,IF(Q272&lt;&gt;Q271,Simulation!V272/Simulation!Y272))</f>
        <v>0</v>
      </c>
      <c r="S272" s="27">
        <f>'Specification &amp; Data'!B$11*'Specification &amp; Data'!B$21*'Specification &amp; Data'!B$23*(Simulation!Q272-'Specification &amp; Data'!B$22)^2/2</f>
        <v>60.54080077002466</v>
      </c>
      <c r="T272" s="27">
        <f>IF(AND(M272=1,L272=1),'Specification &amp; Data'!E$14,IF(AND(M272=1,L272=2),'Specification &amp; Data'!E$15,IF(AND(M272=1,L272=3),'Specification &amp; Data'!E$16,IF(AND(M272=2,L272=1),'Specification &amp; Data'!F$14,IF(AND(M272=2,L272=2),'Specification &amp; Data'!F$15,IF(AND(M272=2,L272=3),'Specification &amp; Data'!F$16,IF(AND(M272=3,L272=1),'Specification &amp; Data'!I$14,IF(AND(M272=3,L272=2),'Specification &amp; Data'!I$15,IF(AND(M272=3,L272=3),'Specification &amp; Data'!I$16)))))))))</f>
        <v>102.35950200000001</v>
      </c>
      <c r="U272" s="27">
        <f>IF(AND(M272=1,L272=1),'Specification &amp; Data'!E$24,IF(AND(M272=1,L272=2),'Specification &amp; Data'!E$25,IF(AND(M272=1,L272=3),'Specification &amp; Data'!E$26,IF(M272=2,0,IF(AND(M272=3,L272=1),'Specification &amp; Data'!I$24,IF(AND(M272=3,L272=2),'Specification &amp; Data'!I$25,IF(AND(M272=3,L272=3),'Specification &amp; Data'!I$26)))))))</f>
        <v>-178.61733099000003</v>
      </c>
      <c r="V272" s="27">
        <f>'Specification &amp; Data'!B$46-Simulation!S272-Simulation!T272-Simulation!U272</f>
        <v>723.61844554280981</v>
      </c>
      <c r="W272" s="27">
        <f>Simulation!V272/Simulation!Y272</f>
        <v>1.2449648585873674</v>
      </c>
      <c r="X272" s="27">
        <f>60*Simulation!Q272/(2*'Specification &amp; Data'!B$15*PI())</f>
        <v>510.47149810013718</v>
      </c>
      <c r="Y272" s="27">
        <f>IF(L272=1,'Specification &amp; Data'!B$56,IF(L272=2,'Specification &amp; Data'!B$57,IF(L272=3,'Specification &amp; Data'!B$58)))</f>
        <v>581.23604096253996</v>
      </c>
      <c r="Z272" s="38">
        <f>Simulation!Y272*Simulation!Q272^2/(2*1000)</f>
        <v>53.578457521658208</v>
      </c>
    </row>
    <row r="273" spans="7:26">
      <c r="G273" s="44">
        <v>6100</v>
      </c>
      <c r="H273" s="44">
        <v>17.37</v>
      </c>
      <c r="I273" s="38">
        <f>Simulation!H273*746/1000</f>
        <v>12.958020000000001</v>
      </c>
      <c r="J273" s="38">
        <f>60*1000*Simulation!I273/(2*PI()*Simulation!G273)</f>
        <v>20.285241990330903</v>
      </c>
      <c r="K273" s="37">
        <v>504.5</v>
      </c>
      <c r="L273" s="27">
        <f>IF(Q273&lt;='Specification &amp; Data'!I$7,1,IF(AND(Q273&gt;'Specification &amp; Data'!I$7,Q273&lt;='Specification &amp; Data'!I$8),2,IF(Q273&gt;'Specification &amp; Data'!I$8,3)))</f>
        <v>3</v>
      </c>
      <c r="M273" s="35">
        <v>3</v>
      </c>
      <c r="N273" s="33">
        <f t="shared" si="4"/>
        <v>268</v>
      </c>
      <c r="O273" s="27">
        <f>O272+(1/Simulation!Q273)</f>
        <v>42.049731381871041</v>
      </c>
      <c r="P273" s="38">
        <f>Simulation!Q273*3.6</f>
        <v>48.880578132934232</v>
      </c>
      <c r="Q273" s="38">
        <f>MIN('Specification &amp; Data'!I$9,SQRT(2*Simulation!R272+Simulation!Q272^2))</f>
        <v>13.577938370259508</v>
      </c>
      <c r="R273" s="38">
        <f>IF(Q273=Q272,0,IF(Q273&lt;&gt;Q272,Simulation!V273/Simulation!Y273))</f>
        <v>0</v>
      </c>
      <c r="S273" s="27">
        <f>'Specification &amp; Data'!B$11*'Specification &amp; Data'!B$21*'Specification &amp; Data'!B$23*(Simulation!Q273-'Specification &amp; Data'!B$22)^2/2</f>
        <v>60.54080077002466</v>
      </c>
      <c r="T273" s="27">
        <f>IF(AND(M273=1,L273=1),'Specification &amp; Data'!E$14,IF(AND(M273=1,L273=2),'Specification &amp; Data'!E$15,IF(AND(M273=1,L273=3),'Specification &amp; Data'!E$16,IF(AND(M273=2,L273=1),'Specification &amp; Data'!F$14,IF(AND(M273=2,L273=2),'Specification &amp; Data'!F$15,IF(AND(M273=2,L273=3),'Specification &amp; Data'!F$16,IF(AND(M273=3,L273=1),'Specification &amp; Data'!I$14,IF(AND(M273=3,L273=2),'Specification &amp; Data'!I$15,IF(AND(M273=3,L273=3),'Specification &amp; Data'!I$16)))))))))</f>
        <v>102.35950200000001</v>
      </c>
      <c r="U273" s="27">
        <f>IF(AND(M273=1,L273=1),'Specification &amp; Data'!E$24,IF(AND(M273=1,L273=2),'Specification &amp; Data'!E$25,IF(AND(M273=1,L273=3),'Specification &amp; Data'!E$26,IF(M273=2,0,IF(AND(M273=3,L273=1),'Specification &amp; Data'!I$24,IF(AND(M273=3,L273=2),'Specification &amp; Data'!I$25,IF(AND(M273=3,L273=3),'Specification &amp; Data'!I$26)))))))</f>
        <v>-178.61733099000003</v>
      </c>
      <c r="V273" s="27">
        <f>'Specification &amp; Data'!B$46-Simulation!S273-Simulation!T273-Simulation!U273</f>
        <v>723.61844554280981</v>
      </c>
      <c r="W273" s="27">
        <f>Simulation!V273/Simulation!Y273</f>
        <v>1.2449648585873674</v>
      </c>
      <c r="X273" s="27">
        <f>60*Simulation!Q273/(2*'Specification &amp; Data'!B$15*PI())</f>
        <v>510.47149810013718</v>
      </c>
      <c r="Y273" s="27">
        <f>IF(L273=1,'Specification &amp; Data'!B$56,IF(L273=2,'Specification &amp; Data'!B$57,IF(L273=3,'Specification &amp; Data'!B$58)))</f>
        <v>581.23604096253996</v>
      </c>
      <c r="Z273" s="38">
        <f>Simulation!Y273*Simulation!Q273^2/(2*1000)</f>
        <v>53.578457521658208</v>
      </c>
    </row>
    <row r="274" spans="7:26">
      <c r="G274" s="44">
        <v>6100</v>
      </c>
      <c r="H274" s="44">
        <v>17.37</v>
      </c>
      <c r="I274" s="38">
        <f>Simulation!H274*746/1000</f>
        <v>12.958020000000001</v>
      </c>
      <c r="J274" s="38">
        <f>60*1000*Simulation!I274/(2*PI()*Simulation!G274)</f>
        <v>20.285241990330903</v>
      </c>
      <c r="K274" s="37">
        <v>504.5</v>
      </c>
      <c r="L274" s="27">
        <f>IF(Q274&lt;='Specification &amp; Data'!I$7,1,IF(AND(Q274&gt;'Specification &amp; Data'!I$7,Q274&lt;='Specification &amp; Data'!I$8),2,IF(Q274&gt;'Specification &amp; Data'!I$8,3)))</f>
        <v>3</v>
      </c>
      <c r="M274" s="35">
        <v>3</v>
      </c>
      <c r="N274" s="33">
        <f t="shared" si="4"/>
        <v>269</v>
      </c>
      <c r="O274" s="27">
        <f>O273+(1/Simulation!Q274)</f>
        <v>42.123380265282556</v>
      </c>
      <c r="P274" s="38">
        <f>Simulation!Q274*3.6</f>
        <v>48.880578132934232</v>
      </c>
      <c r="Q274" s="38">
        <f>MIN('Specification &amp; Data'!I$9,SQRT(2*Simulation!R273+Simulation!Q273^2))</f>
        <v>13.577938370259508</v>
      </c>
      <c r="R274" s="38">
        <f>IF(Q274=Q273,0,IF(Q274&lt;&gt;Q273,Simulation!V274/Simulation!Y274))</f>
        <v>0</v>
      </c>
      <c r="S274" s="27">
        <f>'Specification &amp; Data'!B$11*'Specification &amp; Data'!B$21*'Specification &amp; Data'!B$23*(Simulation!Q274-'Specification &amp; Data'!B$22)^2/2</f>
        <v>60.54080077002466</v>
      </c>
      <c r="T274" s="27">
        <f>IF(AND(M274=1,L274=1),'Specification &amp; Data'!E$14,IF(AND(M274=1,L274=2),'Specification &amp; Data'!E$15,IF(AND(M274=1,L274=3),'Specification &amp; Data'!E$16,IF(AND(M274=2,L274=1),'Specification &amp; Data'!F$14,IF(AND(M274=2,L274=2),'Specification &amp; Data'!F$15,IF(AND(M274=2,L274=3),'Specification &amp; Data'!F$16,IF(AND(M274=3,L274=1),'Specification &amp; Data'!I$14,IF(AND(M274=3,L274=2),'Specification &amp; Data'!I$15,IF(AND(M274=3,L274=3),'Specification &amp; Data'!I$16)))))))))</f>
        <v>102.35950200000001</v>
      </c>
      <c r="U274" s="27">
        <f>IF(AND(M274=1,L274=1),'Specification &amp; Data'!E$24,IF(AND(M274=1,L274=2),'Specification &amp; Data'!E$25,IF(AND(M274=1,L274=3),'Specification &amp; Data'!E$26,IF(M274=2,0,IF(AND(M274=3,L274=1),'Specification &amp; Data'!I$24,IF(AND(M274=3,L274=2),'Specification &amp; Data'!I$25,IF(AND(M274=3,L274=3),'Specification &amp; Data'!I$26)))))))</f>
        <v>-178.61733099000003</v>
      </c>
      <c r="V274" s="27">
        <f>'Specification &amp; Data'!B$46-Simulation!S274-Simulation!T274-Simulation!U274</f>
        <v>723.61844554280981</v>
      </c>
      <c r="W274" s="27">
        <f>Simulation!V274/Simulation!Y274</f>
        <v>1.2449648585873674</v>
      </c>
      <c r="X274" s="27">
        <f>60*Simulation!Q274/(2*'Specification &amp; Data'!B$15*PI())</f>
        <v>510.47149810013718</v>
      </c>
      <c r="Y274" s="27">
        <f>IF(L274=1,'Specification &amp; Data'!B$56,IF(L274=2,'Specification &amp; Data'!B$57,IF(L274=3,'Specification &amp; Data'!B$58)))</f>
        <v>581.23604096253996</v>
      </c>
      <c r="Z274" s="38">
        <f>Simulation!Y274*Simulation!Q274^2/(2*1000)</f>
        <v>53.578457521658208</v>
      </c>
    </row>
    <row r="275" spans="7:26">
      <c r="G275" s="44">
        <v>6000</v>
      </c>
      <c r="H275" s="44">
        <v>17.32</v>
      </c>
      <c r="I275" s="38">
        <f>Simulation!H275*746/1000</f>
        <v>12.920719999999999</v>
      </c>
      <c r="J275" s="38">
        <f>60*1000*Simulation!I275/(2*PI()*Simulation!G275)</f>
        <v>20.563964563063138</v>
      </c>
      <c r="K275" s="37">
        <v>504.5</v>
      </c>
      <c r="L275" s="27">
        <f>IF(Q275&lt;='Specification &amp; Data'!I$7,1,IF(AND(Q275&gt;'Specification &amp; Data'!I$7,Q275&lt;='Specification &amp; Data'!I$8),2,IF(Q275&gt;'Specification &amp; Data'!I$8,3)))</f>
        <v>3</v>
      </c>
      <c r="M275" s="35">
        <v>3</v>
      </c>
      <c r="N275" s="33">
        <f t="shared" si="4"/>
        <v>270</v>
      </c>
      <c r="O275" s="27">
        <f>O274+(1/Simulation!Q275)</f>
        <v>42.197029148694071</v>
      </c>
      <c r="P275" s="38">
        <f>Simulation!Q275*3.6</f>
        <v>48.880578132934232</v>
      </c>
      <c r="Q275" s="38">
        <f>MIN('Specification &amp; Data'!I$9,SQRT(2*Simulation!R274+Simulation!Q274^2))</f>
        <v>13.577938370259508</v>
      </c>
      <c r="R275" s="38">
        <f>IF(Q275=Q274,0,IF(Q275&lt;&gt;Q274,Simulation!V275/Simulation!Y275))</f>
        <v>0</v>
      </c>
      <c r="S275" s="27">
        <f>'Specification &amp; Data'!B$11*'Specification &amp; Data'!B$21*'Specification &amp; Data'!B$23*(Simulation!Q275-'Specification &amp; Data'!B$22)^2/2</f>
        <v>60.54080077002466</v>
      </c>
      <c r="T275" s="27">
        <f>IF(AND(M275=1,L275=1),'Specification &amp; Data'!E$14,IF(AND(M275=1,L275=2),'Specification &amp; Data'!E$15,IF(AND(M275=1,L275=3),'Specification &amp; Data'!E$16,IF(AND(M275=2,L275=1),'Specification &amp; Data'!F$14,IF(AND(M275=2,L275=2),'Specification &amp; Data'!F$15,IF(AND(M275=2,L275=3),'Specification &amp; Data'!F$16,IF(AND(M275=3,L275=1),'Specification &amp; Data'!I$14,IF(AND(M275=3,L275=2),'Specification &amp; Data'!I$15,IF(AND(M275=3,L275=3),'Specification &amp; Data'!I$16)))))))))</f>
        <v>102.35950200000001</v>
      </c>
      <c r="U275" s="27">
        <f>IF(AND(M275=1,L275=1),'Specification &amp; Data'!E$24,IF(AND(M275=1,L275=2),'Specification &amp; Data'!E$25,IF(AND(M275=1,L275=3),'Specification &amp; Data'!E$26,IF(M275=2,0,IF(AND(M275=3,L275=1),'Specification &amp; Data'!I$24,IF(AND(M275=3,L275=2),'Specification &amp; Data'!I$25,IF(AND(M275=3,L275=3),'Specification &amp; Data'!I$26)))))))</f>
        <v>-178.61733099000003</v>
      </c>
      <c r="V275" s="27">
        <f>'Specification &amp; Data'!B$46-Simulation!S275-Simulation!T275-Simulation!U275</f>
        <v>723.61844554280981</v>
      </c>
      <c r="W275" s="27">
        <f>Simulation!V275/Simulation!Y275</f>
        <v>1.2449648585873674</v>
      </c>
      <c r="X275" s="27">
        <f>60*Simulation!Q275/(2*'Specification &amp; Data'!B$15*PI())</f>
        <v>510.47149810013718</v>
      </c>
      <c r="Y275" s="27">
        <f>IF(L275=1,'Specification &amp; Data'!B$56,IF(L275=2,'Specification &amp; Data'!B$57,IF(L275=3,'Specification &amp; Data'!B$58)))</f>
        <v>581.23604096253996</v>
      </c>
      <c r="Z275" s="38">
        <f>Simulation!Y275*Simulation!Q275^2/(2*1000)</f>
        <v>53.578457521658208</v>
      </c>
    </row>
    <row r="276" spans="7:26">
      <c r="G276" s="44">
        <v>5900</v>
      </c>
      <c r="H276" s="44">
        <v>17.239999999999998</v>
      </c>
      <c r="I276" s="38">
        <f>Simulation!H276*746/1000</f>
        <v>12.861039999999999</v>
      </c>
      <c r="J276" s="38">
        <f>60*1000*Simulation!I276/(2*PI()*Simulation!G276)</f>
        <v>20.815912772568705</v>
      </c>
      <c r="K276" s="37">
        <v>535.1</v>
      </c>
      <c r="L276" s="27">
        <f>IF(Q276&lt;='Specification &amp; Data'!I$7,1,IF(AND(Q276&gt;'Specification &amp; Data'!I$7,Q276&lt;='Specification &amp; Data'!I$8),2,IF(Q276&gt;'Specification &amp; Data'!I$8,3)))</f>
        <v>3</v>
      </c>
      <c r="M276" s="35">
        <v>3</v>
      </c>
      <c r="N276" s="33">
        <f t="shared" si="4"/>
        <v>271</v>
      </c>
      <c r="O276" s="27">
        <f>O275+(1/Simulation!Q276)</f>
        <v>42.270678032105586</v>
      </c>
      <c r="P276" s="38">
        <f>Simulation!Q276*3.6</f>
        <v>48.880578132934232</v>
      </c>
      <c r="Q276" s="38">
        <f>MIN('Specification &amp; Data'!I$9,SQRT(2*Simulation!R275+Simulation!Q275^2))</f>
        <v>13.577938370259508</v>
      </c>
      <c r="R276" s="38">
        <f>IF(Q276=Q275,0,IF(Q276&lt;&gt;Q275,Simulation!V276/Simulation!Y276))</f>
        <v>0</v>
      </c>
      <c r="S276" s="27">
        <f>'Specification &amp; Data'!B$11*'Specification &amp; Data'!B$21*'Specification &amp; Data'!B$23*(Simulation!Q276-'Specification &amp; Data'!B$22)^2/2</f>
        <v>60.54080077002466</v>
      </c>
      <c r="T276" s="27">
        <f>IF(AND(M276=1,L276=1),'Specification &amp; Data'!E$14,IF(AND(M276=1,L276=2),'Specification &amp; Data'!E$15,IF(AND(M276=1,L276=3),'Specification &amp; Data'!E$16,IF(AND(M276=2,L276=1),'Specification &amp; Data'!F$14,IF(AND(M276=2,L276=2),'Specification &amp; Data'!F$15,IF(AND(M276=2,L276=3),'Specification &amp; Data'!F$16,IF(AND(M276=3,L276=1),'Specification &amp; Data'!I$14,IF(AND(M276=3,L276=2),'Specification &amp; Data'!I$15,IF(AND(M276=3,L276=3),'Specification &amp; Data'!I$16)))))))))</f>
        <v>102.35950200000001</v>
      </c>
      <c r="U276" s="27">
        <f>IF(AND(M276=1,L276=1),'Specification &amp; Data'!E$24,IF(AND(M276=1,L276=2),'Specification &amp; Data'!E$25,IF(AND(M276=1,L276=3),'Specification &amp; Data'!E$26,IF(M276=2,0,IF(AND(M276=3,L276=1),'Specification &amp; Data'!I$24,IF(AND(M276=3,L276=2),'Specification &amp; Data'!I$25,IF(AND(M276=3,L276=3),'Specification &amp; Data'!I$26)))))))</f>
        <v>-178.61733099000003</v>
      </c>
      <c r="V276" s="27">
        <f>'Specification &amp; Data'!B$46-Simulation!S276-Simulation!T276-Simulation!U276</f>
        <v>723.61844554280981</v>
      </c>
      <c r="W276" s="27">
        <f>Simulation!V276/Simulation!Y276</f>
        <v>1.2449648585873674</v>
      </c>
      <c r="X276" s="27">
        <f>60*Simulation!Q276/(2*'Specification &amp; Data'!B$15*PI())</f>
        <v>510.47149810013718</v>
      </c>
      <c r="Y276" s="27">
        <f>IF(L276=1,'Specification &amp; Data'!B$56,IF(L276=2,'Specification &amp; Data'!B$57,IF(L276=3,'Specification &amp; Data'!B$58)))</f>
        <v>581.23604096253996</v>
      </c>
      <c r="Z276" s="38">
        <f>Simulation!Y276*Simulation!Q276^2/(2*1000)</f>
        <v>53.578457521658208</v>
      </c>
    </row>
    <row r="277" spans="7:26">
      <c r="G277" s="44">
        <v>5800</v>
      </c>
      <c r="H277" s="44">
        <v>17.18</v>
      </c>
      <c r="I277" s="38">
        <f>Simulation!H277*746/1000</f>
        <v>12.816280000000001</v>
      </c>
      <c r="J277" s="38">
        <f>60*1000*Simulation!I277/(2*PI()*Simulation!G277)</f>
        <v>21.101113593618585</v>
      </c>
      <c r="K277" s="37">
        <v>535.1</v>
      </c>
      <c r="L277" s="27">
        <f>IF(Q277&lt;='Specification &amp; Data'!I$7,1,IF(AND(Q277&gt;'Specification &amp; Data'!I$7,Q277&lt;='Specification &amp; Data'!I$8),2,IF(Q277&gt;'Specification &amp; Data'!I$8,3)))</f>
        <v>3</v>
      </c>
      <c r="M277" s="35">
        <v>3</v>
      </c>
      <c r="N277" s="33">
        <f t="shared" si="4"/>
        <v>272</v>
      </c>
      <c r="O277" s="27">
        <f>O276+(1/Simulation!Q277)</f>
        <v>42.344326915517101</v>
      </c>
      <c r="P277" s="38">
        <f>Simulation!Q277*3.6</f>
        <v>48.880578132934232</v>
      </c>
      <c r="Q277" s="38">
        <f>MIN('Specification &amp; Data'!I$9,SQRT(2*Simulation!R276+Simulation!Q276^2))</f>
        <v>13.577938370259508</v>
      </c>
      <c r="R277" s="38">
        <f>IF(Q277=Q276,0,IF(Q277&lt;&gt;Q276,Simulation!V277/Simulation!Y277))</f>
        <v>0</v>
      </c>
      <c r="S277" s="27">
        <f>'Specification &amp; Data'!B$11*'Specification &amp; Data'!B$21*'Specification &amp; Data'!B$23*(Simulation!Q277-'Specification &amp; Data'!B$22)^2/2</f>
        <v>60.54080077002466</v>
      </c>
      <c r="T277" s="27">
        <f>IF(AND(M277=1,L277=1),'Specification &amp; Data'!E$14,IF(AND(M277=1,L277=2),'Specification &amp; Data'!E$15,IF(AND(M277=1,L277=3),'Specification &amp; Data'!E$16,IF(AND(M277=2,L277=1),'Specification &amp; Data'!F$14,IF(AND(M277=2,L277=2),'Specification &amp; Data'!F$15,IF(AND(M277=2,L277=3),'Specification &amp; Data'!F$16,IF(AND(M277=3,L277=1),'Specification &amp; Data'!I$14,IF(AND(M277=3,L277=2),'Specification &amp; Data'!I$15,IF(AND(M277=3,L277=3),'Specification &amp; Data'!I$16)))))))))</f>
        <v>102.35950200000001</v>
      </c>
      <c r="U277" s="27">
        <f>IF(AND(M277=1,L277=1),'Specification &amp; Data'!E$24,IF(AND(M277=1,L277=2),'Specification &amp; Data'!E$25,IF(AND(M277=1,L277=3),'Specification &amp; Data'!E$26,IF(M277=2,0,IF(AND(M277=3,L277=1),'Specification &amp; Data'!I$24,IF(AND(M277=3,L277=2),'Specification &amp; Data'!I$25,IF(AND(M277=3,L277=3),'Specification &amp; Data'!I$26)))))))</f>
        <v>-178.61733099000003</v>
      </c>
      <c r="V277" s="27">
        <f>'Specification &amp; Data'!B$46-Simulation!S277-Simulation!T277-Simulation!U277</f>
        <v>723.61844554280981</v>
      </c>
      <c r="W277" s="27">
        <f>Simulation!V277/Simulation!Y277</f>
        <v>1.2449648585873674</v>
      </c>
      <c r="X277" s="27">
        <f>60*Simulation!Q277/(2*'Specification &amp; Data'!B$15*PI())</f>
        <v>510.47149810013718</v>
      </c>
      <c r="Y277" s="27">
        <f>IF(L277=1,'Specification &amp; Data'!B$56,IF(L277=2,'Specification &amp; Data'!B$57,IF(L277=3,'Specification &amp; Data'!B$58)))</f>
        <v>581.23604096253996</v>
      </c>
      <c r="Z277" s="38">
        <f>Simulation!Y277*Simulation!Q277^2/(2*1000)</f>
        <v>53.578457521658208</v>
      </c>
    </row>
    <row r="278" spans="7:26">
      <c r="G278" s="44">
        <v>5800</v>
      </c>
      <c r="H278" s="44">
        <v>17.18</v>
      </c>
      <c r="I278" s="38">
        <f>Simulation!H278*746/1000</f>
        <v>12.816280000000001</v>
      </c>
      <c r="J278" s="38">
        <f>60*1000*Simulation!I278/(2*PI()*Simulation!G278)</f>
        <v>21.101113593618585</v>
      </c>
      <c r="K278" s="37">
        <v>535.1</v>
      </c>
      <c r="L278" s="27">
        <f>IF(Q278&lt;='Specification &amp; Data'!I$7,1,IF(AND(Q278&gt;'Specification &amp; Data'!I$7,Q278&lt;='Specification &amp; Data'!I$8),2,IF(Q278&gt;'Specification &amp; Data'!I$8,3)))</f>
        <v>3</v>
      </c>
      <c r="M278" s="35">
        <v>3</v>
      </c>
      <c r="N278" s="33">
        <f t="shared" si="4"/>
        <v>273</v>
      </c>
      <c r="O278" s="27">
        <f>O277+(1/Simulation!Q278)</f>
        <v>42.417975798928616</v>
      </c>
      <c r="P278" s="38">
        <f>Simulation!Q278*3.6</f>
        <v>48.880578132934232</v>
      </c>
      <c r="Q278" s="38">
        <f>MIN('Specification &amp; Data'!I$9,SQRT(2*Simulation!R277+Simulation!Q277^2))</f>
        <v>13.577938370259508</v>
      </c>
      <c r="R278" s="38">
        <f>IF(Q278=Q277,0,IF(Q278&lt;&gt;Q277,Simulation!V278/Simulation!Y278))</f>
        <v>0</v>
      </c>
      <c r="S278" s="27">
        <f>'Specification &amp; Data'!B$11*'Specification &amp; Data'!B$21*'Specification &amp; Data'!B$23*(Simulation!Q278-'Specification &amp; Data'!B$22)^2/2</f>
        <v>60.54080077002466</v>
      </c>
      <c r="T278" s="27">
        <f>IF(AND(M278=1,L278=1),'Specification &amp; Data'!E$14,IF(AND(M278=1,L278=2),'Specification &amp; Data'!E$15,IF(AND(M278=1,L278=3),'Specification &amp; Data'!E$16,IF(AND(M278=2,L278=1),'Specification &amp; Data'!F$14,IF(AND(M278=2,L278=2),'Specification &amp; Data'!F$15,IF(AND(M278=2,L278=3),'Specification &amp; Data'!F$16,IF(AND(M278=3,L278=1),'Specification &amp; Data'!I$14,IF(AND(M278=3,L278=2),'Specification &amp; Data'!I$15,IF(AND(M278=3,L278=3),'Specification &amp; Data'!I$16)))))))))</f>
        <v>102.35950200000001</v>
      </c>
      <c r="U278" s="27">
        <f>IF(AND(M278=1,L278=1),'Specification &amp; Data'!E$24,IF(AND(M278=1,L278=2),'Specification &amp; Data'!E$25,IF(AND(M278=1,L278=3),'Specification &amp; Data'!E$26,IF(M278=2,0,IF(AND(M278=3,L278=1),'Specification &amp; Data'!I$24,IF(AND(M278=3,L278=2),'Specification &amp; Data'!I$25,IF(AND(M278=3,L278=3),'Specification &amp; Data'!I$26)))))))</f>
        <v>-178.61733099000003</v>
      </c>
      <c r="V278" s="27">
        <f>'Specification &amp; Data'!B$46-Simulation!S278-Simulation!T278-Simulation!U278</f>
        <v>723.61844554280981</v>
      </c>
      <c r="W278" s="27">
        <f>Simulation!V278/Simulation!Y278</f>
        <v>1.2449648585873674</v>
      </c>
      <c r="X278" s="27">
        <f>60*Simulation!Q278/(2*'Specification &amp; Data'!B$15*PI())</f>
        <v>510.47149810013718</v>
      </c>
      <c r="Y278" s="27">
        <f>IF(L278=1,'Specification &amp; Data'!B$56,IF(L278=2,'Specification &amp; Data'!B$57,IF(L278=3,'Specification &amp; Data'!B$58)))</f>
        <v>581.23604096253996</v>
      </c>
      <c r="Z278" s="38">
        <f>Simulation!Y278*Simulation!Q278^2/(2*1000)</f>
        <v>53.578457521658208</v>
      </c>
    </row>
    <row r="279" spans="7:26">
      <c r="G279" s="44">
        <v>5800</v>
      </c>
      <c r="H279" s="44">
        <v>17.18</v>
      </c>
      <c r="I279" s="38">
        <f>Simulation!H279*746/1000</f>
        <v>12.816280000000001</v>
      </c>
      <c r="J279" s="38">
        <f>60*1000*Simulation!I279/(2*PI()*Simulation!G279)</f>
        <v>21.101113593618585</v>
      </c>
      <c r="K279" s="37">
        <v>535.1</v>
      </c>
      <c r="L279" s="27">
        <f>IF(Q279&lt;='Specification &amp; Data'!I$7,1,IF(AND(Q279&gt;'Specification &amp; Data'!I$7,Q279&lt;='Specification &amp; Data'!I$8),2,IF(Q279&gt;'Specification &amp; Data'!I$8,3)))</f>
        <v>3</v>
      </c>
      <c r="M279" s="35">
        <v>3</v>
      </c>
      <c r="N279" s="33">
        <f t="shared" si="4"/>
        <v>274</v>
      </c>
      <c r="O279" s="27">
        <f>O278+(1/Simulation!Q279)</f>
        <v>42.491624682340131</v>
      </c>
      <c r="P279" s="38">
        <f>Simulation!Q279*3.6</f>
        <v>48.880578132934232</v>
      </c>
      <c r="Q279" s="38">
        <f>MIN('Specification &amp; Data'!I$9,SQRT(2*Simulation!R278+Simulation!Q278^2))</f>
        <v>13.577938370259508</v>
      </c>
      <c r="R279" s="38">
        <f>IF(Q279=Q278,0,IF(Q279&lt;&gt;Q278,Simulation!V279/Simulation!Y279))</f>
        <v>0</v>
      </c>
      <c r="S279" s="27">
        <f>'Specification &amp; Data'!B$11*'Specification &amp; Data'!B$21*'Specification &amp; Data'!B$23*(Simulation!Q279-'Specification &amp; Data'!B$22)^2/2</f>
        <v>60.54080077002466</v>
      </c>
      <c r="T279" s="27">
        <f>IF(AND(M279=1,L279=1),'Specification &amp; Data'!E$14,IF(AND(M279=1,L279=2),'Specification &amp; Data'!E$15,IF(AND(M279=1,L279=3),'Specification &amp; Data'!E$16,IF(AND(M279=2,L279=1),'Specification &amp; Data'!F$14,IF(AND(M279=2,L279=2),'Specification &amp; Data'!F$15,IF(AND(M279=2,L279=3),'Specification &amp; Data'!F$16,IF(AND(M279=3,L279=1),'Specification &amp; Data'!I$14,IF(AND(M279=3,L279=2),'Specification &amp; Data'!I$15,IF(AND(M279=3,L279=3),'Specification &amp; Data'!I$16)))))))))</f>
        <v>102.35950200000001</v>
      </c>
      <c r="U279" s="27">
        <f>IF(AND(M279=1,L279=1),'Specification &amp; Data'!E$24,IF(AND(M279=1,L279=2),'Specification &amp; Data'!E$25,IF(AND(M279=1,L279=3),'Specification &amp; Data'!E$26,IF(M279=2,0,IF(AND(M279=3,L279=1),'Specification &amp; Data'!I$24,IF(AND(M279=3,L279=2),'Specification &amp; Data'!I$25,IF(AND(M279=3,L279=3),'Specification &amp; Data'!I$26)))))))</f>
        <v>-178.61733099000003</v>
      </c>
      <c r="V279" s="27">
        <f>'Specification &amp; Data'!B$46-Simulation!S279-Simulation!T279-Simulation!U279</f>
        <v>723.61844554280981</v>
      </c>
      <c r="W279" s="27">
        <f>Simulation!V279/Simulation!Y279</f>
        <v>1.2449648585873674</v>
      </c>
      <c r="X279" s="27">
        <f>60*Simulation!Q279/(2*'Specification &amp; Data'!B$15*PI())</f>
        <v>510.47149810013718</v>
      </c>
      <c r="Y279" s="27">
        <f>IF(L279=1,'Specification &amp; Data'!B$56,IF(L279=2,'Specification &amp; Data'!B$57,IF(L279=3,'Specification &amp; Data'!B$58)))</f>
        <v>581.23604096253996</v>
      </c>
      <c r="Z279" s="38">
        <f>Simulation!Y279*Simulation!Q279^2/(2*1000)</f>
        <v>53.578457521658208</v>
      </c>
    </row>
    <row r="280" spans="7:26">
      <c r="G280" s="44">
        <v>5600</v>
      </c>
      <c r="H280" s="44">
        <v>17.05</v>
      </c>
      <c r="I280" s="38">
        <f>Simulation!H280*746/1000</f>
        <v>12.7193</v>
      </c>
      <c r="J280" s="38">
        <f>60*1000*Simulation!I280/(2*PI()*Simulation!G280)</f>
        <v>21.689351439307977</v>
      </c>
      <c r="K280" s="37">
        <v>535.1</v>
      </c>
      <c r="L280" s="27">
        <f>IF(Q280&lt;='Specification &amp; Data'!I$7,1,IF(AND(Q280&gt;'Specification &amp; Data'!I$7,Q280&lt;='Specification &amp; Data'!I$8),2,IF(Q280&gt;'Specification &amp; Data'!I$8,3)))</f>
        <v>3</v>
      </c>
      <c r="M280" s="35">
        <v>3</v>
      </c>
      <c r="N280" s="33">
        <f t="shared" si="4"/>
        <v>275</v>
      </c>
      <c r="O280" s="27">
        <f>O279+(1/Simulation!Q280)</f>
        <v>42.565273565751646</v>
      </c>
      <c r="P280" s="38">
        <f>Simulation!Q280*3.6</f>
        <v>48.880578132934232</v>
      </c>
      <c r="Q280" s="38">
        <f>MIN('Specification &amp; Data'!I$9,SQRT(2*Simulation!R279+Simulation!Q279^2))</f>
        <v>13.577938370259508</v>
      </c>
      <c r="R280" s="38">
        <f>IF(Q280=Q279,0,IF(Q280&lt;&gt;Q279,Simulation!V280/Simulation!Y280))</f>
        <v>0</v>
      </c>
      <c r="S280" s="27">
        <f>'Specification &amp; Data'!B$11*'Specification &amp; Data'!B$21*'Specification &amp; Data'!B$23*(Simulation!Q280-'Specification &amp; Data'!B$22)^2/2</f>
        <v>60.54080077002466</v>
      </c>
      <c r="T280" s="27">
        <f>IF(AND(M280=1,L280=1),'Specification &amp; Data'!E$14,IF(AND(M280=1,L280=2),'Specification &amp; Data'!E$15,IF(AND(M280=1,L280=3),'Specification &amp; Data'!E$16,IF(AND(M280=2,L280=1),'Specification &amp; Data'!F$14,IF(AND(M280=2,L280=2),'Specification &amp; Data'!F$15,IF(AND(M280=2,L280=3),'Specification &amp; Data'!F$16,IF(AND(M280=3,L280=1),'Specification &amp; Data'!I$14,IF(AND(M280=3,L280=2),'Specification &amp; Data'!I$15,IF(AND(M280=3,L280=3),'Specification &amp; Data'!I$16)))))))))</f>
        <v>102.35950200000001</v>
      </c>
      <c r="U280" s="27">
        <f>IF(AND(M280=1,L280=1),'Specification &amp; Data'!E$24,IF(AND(M280=1,L280=2),'Specification &amp; Data'!E$25,IF(AND(M280=1,L280=3),'Specification &amp; Data'!E$26,IF(M280=2,0,IF(AND(M280=3,L280=1),'Specification &amp; Data'!I$24,IF(AND(M280=3,L280=2),'Specification &amp; Data'!I$25,IF(AND(M280=3,L280=3),'Specification &amp; Data'!I$26)))))))</f>
        <v>-178.61733099000003</v>
      </c>
      <c r="V280" s="27">
        <f>'Specification &amp; Data'!B$46-Simulation!S280-Simulation!T280-Simulation!U280</f>
        <v>723.61844554280981</v>
      </c>
      <c r="W280" s="27">
        <f>Simulation!V280/Simulation!Y280</f>
        <v>1.2449648585873674</v>
      </c>
      <c r="X280" s="27">
        <f>60*Simulation!Q280/(2*'Specification &amp; Data'!B$15*PI())</f>
        <v>510.47149810013718</v>
      </c>
      <c r="Y280" s="27">
        <f>IF(L280=1,'Specification &amp; Data'!B$56,IF(L280=2,'Specification &amp; Data'!B$57,IF(L280=3,'Specification &amp; Data'!B$58)))</f>
        <v>581.23604096253996</v>
      </c>
      <c r="Z280" s="38">
        <f>Simulation!Y280*Simulation!Q280^2/(2*1000)</f>
        <v>53.578457521658208</v>
      </c>
    </row>
    <row r="281" spans="7:26">
      <c r="G281" s="44">
        <v>5600</v>
      </c>
      <c r="H281" s="44">
        <v>17.05</v>
      </c>
      <c r="I281" s="38">
        <f>Simulation!H281*746/1000</f>
        <v>12.7193</v>
      </c>
      <c r="J281" s="38">
        <f>60*1000*Simulation!I281/(2*PI()*Simulation!G281)</f>
        <v>21.689351439307977</v>
      </c>
      <c r="K281" s="37">
        <v>535.1</v>
      </c>
      <c r="L281" s="27">
        <f>IF(Q281&lt;='Specification &amp; Data'!I$7,1,IF(AND(Q281&gt;'Specification &amp; Data'!I$7,Q281&lt;='Specification &amp; Data'!I$8),2,IF(Q281&gt;'Specification &amp; Data'!I$8,3)))</f>
        <v>3</v>
      </c>
      <c r="M281" s="35">
        <v>3</v>
      </c>
      <c r="N281" s="33">
        <f t="shared" si="4"/>
        <v>276</v>
      </c>
      <c r="O281" s="27">
        <f>O280+(1/Simulation!Q281)</f>
        <v>42.638922449163161</v>
      </c>
      <c r="P281" s="38">
        <f>Simulation!Q281*3.6</f>
        <v>48.880578132934232</v>
      </c>
      <c r="Q281" s="38">
        <f>MIN('Specification &amp; Data'!I$9,SQRT(2*Simulation!R280+Simulation!Q280^2))</f>
        <v>13.577938370259508</v>
      </c>
      <c r="R281" s="38">
        <f>IF(Q281=Q280,0,IF(Q281&lt;&gt;Q280,Simulation!V281/Simulation!Y281))</f>
        <v>0</v>
      </c>
      <c r="S281" s="27">
        <f>'Specification &amp; Data'!B$11*'Specification &amp; Data'!B$21*'Specification &amp; Data'!B$23*(Simulation!Q281-'Specification &amp; Data'!B$22)^2/2</f>
        <v>60.54080077002466</v>
      </c>
      <c r="T281" s="27">
        <f>IF(AND(M281=1,L281=1),'Specification &amp; Data'!E$14,IF(AND(M281=1,L281=2),'Specification &amp; Data'!E$15,IF(AND(M281=1,L281=3),'Specification &amp; Data'!E$16,IF(AND(M281=2,L281=1),'Specification &amp; Data'!F$14,IF(AND(M281=2,L281=2),'Specification &amp; Data'!F$15,IF(AND(M281=2,L281=3),'Specification &amp; Data'!F$16,IF(AND(M281=3,L281=1),'Specification &amp; Data'!I$14,IF(AND(M281=3,L281=2),'Specification &amp; Data'!I$15,IF(AND(M281=3,L281=3),'Specification &amp; Data'!I$16)))))))))</f>
        <v>102.35950200000001</v>
      </c>
      <c r="U281" s="27">
        <f>IF(AND(M281=1,L281=1),'Specification &amp; Data'!E$24,IF(AND(M281=1,L281=2),'Specification &amp; Data'!E$25,IF(AND(M281=1,L281=3),'Specification &amp; Data'!E$26,IF(M281=2,0,IF(AND(M281=3,L281=1),'Specification &amp; Data'!I$24,IF(AND(M281=3,L281=2),'Specification &amp; Data'!I$25,IF(AND(M281=3,L281=3),'Specification &amp; Data'!I$26)))))))</f>
        <v>-178.61733099000003</v>
      </c>
      <c r="V281" s="27">
        <f>'Specification &amp; Data'!B$46-Simulation!S281-Simulation!T281-Simulation!U281</f>
        <v>723.61844554280981</v>
      </c>
      <c r="W281" s="27">
        <f>Simulation!V281/Simulation!Y281</f>
        <v>1.2449648585873674</v>
      </c>
      <c r="X281" s="27">
        <f>60*Simulation!Q281/(2*'Specification &amp; Data'!B$15*PI())</f>
        <v>510.47149810013718</v>
      </c>
      <c r="Y281" s="27">
        <f>IF(L281=1,'Specification &amp; Data'!B$56,IF(L281=2,'Specification &amp; Data'!B$57,IF(L281=3,'Specification &amp; Data'!B$58)))</f>
        <v>581.23604096253996</v>
      </c>
      <c r="Z281" s="38">
        <f>Simulation!Y281*Simulation!Q281^2/(2*1000)</f>
        <v>53.578457521658208</v>
      </c>
    </row>
    <row r="282" spans="7:26">
      <c r="G282" s="44">
        <v>5700</v>
      </c>
      <c r="H282" s="44">
        <v>17.11</v>
      </c>
      <c r="I282" s="38">
        <f>Simulation!H282*746/1000</f>
        <v>12.764059999999999</v>
      </c>
      <c r="J282" s="38">
        <f>60*1000*Simulation!I282/(2*PI()*Simulation!G282)</f>
        <v>21.383823609700396</v>
      </c>
      <c r="K282" s="37">
        <v>450.79</v>
      </c>
      <c r="L282" s="27">
        <f>IF(Q282&lt;='Specification &amp; Data'!I$7,1,IF(AND(Q282&gt;'Specification &amp; Data'!I$7,Q282&lt;='Specification &amp; Data'!I$8),2,IF(Q282&gt;'Specification &amp; Data'!I$8,3)))</f>
        <v>3</v>
      </c>
      <c r="M282" s="35">
        <v>3</v>
      </c>
      <c r="N282" s="33">
        <f t="shared" si="4"/>
        <v>277</v>
      </c>
      <c r="O282" s="27">
        <f>O281+(1/Simulation!Q282)</f>
        <v>42.712571332574676</v>
      </c>
      <c r="P282" s="38">
        <f>Simulation!Q282*3.6</f>
        <v>48.880578132934232</v>
      </c>
      <c r="Q282" s="38">
        <f>MIN('Specification &amp; Data'!I$9,SQRT(2*Simulation!R281+Simulation!Q281^2))</f>
        <v>13.577938370259508</v>
      </c>
      <c r="R282" s="38">
        <f>IF(Q282=Q281,0,IF(Q282&lt;&gt;Q281,Simulation!V282/Simulation!Y282))</f>
        <v>0</v>
      </c>
      <c r="S282" s="27">
        <f>'Specification &amp; Data'!B$11*'Specification &amp; Data'!B$21*'Specification &amp; Data'!B$23*(Simulation!Q282-'Specification &amp; Data'!B$22)^2/2</f>
        <v>60.54080077002466</v>
      </c>
      <c r="T282" s="27">
        <f>IF(AND(M282=1,L282=1),'Specification &amp; Data'!E$14,IF(AND(M282=1,L282=2),'Specification &amp; Data'!E$15,IF(AND(M282=1,L282=3),'Specification &amp; Data'!E$16,IF(AND(M282=2,L282=1),'Specification &amp; Data'!F$14,IF(AND(M282=2,L282=2),'Specification &amp; Data'!F$15,IF(AND(M282=2,L282=3),'Specification &amp; Data'!F$16,IF(AND(M282=3,L282=1),'Specification &amp; Data'!I$14,IF(AND(M282=3,L282=2),'Specification &amp; Data'!I$15,IF(AND(M282=3,L282=3),'Specification &amp; Data'!I$16)))))))))</f>
        <v>102.35950200000001</v>
      </c>
      <c r="U282" s="27">
        <f>IF(AND(M282=1,L282=1),'Specification &amp; Data'!E$24,IF(AND(M282=1,L282=2),'Specification &amp; Data'!E$25,IF(AND(M282=1,L282=3),'Specification &amp; Data'!E$26,IF(M282=2,0,IF(AND(M282=3,L282=1),'Specification &amp; Data'!I$24,IF(AND(M282=3,L282=2),'Specification &amp; Data'!I$25,IF(AND(M282=3,L282=3),'Specification &amp; Data'!I$26)))))))</f>
        <v>-178.61733099000003</v>
      </c>
      <c r="V282" s="27">
        <f>'Specification &amp; Data'!B$46-Simulation!S282-Simulation!T282-Simulation!U282</f>
        <v>723.61844554280981</v>
      </c>
      <c r="W282" s="27">
        <f>Simulation!V282/Simulation!Y282</f>
        <v>1.2449648585873674</v>
      </c>
      <c r="X282" s="27">
        <f>60*Simulation!Q282/(2*'Specification &amp; Data'!B$15*PI())</f>
        <v>510.47149810013718</v>
      </c>
      <c r="Y282" s="27">
        <f>IF(L282=1,'Specification &amp; Data'!B$56,IF(L282=2,'Specification &amp; Data'!B$57,IF(L282=3,'Specification &amp; Data'!B$58)))</f>
        <v>581.23604096253996</v>
      </c>
      <c r="Z282" s="38">
        <f>Simulation!Y282*Simulation!Q282^2/(2*1000)</f>
        <v>53.578457521658208</v>
      </c>
    </row>
    <row r="283" spans="7:26">
      <c r="G283" s="44">
        <v>5700</v>
      </c>
      <c r="H283" s="44">
        <v>17.11</v>
      </c>
      <c r="I283" s="38">
        <f>Simulation!H283*746/1000</f>
        <v>12.764059999999999</v>
      </c>
      <c r="J283" s="38">
        <f>60*1000*Simulation!I283/(2*PI()*Simulation!G283)</f>
        <v>21.383823609700396</v>
      </c>
      <c r="K283" s="37">
        <v>450.79</v>
      </c>
      <c r="L283" s="27">
        <f>IF(Q283&lt;='Specification &amp; Data'!I$7,1,IF(AND(Q283&gt;'Specification &amp; Data'!I$7,Q283&lt;='Specification &amp; Data'!I$8),2,IF(Q283&gt;'Specification &amp; Data'!I$8,3)))</f>
        <v>3</v>
      </c>
      <c r="M283" s="35">
        <v>3</v>
      </c>
      <c r="N283" s="33">
        <f t="shared" si="4"/>
        <v>278</v>
      </c>
      <c r="O283" s="27">
        <f>O282+(1/Simulation!Q283)</f>
        <v>42.786220215986191</v>
      </c>
      <c r="P283" s="38">
        <f>Simulation!Q283*3.6</f>
        <v>48.880578132934232</v>
      </c>
      <c r="Q283" s="38">
        <f>MIN('Specification &amp; Data'!I$9,SQRT(2*Simulation!R282+Simulation!Q282^2))</f>
        <v>13.577938370259508</v>
      </c>
      <c r="R283" s="38">
        <f>IF(Q283=Q282,0,IF(Q283&lt;&gt;Q282,Simulation!V283/Simulation!Y283))</f>
        <v>0</v>
      </c>
      <c r="S283" s="27">
        <f>'Specification &amp; Data'!B$11*'Specification &amp; Data'!B$21*'Specification &amp; Data'!B$23*(Simulation!Q283-'Specification &amp; Data'!B$22)^2/2</f>
        <v>60.54080077002466</v>
      </c>
      <c r="T283" s="27">
        <f>IF(AND(M283=1,L283=1),'Specification &amp; Data'!E$14,IF(AND(M283=1,L283=2),'Specification &amp; Data'!E$15,IF(AND(M283=1,L283=3),'Specification &amp; Data'!E$16,IF(AND(M283=2,L283=1),'Specification &amp; Data'!F$14,IF(AND(M283=2,L283=2),'Specification &amp; Data'!F$15,IF(AND(M283=2,L283=3),'Specification &amp; Data'!F$16,IF(AND(M283=3,L283=1),'Specification &amp; Data'!I$14,IF(AND(M283=3,L283=2),'Specification &amp; Data'!I$15,IF(AND(M283=3,L283=3),'Specification &amp; Data'!I$16)))))))))</f>
        <v>102.35950200000001</v>
      </c>
      <c r="U283" s="27">
        <f>IF(AND(M283=1,L283=1),'Specification &amp; Data'!E$24,IF(AND(M283=1,L283=2),'Specification &amp; Data'!E$25,IF(AND(M283=1,L283=3),'Specification &amp; Data'!E$26,IF(M283=2,0,IF(AND(M283=3,L283=1),'Specification &amp; Data'!I$24,IF(AND(M283=3,L283=2),'Specification &amp; Data'!I$25,IF(AND(M283=3,L283=3),'Specification &amp; Data'!I$26)))))))</f>
        <v>-178.61733099000003</v>
      </c>
      <c r="V283" s="27">
        <f>'Specification &amp; Data'!B$46-Simulation!S283-Simulation!T283-Simulation!U283</f>
        <v>723.61844554280981</v>
      </c>
      <c r="W283" s="27">
        <f>Simulation!V283/Simulation!Y283</f>
        <v>1.2449648585873674</v>
      </c>
      <c r="X283" s="27">
        <f>60*Simulation!Q283/(2*'Specification &amp; Data'!B$15*PI())</f>
        <v>510.47149810013718</v>
      </c>
      <c r="Y283" s="27">
        <f>IF(L283=1,'Specification &amp; Data'!B$56,IF(L283=2,'Specification &amp; Data'!B$57,IF(L283=3,'Specification &amp; Data'!B$58)))</f>
        <v>581.23604096253996</v>
      </c>
      <c r="Z283" s="38">
        <f>Simulation!Y283*Simulation!Q283^2/(2*1000)</f>
        <v>53.578457521658208</v>
      </c>
    </row>
    <row r="284" spans="7:26">
      <c r="G284" s="44">
        <v>5800</v>
      </c>
      <c r="H284" s="44">
        <v>17.18</v>
      </c>
      <c r="I284" s="38">
        <f>Simulation!H284*746/1000</f>
        <v>12.816280000000001</v>
      </c>
      <c r="J284" s="38">
        <f>60*1000*Simulation!I284/(2*PI()*Simulation!G284)</f>
        <v>21.101113593618585</v>
      </c>
      <c r="K284" s="37">
        <v>450.79</v>
      </c>
      <c r="L284" s="27">
        <f>IF(Q284&lt;='Specification &amp; Data'!I$7,1,IF(AND(Q284&gt;'Specification &amp; Data'!I$7,Q284&lt;='Specification &amp; Data'!I$8),2,IF(Q284&gt;'Specification &amp; Data'!I$8,3)))</f>
        <v>3</v>
      </c>
      <c r="M284" s="35">
        <v>3</v>
      </c>
      <c r="N284" s="33">
        <f t="shared" si="4"/>
        <v>279</v>
      </c>
      <c r="O284" s="27">
        <f>O283+(1/Simulation!Q284)</f>
        <v>42.859869099397706</v>
      </c>
      <c r="P284" s="38">
        <f>Simulation!Q284*3.6</f>
        <v>48.880578132934232</v>
      </c>
      <c r="Q284" s="38">
        <f>MIN('Specification &amp; Data'!I$9,SQRT(2*Simulation!R283+Simulation!Q283^2))</f>
        <v>13.577938370259508</v>
      </c>
      <c r="R284" s="38">
        <f>IF(Q284=Q283,0,IF(Q284&lt;&gt;Q283,Simulation!V284/Simulation!Y284))</f>
        <v>0</v>
      </c>
      <c r="S284" s="27">
        <f>'Specification &amp; Data'!B$11*'Specification &amp; Data'!B$21*'Specification &amp; Data'!B$23*(Simulation!Q284-'Specification &amp; Data'!B$22)^2/2</f>
        <v>60.54080077002466</v>
      </c>
      <c r="T284" s="27">
        <f>IF(AND(M284=1,L284=1),'Specification &amp; Data'!E$14,IF(AND(M284=1,L284=2),'Specification &amp; Data'!E$15,IF(AND(M284=1,L284=3),'Specification &amp; Data'!E$16,IF(AND(M284=2,L284=1),'Specification &amp; Data'!F$14,IF(AND(M284=2,L284=2),'Specification &amp; Data'!F$15,IF(AND(M284=2,L284=3),'Specification &amp; Data'!F$16,IF(AND(M284=3,L284=1),'Specification &amp; Data'!I$14,IF(AND(M284=3,L284=2),'Specification &amp; Data'!I$15,IF(AND(M284=3,L284=3),'Specification &amp; Data'!I$16)))))))))</f>
        <v>102.35950200000001</v>
      </c>
      <c r="U284" s="27">
        <f>IF(AND(M284=1,L284=1),'Specification &amp; Data'!E$24,IF(AND(M284=1,L284=2),'Specification &amp; Data'!E$25,IF(AND(M284=1,L284=3),'Specification &amp; Data'!E$26,IF(M284=2,0,IF(AND(M284=3,L284=1),'Specification &amp; Data'!I$24,IF(AND(M284=3,L284=2),'Specification &amp; Data'!I$25,IF(AND(M284=3,L284=3),'Specification &amp; Data'!I$26)))))))</f>
        <v>-178.61733099000003</v>
      </c>
      <c r="V284" s="27">
        <f>'Specification &amp; Data'!B$46-Simulation!S284-Simulation!T284-Simulation!U284</f>
        <v>723.61844554280981</v>
      </c>
      <c r="W284" s="27">
        <f>Simulation!V284/Simulation!Y284</f>
        <v>1.2449648585873674</v>
      </c>
      <c r="X284" s="27">
        <f>60*Simulation!Q284/(2*'Specification &amp; Data'!B$15*PI())</f>
        <v>510.47149810013718</v>
      </c>
      <c r="Y284" s="27">
        <f>IF(L284=1,'Specification &amp; Data'!B$56,IF(L284=2,'Specification &amp; Data'!B$57,IF(L284=3,'Specification &amp; Data'!B$58)))</f>
        <v>581.23604096253996</v>
      </c>
      <c r="Z284" s="38">
        <f>Simulation!Y284*Simulation!Q284^2/(2*1000)</f>
        <v>53.578457521658208</v>
      </c>
    </row>
    <row r="285" spans="7:26">
      <c r="G285" s="44">
        <v>5900</v>
      </c>
      <c r="H285" s="44">
        <v>17.239999999999998</v>
      </c>
      <c r="I285" s="38">
        <f>Simulation!H285*746/1000</f>
        <v>12.861039999999999</v>
      </c>
      <c r="J285" s="38">
        <f>60*1000*Simulation!I285/(2*PI()*Simulation!G285)</f>
        <v>20.815912772568705</v>
      </c>
      <c r="K285" s="37">
        <v>450.79</v>
      </c>
      <c r="L285" s="27">
        <f>IF(Q285&lt;='Specification &amp; Data'!I$7,1,IF(AND(Q285&gt;'Specification &amp; Data'!I$7,Q285&lt;='Specification &amp; Data'!I$8),2,IF(Q285&gt;'Specification &amp; Data'!I$8,3)))</f>
        <v>3</v>
      </c>
      <c r="M285" s="35">
        <v>3</v>
      </c>
      <c r="N285" s="33">
        <f t="shared" si="4"/>
        <v>280</v>
      </c>
      <c r="O285" s="27">
        <f>O284+(1/Simulation!Q285)</f>
        <v>42.933517982809221</v>
      </c>
      <c r="P285" s="38">
        <f>Simulation!Q285*3.6</f>
        <v>48.880578132934232</v>
      </c>
      <c r="Q285" s="38">
        <f>MIN('Specification &amp; Data'!I$9,SQRT(2*Simulation!R284+Simulation!Q284^2))</f>
        <v>13.577938370259508</v>
      </c>
      <c r="R285" s="38">
        <f>IF(Q285=Q284,0,IF(Q285&lt;&gt;Q284,Simulation!V285/Simulation!Y285))</f>
        <v>0</v>
      </c>
      <c r="S285" s="27">
        <f>'Specification &amp; Data'!B$11*'Specification &amp; Data'!B$21*'Specification &amp; Data'!B$23*(Simulation!Q285-'Specification &amp; Data'!B$22)^2/2</f>
        <v>60.54080077002466</v>
      </c>
      <c r="T285" s="27">
        <f>IF(AND(M285=1,L285=1),'Specification &amp; Data'!E$14,IF(AND(M285=1,L285=2),'Specification &amp; Data'!E$15,IF(AND(M285=1,L285=3),'Specification &amp; Data'!E$16,IF(AND(M285=2,L285=1),'Specification &amp; Data'!F$14,IF(AND(M285=2,L285=2),'Specification &amp; Data'!F$15,IF(AND(M285=2,L285=3),'Specification &amp; Data'!F$16,IF(AND(M285=3,L285=1),'Specification &amp; Data'!I$14,IF(AND(M285=3,L285=2),'Specification &amp; Data'!I$15,IF(AND(M285=3,L285=3),'Specification &amp; Data'!I$16)))))))))</f>
        <v>102.35950200000001</v>
      </c>
      <c r="U285" s="27">
        <f>IF(AND(M285=1,L285=1),'Specification &amp; Data'!E$24,IF(AND(M285=1,L285=2),'Specification &amp; Data'!E$25,IF(AND(M285=1,L285=3),'Specification &amp; Data'!E$26,IF(M285=2,0,IF(AND(M285=3,L285=1),'Specification &amp; Data'!I$24,IF(AND(M285=3,L285=2),'Specification &amp; Data'!I$25,IF(AND(M285=3,L285=3),'Specification &amp; Data'!I$26)))))))</f>
        <v>-178.61733099000003</v>
      </c>
      <c r="V285" s="27">
        <f>'Specification &amp; Data'!B$46-Simulation!S285-Simulation!T285-Simulation!U285</f>
        <v>723.61844554280981</v>
      </c>
      <c r="W285" s="27">
        <f>Simulation!V285/Simulation!Y285</f>
        <v>1.2449648585873674</v>
      </c>
      <c r="X285" s="27">
        <f>60*Simulation!Q285/(2*'Specification &amp; Data'!B$15*PI())</f>
        <v>510.47149810013718</v>
      </c>
      <c r="Y285" s="27">
        <f>IF(L285=1,'Specification &amp; Data'!B$56,IF(L285=2,'Specification &amp; Data'!B$57,IF(L285=3,'Specification &amp; Data'!B$58)))</f>
        <v>581.23604096253996</v>
      </c>
      <c r="Z285" s="38">
        <f>Simulation!Y285*Simulation!Q285^2/(2*1000)</f>
        <v>53.578457521658208</v>
      </c>
    </row>
    <row r="286" spans="7:26">
      <c r="G286" s="44">
        <v>5900</v>
      </c>
      <c r="H286" s="44">
        <v>17.239999999999998</v>
      </c>
      <c r="I286" s="38">
        <f>Simulation!H286*746/1000</f>
        <v>12.861039999999999</v>
      </c>
      <c r="J286" s="38">
        <f>60*1000*Simulation!I286/(2*PI()*Simulation!G286)</f>
        <v>20.815912772568705</v>
      </c>
      <c r="K286" s="37">
        <v>450.79</v>
      </c>
      <c r="L286" s="27">
        <f>IF(Q286&lt;='Specification &amp; Data'!I$7,1,IF(AND(Q286&gt;'Specification &amp; Data'!I$7,Q286&lt;='Specification &amp; Data'!I$8),2,IF(Q286&gt;'Specification &amp; Data'!I$8,3)))</f>
        <v>3</v>
      </c>
      <c r="M286" s="35">
        <v>3</v>
      </c>
      <c r="N286" s="33">
        <f t="shared" si="4"/>
        <v>281</v>
      </c>
      <c r="O286" s="27">
        <f>O285+(1/Simulation!Q286)</f>
        <v>43.007166866220736</v>
      </c>
      <c r="P286" s="38">
        <f>Simulation!Q286*3.6</f>
        <v>48.880578132934232</v>
      </c>
      <c r="Q286" s="38">
        <f>MIN('Specification &amp; Data'!I$9,SQRT(2*Simulation!R285+Simulation!Q285^2))</f>
        <v>13.577938370259508</v>
      </c>
      <c r="R286" s="38">
        <f>IF(Q286=Q285,0,IF(Q286&lt;&gt;Q285,Simulation!V286/Simulation!Y286))</f>
        <v>0</v>
      </c>
      <c r="S286" s="27">
        <f>'Specification &amp; Data'!B$11*'Specification &amp; Data'!B$21*'Specification &amp; Data'!B$23*(Simulation!Q286-'Specification &amp; Data'!B$22)^2/2</f>
        <v>60.54080077002466</v>
      </c>
      <c r="T286" s="27">
        <f>IF(AND(M286=1,L286=1),'Specification &amp; Data'!E$14,IF(AND(M286=1,L286=2),'Specification &amp; Data'!E$15,IF(AND(M286=1,L286=3),'Specification &amp; Data'!E$16,IF(AND(M286=2,L286=1),'Specification &amp; Data'!F$14,IF(AND(M286=2,L286=2),'Specification &amp; Data'!F$15,IF(AND(M286=2,L286=3),'Specification &amp; Data'!F$16,IF(AND(M286=3,L286=1),'Specification &amp; Data'!I$14,IF(AND(M286=3,L286=2),'Specification &amp; Data'!I$15,IF(AND(M286=3,L286=3),'Specification &amp; Data'!I$16)))))))))</f>
        <v>102.35950200000001</v>
      </c>
      <c r="U286" s="27">
        <f>IF(AND(M286=1,L286=1),'Specification &amp; Data'!E$24,IF(AND(M286=1,L286=2),'Specification &amp; Data'!E$25,IF(AND(M286=1,L286=3),'Specification &amp; Data'!E$26,IF(M286=2,0,IF(AND(M286=3,L286=1),'Specification &amp; Data'!I$24,IF(AND(M286=3,L286=2),'Specification &amp; Data'!I$25,IF(AND(M286=3,L286=3),'Specification &amp; Data'!I$26)))))))</f>
        <v>-178.61733099000003</v>
      </c>
      <c r="V286" s="27">
        <f>'Specification &amp; Data'!B$46-Simulation!S286-Simulation!T286-Simulation!U286</f>
        <v>723.61844554280981</v>
      </c>
      <c r="W286" s="27">
        <f>Simulation!V286/Simulation!Y286</f>
        <v>1.2449648585873674</v>
      </c>
      <c r="X286" s="27">
        <f>60*Simulation!Q286/(2*'Specification &amp; Data'!B$15*PI())</f>
        <v>510.47149810013718</v>
      </c>
      <c r="Y286" s="27">
        <f>IF(L286=1,'Specification &amp; Data'!B$56,IF(L286=2,'Specification &amp; Data'!B$57,IF(L286=3,'Specification &amp; Data'!B$58)))</f>
        <v>581.23604096253996</v>
      </c>
      <c r="Z286" s="38">
        <f>Simulation!Y286*Simulation!Q286^2/(2*1000)</f>
        <v>53.578457521658208</v>
      </c>
    </row>
    <row r="287" spans="7:26">
      <c r="G287" s="44">
        <v>6000</v>
      </c>
      <c r="H287" s="44">
        <v>17.32</v>
      </c>
      <c r="I287" s="38">
        <f>Simulation!H287*746/1000</f>
        <v>12.920719999999999</v>
      </c>
      <c r="J287" s="38">
        <f>60*1000*Simulation!I287/(2*PI()*Simulation!G287)</f>
        <v>20.563964563063138</v>
      </c>
      <c r="K287" s="37">
        <v>450.79</v>
      </c>
      <c r="L287" s="27">
        <f>IF(Q287&lt;='Specification &amp; Data'!I$7,1,IF(AND(Q287&gt;'Specification &amp; Data'!I$7,Q287&lt;='Specification &amp; Data'!I$8),2,IF(Q287&gt;'Specification &amp; Data'!I$8,3)))</f>
        <v>3</v>
      </c>
      <c r="M287" s="35">
        <v>3</v>
      </c>
      <c r="N287" s="33">
        <f t="shared" si="4"/>
        <v>282</v>
      </c>
      <c r="O287" s="27">
        <f>O286+(1/Simulation!Q287)</f>
        <v>43.080815749632251</v>
      </c>
      <c r="P287" s="38">
        <f>Simulation!Q287*3.6</f>
        <v>48.880578132934232</v>
      </c>
      <c r="Q287" s="38">
        <f>MIN('Specification &amp; Data'!I$9,SQRT(2*Simulation!R286+Simulation!Q286^2))</f>
        <v>13.577938370259508</v>
      </c>
      <c r="R287" s="38">
        <f>IF(Q287=Q286,0,IF(Q287&lt;&gt;Q286,Simulation!V287/Simulation!Y287))</f>
        <v>0</v>
      </c>
      <c r="S287" s="27">
        <f>'Specification &amp; Data'!B$11*'Specification &amp; Data'!B$21*'Specification &amp; Data'!B$23*(Simulation!Q287-'Specification &amp; Data'!B$22)^2/2</f>
        <v>60.54080077002466</v>
      </c>
      <c r="T287" s="27">
        <f>IF(AND(M287=1,L287=1),'Specification &amp; Data'!E$14,IF(AND(M287=1,L287=2),'Specification &amp; Data'!E$15,IF(AND(M287=1,L287=3),'Specification &amp; Data'!E$16,IF(AND(M287=2,L287=1),'Specification &amp; Data'!F$14,IF(AND(M287=2,L287=2),'Specification &amp; Data'!F$15,IF(AND(M287=2,L287=3),'Specification &amp; Data'!F$16,IF(AND(M287=3,L287=1),'Specification &amp; Data'!I$14,IF(AND(M287=3,L287=2),'Specification &amp; Data'!I$15,IF(AND(M287=3,L287=3),'Specification &amp; Data'!I$16)))))))))</f>
        <v>102.35950200000001</v>
      </c>
      <c r="U287" s="27">
        <f>IF(AND(M287=1,L287=1),'Specification &amp; Data'!E$24,IF(AND(M287=1,L287=2),'Specification &amp; Data'!E$25,IF(AND(M287=1,L287=3),'Specification &amp; Data'!E$26,IF(M287=2,0,IF(AND(M287=3,L287=1),'Specification &amp; Data'!I$24,IF(AND(M287=3,L287=2),'Specification &amp; Data'!I$25,IF(AND(M287=3,L287=3),'Specification &amp; Data'!I$26)))))))</f>
        <v>-178.61733099000003</v>
      </c>
      <c r="V287" s="27">
        <f>'Specification &amp; Data'!B$46-Simulation!S287-Simulation!T287-Simulation!U287</f>
        <v>723.61844554280981</v>
      </c>
      <c r="W287" s="27">
        <f>Simulation!V287/Simulation!Y287</f>
        <v>1.2449648585873674</v>
      </c>
      <c r="X287" s="27">
        <f>60*Simulation!Q287/(2*'Specification &amp; Data'!B$15*PI())</f>
        <v>510.47149810013718</v>
      </c>
      <c r="Y287" s="27">
        <f>IF(L287=1,'Specification &amp; Data'!B$56,IF(L287=2,'Specification &amp; Data'!B$57,IF(L287=3,'Specification &amp; Data'!B$58)))</f>
        <v>581.23604096253996</v>
      </c>
      <c r="Z287" s="38">
        <f>Simulation!Y287*Simulation!Q287^2/(2*1000)</f>
        <v>53.578457521658208</v>
      </c>
    </row>
    <row r="288" spans="7:26">
      <c r="G288" s="44">
        <v>6000</v>
      </c>
      <c r="H288" s="44">
        <v>17.32</v>
      </c>
      <c r="I288" s="38">
        <f>Simulation!H288*746/1000</f>
        <v>12.920719999999999</v>
      </c>
      <c r="J288" s="38">
        <f>60*1000*Simulation!I288/(2*PI()*Simulation!G288)</f>
        <v>20.563964563063138</v>
      </c>
      <c r="K288" s="37">
        <v>450.79</v>
      </c>
      <c r="L288" s="27">
        <f>IF(Q288&lt;='Specification &amp; Data'!I$7,1,IF(AND(Q288&gt;'Specification &amp; Data'!I$7,Q288&lt;='Specification &amp; Data'!I$8),2,IF(Q288&gt;'Specification &amp; Data'!I$8,3)))</f>
        <v>3</v>
      </c>
      <c r="M288" s="35">
        <v>3</v>
      </c>
      <c r="N288" s="33">
        <f t="shared" si="4"/>
        <v>283</v>
      </c>
      <c r="O288" s="27">
        <f>O287+(1/Simulation!Q288)</f>
        <v>43.154464633043766</v>
      </c>
      <c r="P288" s="38">
        <f>Simulation!Q288*3.6</f>
        <v>48.880578132934232</v>
      </c>
      <c r="Q288" s="38">
        <f>MIN('Specification &amp; Data'!I$9,SQRT(2*Simulation!R287+Simulation!Q287^2))</f>
        <v>13.577938370259508</v>
      </c>
      <c r="R288" s="38">
        <f>IF(Q288=Q287,0,IF(Q288&lt;&gt;Q287,Simulation!V288/Simulation!Y288))</f>
        <v>0</v>
      </c>
      <c r="S288" s="27">
        <f>'Specification &amp; Data'!B$11*'Specification &amp; Data'!B$21*'Specification &amp; Data'!B$23*(Simulation!Q288-'Specification &amp; Data'!B$22)^2/2</f>
        <v>60.54080077002466</v>
      </c>
      <c r="T288" s="27">
        <f>IF(AND(M288=1,L288=1),'Specification &amp; Data'!E$14,IF(AND(M288=1,L288=2),'Specification &amp; Data'!E$15,IF(AND(M288=1,L288=3),'Specification &amp; Data'!E$16,IF(AND(M288=2,L288=1),'Specification &amp; Data'!F$14,IF(AND(M288=2,L288=2),'Specification &amp; Data'!F$15,IF(AND(M288=2,L288=3),'Specification &amp; Data'!F$16,IF(AND(M288=3,L288=1),'Specification &amp; Data'!I$14,IF(AND(M288=3,L288=2),'Specification &amp; Data'!I$15,IF(AND(M288=3,L288=3),'Specification &amp; Data'!I$16)))))))))</f>
        <v>102.35950200000001</v>
      </c>
      <c r="U288" s="27">
        <f>IF(AND(M288=1,L288=1),'Specification &amp; Data'!E$24,IF(AND(M288=1,L288=2),'Specification &amp; Data'!E$25,IF(AND(M288=1,L288=3),'Specification &amp; Data'!E$26,IF(M288=2,0,IF(AND(M288=3,L288=1),'Specification &amp; Data'!I$24,IF(AND(M288=3,L288=2),'Specification &amp; Data'!I$25,IF(AND(M288=3,L288=3),'Specification &amp; Data'!I$26)))))))</f>
        <v>-178.61733099000003</v>
      </c>
      <c r="V288" s="27">
        <f>'Specification &amp; Data'!B$46-Simulation!S288-Simulation!T288-Simulation!U288</f>
        <v>723.61844554280981</v>
      </c>
      <c r="W288" s="27">
        <f>Simulation!V288/Simulation!Y288</f>
        <v>1.2449648585873674</v>
      </c>
      <c r="X288" s="27">
        <f>60*Simulation!Q288/(2*'Specification &amp; Data'!B$15*PI())</f>
        <v>510.47149810013718</v>
      </c>
      <c r="Y288" s="27">
        <f>IF(L288=1,'Specification &amp; Data'!B$56,IF(L288=2,'Specification &amp; Data'!B$57,IF(L288=3,'Specification &amp; Data'!B$58)))</f>
        <v>581.23604096253996</v>
      </c>
      <c r="Z288" s="38">
        <f>Simulation!Y288*Simulation!Q288^2/(2*1000)</f>
        <v>53.578457521658208</v>
      </c>
    </row>
    <row r="289" spans="7:26">
      <c r="G289" s="44">
        <v>6000</v>
      </c>
      <c r="H289" s="44">
        <v>17.32</v>
      </c>
      <c r="I289" s="38">
        <f>Simulation!H289*746/1000</f>
        <v>12.920719999999999</v>
      </c>
      <c r="J289" s="38">
        <f>60*1000*Simulation!I289/(2*PI()*Simulation!G289)</f>
        <v>20.563964563063138</v>
      </c>
      <c r="K289" s="37">
        <v>426.9</v>
      </c>
      <c r="L289" s="27">
        <f>IF(Q289&lt;='Specification &amp; Data'!I$7,1,IF(AND(Q289&gt;'Specification &amp; Data'!I$7,Q289&lt;='Specification &amp; Data'!I$8),2,IF(Q289&gt;'Specification &amp; Data'!I$8,3)))</f>
        <v>3</v>
      </c>
      <c r="M289" s="35">
        <v>3</v>
      </c>
      <c r="N289" s="33">
        <f t="shared" si="4"/>
        <v>284</v>
      </c>
      <c r="O289" s="27">
        <f>O288+(1/Simulation!Q289)</f>
        <v>43.228113516455281</v>
      </c>
      <c r="P289" s="38">
        <f>Simulation!Q289*3.6</f>
        <v>48.880578132934232</v>
      </c>
      <c r="Q289" s="38">
        <f>MIN('Specification &amp; Data'!I$9,SQRT(2*Simulation!R288+Simulation!Q288^2))</f>
        <v>13.577938370259508</v>
      </c>
      <c r="R289" s="38">
        <f>IF(Q289=Q288,0,IF(Q289&lt;&gt;Q288,Simulation!V289/Simulation!Y289))</f>
        <v>0</v>
      </c>
      <c r="S289" s="27">
        <f>'Specification &amp; Data'!B$11*'Specification &amp; Data'!B$21*'Specification &amp; Data'!B$23*(Simulation!Q289-'Specification &amp; Data'!B$22)^2/2</f>
        <v>60.54080077002466</v>
      </c>
      <c r="T289" s="27">
        <f>IF(AND(M289=1,L289=1),'Specification &amp; Data'!E$14,IF(AND(M289=1,L289=2),'Specification &amp; Data'!E$15,IF(AND(M289=1,L289=3),'Specification &amp; Data'!E$16,IF(AND(M289=2,L289=1),'Specification &amp; Data'!F$14,IF(AND(M289=2,L289=2),'Specification &amp; Data'!F$15,IF(AND(M289=2,L289=3),'Specification &amp; Data'!F$16,IF(AND(M289=3,L289=1),'Specification &amp; Data'!I$14,IF(AND(M289=3,L289=2),'Specification &amp; Data'!I$15,IF(AND(M289=3,L289=3),'Specification &amp; Data'!I$16)))))))))</f>
        <v>102.35950200000001</v>
      </c>
      <c r="U289" s="27">
        <f>IF(AND(M289=1,L289=1),'Specification &amp; Data'!E$24,IF(AND(M289=1,L289=2),'Specification &amp; Data'!E$25,IF(AND(M289=1,L289=3),'Specification &amp; Data'!E$26,IF(M289=2,0,IF(AND(M289=3,L289=1),'Specification &amp; Data'!I$24,IF(AND(M289=3,L289=2),'Specification &amp; Data'!I$25,IF(AND(M289=3,L289=3),'Specification &amp; Data'!I$26)))))))</f>
        <v>-178.61733099000003</v>
      </c>
      <c r="V289" s="27">
        <f>'Specification &amp; Data'!B$46-Simulation!S289-Simulation!T289-Simulation!U289</f>
        <v>723.61844554280981</v>
      </c>
      <c r="W289" s="27">
        <f>Simulation!V289/Simulation!Y289</f>
        <v>1.2449648585873674</v>
      </c>
      <c r="X289" s="27">
        <f>60*Simulation!Q289/(2*'Specification &amp; Data'!B$15*PI())</f>
        <v>510.47149810013718</v>
      </c>
      <c r="Y289" s="27">
        <f>IF(L289=1,'Specification &amp; Data'!B$56,IF(L289=2,'Specification &amp; Data'!B$57,IF(L289=3,'Specification &amp; Data'!B$58)))</f>
        <v>581.23604096253996</v>
      </c>
      <c r="Z289" s="38">
        <f>Simulation!Y289*Simulation!Q289^2/(2*1000)</f>
        <v>53.578457521658208</v>
      </c>
    </row>
    <row r="290" spans="7:26">
      <c r="G290" s="44">
        <v>6100</v>
      </c>
      <c r="H290" s="44">
        <v>17.37</v>
      </c>
      <c r="I290" s="38">
        <f>Simulation!H290*746/1000</f>
        <v>12.958020000000001</v>
      </c>
      <c r="J290" s="38">
        <f>60*1000*Simulation!I290/(2*PI()*Simulation!G290)</f>
        <v>20.285241990330903</v>
      </c>
      <c r="K290" s="37">
        <v>426.9</v>
      </c>
      <c r="L290" s="27">
        <f>IF(Q290&lt;='Specification &amp; Data'!I$7,1,IF(AND(Q290&gt;'Specification &amp; Data'!I$7,Q290&lt;='Specification &amp; Data'!I$8),2,IF(Q290&gt;'Specification &amp; Data'!I$8,3)))</f>
        <v>3</v>
      </c>
      <c r="M290" s="35">
        <v>3</v>
      </c>
      <c r="N290" s="33">
        <f t="shared" si="4"/>
        <v>285</v>
      </c>
      <c r="O290" s="27">
        <f>O289+(1/Simulation!Q290)</f>
        <v>43.301762399866796</v>
      </c>
      <c r="P290" s="38">
        <f>Simulation!Q290*3.6</f>
        <v>48.880578132934232</v>
      </c>
      <c r="Q290" s="38">
        <f>MIN('Specification &amp; Data'!I$9,SQRT(2*Simulation!R289+Simulation!Q289^2))</f>
        <v>13.577938370259508</v>
      </c>
      <c r="R290" s="38">
        <f>IF(Q290=Q289,0,IF(Q290&lt;&gt;Q289,Simulation!V290/Simulation!Y290))</f>
        <v>0</v>
      </c>
      <c r="S290" s="27">
        <f>'Specification &amp; Data'!B$11*'Specification &amp; Data'!B$21*'Specification &amp; Data'!B$23*(Simulation!Q290-'Specification &amp; Data'!B$22)^2/2</f>
        <v>60.54080077002466</v>
      </c>
      <c r="T290" s="27">
        <f>IF(AND(M290=1,L290=1),'Specification &amp; Data'!E$14,IF(AND(M290=1,L290=2),'Specification &amp; Data'!E$15,IF(AND(M290=1,L290=3),'Specification &amp; Data'!E$16,IF(AND(M290=2,L290=1),'Specification &amp; Data'!F$14,IF(AND(M290=2,L290=2),'Specification &amp; Data'!F$15,IF(AND(M290=2,L290=3),'Specification &amp; Data'!F$16,IF(AND(M290=3,L290=1),'Specification &amp; Data'!I$14,IF(AND(M290=3,L290=2),'Specification &amp; Data'!I$15,IF(AND(M290=3,L290=3),'Specification &amp; Data'!I$16)))))))))</f>
        <v>102.35950200000001</v>
      </c>
      <c r="U290" s="27">
        <f>IF(AND(M290=1,L290=1),'Specification &amp; Data'!E$24,IF(AND(M290=1,L290=2),'Specification &amp; Data'!E$25,IF(AND(M290=1,L290=3),'Specification &amp; Data'!E$26,IF(M290=2,0,IF(AND(M290=3,L290=1),'Specification &amp; Data'!I$24,IF(AND(M290=3,L290=2),'Specification &amp; Data'!I$25,IF(AND(M290=3,L290=3),'Specification &amp; Data'!I$26)))))))</f>
        <v>-178.61733099000003</v>
      </c>
      <c r="V290" s="27">
        <f>'Specification &amp; Data'!B$46-Simulation!S290-Simulation!T290-Simulation!U290</f>
        <v>723.61844554280981</v>
      </c>
      <c r="W290" s="27">
        <f>Simulation!V290/Simulation!Y290</f>
        <v>1.2449648585873674</v>
      </c>
      <c r="X290" s="27">
        <f>60*Simulation!Q290/(2*'Specification &amp; Data'!B$15*PI())</f>
        <v>510.47149810013718</v>
      </c>
      <c r="Y290" s="27">
        <f>IF(L290=1,'Specification &amp; Data'!B$56,IF(L290=2,'Specification &amp; Data'!B$57,IF(L290=3,'Specification &amp; Data'!B$58)))</f>
        <v>581.23604096253996</v>
      </c>
      <c r="Z290" s="38">
        <f>Simulation!Y290*Simulation!Q290^2/(2*1000)</f>
        <v>53.578457521658208</v>
      </c>
    </row>
    <row r="291" spans="7:26">
      <c r="G291" s="44">
        <v>6100</v>
      </c>
      <c r="H291" s="44">
        <v>17.37</v>
      </c>
      <c r="I291" s="38">
        <f>Simulation!H291*746/1000</f>
        <v>12.958020000000001</v>
      </c>
      <c r="J291" s="38">
        <f>60*1000*Simulation!I291/(2*PI()*Simulation!G291)</f>
        <v>20.285241990330903</v>
      </c>
      <c r="K291" s="37">
        <v>426.9</v>
      </c>
      <c r="L291" s="27">
        <f>IF(Q291&lt;='Specification &amp; Data'!I$7,1,IF(AND(Q291&gt;'Specification &amp; Data'!I$7,Q291&lt;='Specification &amp; Data'!I$8),2,IF(Q291&gt;'Specification &amp; Data'!I$8,3)))</f>
        <v>3</v>
      </c>
      <c r="M291" s="35">
        <v>3</v>
      </c>
      <c r="N291" s="33">
        <f t="shared" si="4"/>
        <v>286</v>
      </c>
      <c r="O291" s="27">
        <f>O290+(1/Simulation!Q291)</f>
        <v>43.375411283278311</v>
      </c>
      <c r="P291" s="38">
        <f>Simulation!Q291*3.6</f>
        <v>48.880578132934232</v>
      </c>
      <c r="Q291" s="38">
        <f>MIN('Specification &amp; Data'!I$9,SQRT(2*Simulation!R290+Simulation!Q290^2))</f>
        <v>13.577938370259508</v>
      </c>
      <c r="R291" s="38">
        <f>IF(Q291=Q290,0,IF(Q291&lt;&gt;Q290,Simulation!V291/Simulation!Y291))</f>
        <v>0</v>
      </c>
      <c r="S291" s="27">
        <f>'Specification &amp; Data'!B$11*'Specification &amp; Data'!B$21*'Specification &amp; Data'!B$23*(Simulation!Q291-'Specification &amp; Data'!B$22)^2/2</f>
        <v>60.54080077002466</v>
      </c>
      <c r="T291" s="27">
        <f>IF(AND(M291=1,L291=1),'Specification &amp; Data'!E$14,IF(AND(M291=1,L291=2),'Specification &amp; Data'!E$15,IF(AND(M291=1,L291=3),'Specification &amp; Data'!E$16,IF(AND(M291=2,L291=1),'Specification &amp; Data'!F$14,IF(AND(M291=2,L291=2),'Specification &amp; Data'!F$15,IF(AND(M291=2,L291=3),'Specification &amp; Data'!F$16,IF(AND(M291=3,L291=1),'Specification &amp; Data'!I$14,IF(AND(M291=3,L291=2),'Specification &amp; Data'!I$15,IF(AND(M291=3,L291=3),'Specification &amp; Data'!I$16)))))))))</f>
        <v>102.35950200000001</v>
      </c>
      <c r="U291" s="27">
        <f>IF(AND(M291=1,L291=1),'Specification &amp; Data'!E$24,IF(AND(M291=1,L291=2),'Specification &amp; Data'!E$25,IF(AND(M291=1,L291=3),'Specification &amp; Data'!E$26,IF(M291=2,0,IF(AND(M291=3,L291=1),'Specification &amp; Data'!I$24,IF(AND(M291=3,L291=2),'Specification &amp; Data'!I$25,IF(AND(M291=3,L291=3),'Specification &amp; Data'!I$26)))))))</f>
        <v>-178.61733099000003</v>
      </c>
      <c r="V291" s="27">
        <f>'Specification &amp; Data'!B$46-Simulation!S291-Simulation!T291-Simulation!U291</f>
        <v>723.61844554280981</v>
      </c>
      <c r="W291" s="27">
        <f>Simulation!V291/Simulation!Y291</f>
        <v>1.2449648585873674</v>
      </c>
      <c r="X291" s="27">
        <f>60*Simulation!Q291/(2*'Specification &amp; Data'!B$15*PI())</f>
        <v>510.47149810013718</v>
      </c>
      <c r="Y291" s="27">
        <f>IF(L291=1,'Specification &amp; Data'!B$56,IF(L291=2,'Specification &amp; Data'!B$57,IF(L291=3,'Specification &amp; Data'!B$58)))</f>
        <v>581.23604096253996</v>
      </c>
      <c r="Z291" s="38">
        <f>Simulation!Y291*Simulation!Q291^2/(2*1000)</f>
        <v>53.578457521658208</v>
      </c>
    </row>
    <row r="292" spans="7:26">
      <c r="G292" s="44">
        <v>6200</v>
      </c>
      <c r="H292" s="44">
        <v>17.440000000000001</v>
      </c>
      <c r="I292" s="38">
        <f>Simulation!H292*746/1000</f>
        <v>13.010240000000001</v>
      </c>
      <c r="J292" s="38">
        <f>60*1000*Simulation!I292/(2*PI()*Simulation!G292)</f>
        <v>20.038490388502264</v>
      </c>
      <c r="K292" s="37">
        <v>426.9</v>
      </c>
      <c r="L292" s="27">
        <f>IF(Q292&lt;='Specification &amp; Data'!I$7,1,IF(AND(Q292&gt;'Specification &amp; Data'!I$7,Q292&lt;='Specification &amp; Data'!I$8),2,IF(Q292&gt;'Specification &amp; Data'!I$8,3)))</f>
        <v>3</v>
      </c>
      <c r="M292" s="35">
        <v>3</v>
      </c>
      <c r="N292" s="33">
        <f t="shared" si="4"/>
        <v>287</v>
      </c>
      <c r="O292" s="27">
        <f>O291+(1/Simulation!Q292)</f>
        <v>43.449060166689826</v>
      </c>
      <c r="P292" s="38">
        <f>Simulation!Q292*3.6</f>
        <v>48.880578132934232</v>
      </c>
      <c r="Q292" s="38">
        <f>MIN('Specification &amp; Data'!I$9,SQRT(2*Simulation!R291+Simulation!Q291^2))</f>
        <v>13.577938370259508</v>
      </c>
      <c r="R292" s="38">
        <f>IF(Q292=Q291,0,IF(Q292&lt;&gt;Q291,Simulation!V292/Simulation!Y292))</f>
        <v>0</v>
      </c>
      <c r="S292" s="27">
        <f>'Specification &amp; Data'!B$11*'Specification &amp; Data'!B$21*'Specification &amp; Data'!B$23*(Simulation!Q292-'Specification &amp; Data'!B$22)^2/2</f>
        <v>60.54080077002466</v>
      </c>
      <c r="T292" s="27">
        <f>IF(AND(M292=1,L292=1),'Specification &amp; Data'!E$14,IF(AND(M292=1,L292=2),'Specification &amp; Data'!E$15,IF(AND(M292=1,L292=3),'Specification &amp; Data'!E$16,IF(AND(M292=2,L292=1),'Specification &amp; Data'!F$14,IF(AND(M292=2,L292=2),'Specification &amp; Data'!F$15,IF(AND(M292=2,L292=3),'Specification &amp; Data'!F$16,IF(AND(M292=3,L292=1),'Specification &amp; Data'!I$14,IF(AND(M292=3,L292=2),'Specification &amp; Data'!I$15,IF(AND(M292=3,L292=3),'Specification &amp; Data'!I$16)))))))))</f>
        <v>102.35950200000001</v>
      </c>
      <c r="U292" s="27">
        <f>IF(AND(M292=1,L292=1),'Specification &amp; Data'!E$24,IF(AND(M292=1,L292=2),'Specification &amp; Data'!E$25,IF(AND(M292=1,L292=3),'Specification &amp; Data'!E$26,IF(M292=2,0,IF(AND(M292=3,L292=1),'Specification &amp; Data'!I$24,IF(AND(M292=3,L292=2),'Specification &amp; Data'!I$25,IF(AND(M292=3,L292=3),'Specification &amp; Data'!I$26)))))))</f>
        <v>-178.61733099000003</v>
      </c>
      <c r="V292" s="27">
        <f>'Specification &amp; Data'!B$46-Simulation!S292-Simulation!T292-Simulation!U292</f>
        <v>723.61844554280981</v>
      </c>
      <c r="W292" s="27">
        <f>Simulation!V292/Simulation!Y292</f>
        <v>1.2449648585873674</v>
      </c>
      <c r="X292" s="27">
        <f>60*Simulation!Q292/(2*'Specification &amp; Data'!B$15*PI())</f>
        <v>510.47149810013718</v>
      </c>
      <c r="Y292" s="27">
        <f>IF(L292=1,'Specification &amp; Data'!B$56,IF(L292=2,'Specification &amp; Data'!B$57,IF(L292=3,'Specification &amp; Data'!B$58)))</f>
        <v>581.23604096253996</v>
      </c>
      <c r="Z292" s="38">
        <f>Simulation!Y292*Simulation!Q292^2/(2*1000)</f>
        <v>53.578457521658208</v>
      </c>
    </row>
    <row r="293" spans="7:26">
      <c r="G293" s="44">
        <v>6200</v>
      </c>
      <c r="H293" s="44">
        <v>17.440000000000001</v>
      </c>
      <c r="I293" s="38">
        <f>Simulation!H293*746/1000</f>
        <v>13.010240000000001</v>
      </c>
      <c r="J293" s="38">
        <f>60*1000*Simulation!I293/(2*PI()*Simulation!G293)</f>
        <v>20.038490388502264</v>
      </c>
      <c r="K293" s="37">
        <v>426.9</v>
      </c>
      <c r="L293" s="27">
        <f>IF(Q293&lt;='Specification &amp; Data'!I$7,1,IF(AND(Q293&gt;'Specification &amp; Data'!I$7,Q293&lt;='Specification &amp; Data'!I$8),2,IF(Q293&gt;'Specification &amp; Data'!I$8,3)))</f>
        <v>3</v>
      </c>
      <c r="M293" s="35">
        <v>3</v>
      </c>
      <c r="N293" s="33">
        <f t="shared" si="4"/>
        <v>288</v>
      </c>
      <c r="O293" s="27">
        <f>O292+(1/Simulation!Q293)</f>
        <v>43.522709050101341</v>
      </c>
      <c r="P293" s="38">
        <f>Simulation!Q293*3.6</f>
        <v>48.880578132934232</v>
      </c>
      <c r="Q293" s="38">
        <f>MIN('Specification &amp; Data'!I$9,SQRT(2*Simulation!R292+Simulation!Q292^2))</f>
        <v>13.577938370259508</v>
      </c>
      <c r="R293" s="38">
        <f>IF(Q293=Q292,0,IF(Q293&lt;&gt;Q292,Simulation!V293/Simulation!Y293))</f>
        <v>0</v>
      </c>
      <c r="S293" s="27">
        <f>'Specification &amp; Data'!B$11*'Specification &amp; Data'!B$21*'Specification &amp; Data'!B$23*(Simulation!Q293-'Specification &amp; Data'!B$22)^2/2</f>
        <v>60.54080077002466</v>
      </c>
      <c r="T293" s="27">
        <f>IF(AND(M293=1,L293=1),'Specification &amp; Data'!E$14,IF(AND(M293=1,L293=2),'Specification &amp; Data'!E$15,IF(AND(M293=1,L293=3),'Specification &amp; Data'!E$16,IF(AND(M293=2,L293=1),'Specification &amp; Data'!F$14,IF(AND(M293=2,L293=2),'Specification &amp; Data'!F$15,IF(AND(M293=2,L293=3),'Specification &amp; Data'!F$16,IF(AND(M293=3,L293=1),'Specification &amp; Data'!I$14,IF(AND(M293=3,L293=2),'Specification &amp; Data'!I$15,IF(AND(M293=3,L293=3),'Specification &amp; Data'!I$16)))))))))</f>
        <v>102.35950200000001</v>
      </c>
      <c r="U293" s="27">
        <f>IF(AND(M293=1,L293=1),'Specification &amp; Data'!E$24,IF(AND(M293=1,L293=2),'Specification &amp; Data'!E$25,IF(AND(M293=1,L293=3),'Specification &amp; Data'!E$26,IF(M293=2,0,IF(AND(M293=3,L293=1),'Specification &amp; Data'!I$24,IF(AND(M293=3,L293=2),'Specification &amp; Data'!I$25,IF(AND(M293=3,L293=3),'Specification &amp; Data'!I$26)))))))</f>
        <v>-178.61733099000003</v>
      </c>
      <c r="V293" s="27">
        <f>'Specification &amp; Data'!B$46-Simulation!S293-Simulation!T293-Simulation!U293</f>
        <v>723.61844554280981</v>
      </c>
      <c r="W293" s="27">
        <f>Simulation!V293/Simulation!Y293</f>
        <v>1.2449648585873674</v>
      </c>
      <c r="X293" s="27">
        <f>60*Simulation!Q293/(2*'Specification &amp; Data'!B$15*PI())</f>
        <v>510.47149810013718</v>
      </c>
      <c r="Y293" s="27">
        <f>IF(L293=1,'Specification &amp; Data'!B$56,IF(L293=2,'Specification &amp; Data'!B$57,IF(L293=3,'Specification &amp; Data'!B$58)))</f>
        <v>581.23604096253996</v>
      </c>
      <c r="Z293" s="38">
        <f>Simulation!Y293*Simulation!Q293^2/(2*1000)</f>
        <v>53.578457521658208</v>
      </c>
    </row>
    <row r="294" spans="7:26">
      <c r="G294" s="44">
        <v>6300</v>
      </c>
      <c r="H294" s="44">
        <v>17.5</v>
      </c>
      <c r="I294" s="38">
        <f>Simulation!H294*746/1000</f>
        <v>13.055</v>
      </c>
      <c r="J294" s="38">
        <f>60*1000*Simulation!I294/(2*PI()*Simulation!G294)</f>
        <v>19.788264591092322</v>
      </c>
      <c r="K294" s="37">
        <v>426.9</v>
      </c>
      <c r="L294" s="27">
        <f>IF(Q294&lt;='Specification &amp; Data'!I$7,1,IF(AND(Q294&gt;'Specification &amp; Data'!I$7,Q294&lt;='Specification &amp; Data'!I$8),2,IF(Q294&gt;'Specification &amp; Data'!I$8,3)))</f>
        <v>3</v>
      </c>
      <c r="M294" s="35">
        <v>3</v>
      </c>
      <c r="N294" s="33">
        <f t="shared" si="4"/>
        <v>289</v>
      </c>
      <c r="O294" s="27">
        <f>O293+(1/Simulation!Q294)</f>
        <v>43.596357933512856</v>
      </c>
      <c r="P294" s="38">
        <f>Simulation!Q294*3.6</f>
        <v>48.880578132934232</v>
      </c>
      <c r="Q294" s="38">
        <f>MIN('Specification &amp; Data'!I$9,SQRT(2*Simulation!R293+Simulation!Q293^2))</f>
        <v>13.577938370259508</v>
      </c>
      <c r="R294" s="38">
        <f>IF(Q294=Q293,0,IF(Q294&lt;&gt;Q293,Simulation!V294/Simulation!Y294))</f>
        <v>0</v>
      </c>
      <c r="S294" s="27">
        <f>'Specification &amp; Data'!B$11*'Specification &amp; Data'!B$21*'Specification &amp; Data'!B$23*(Simulation!Q294-'Specification &amp; Data'!B$22)^2/2</f>
        <v>60.54080077002466</v>
      </c>
      <c r="T294" s="27">
        <f>IF(AND(M294=1,L294=1),'Specification &amp; Data'!E$14,IF(AND(M294=1,L294=2),'Specification &amp; Data'!E$15,IF(AND(M294=1,L294=3),'Specification &amp; Data'!E$16,IF(AND(M294=2,L294=1),'Specification &amp; Data'!F$14,IF(AND(M294=2,L294=2),'Specification &amp; Data'!F$15,IF(AND(M294=2,L294=3),'Specification &amp; Data'!F$16,IF(AND(M294=3,L294=1),'Specification &amp; Data'!I$14,IF(AND(M294=3,L294=2),'Specification &amp; Data'!I$15,IF(AND(M294=3,L294=3),'Specification &amp; Data'!I$16)))))))))</f>
        <v>102.35950200000001</v>
      </c>
      <c r="U294" s="27">
        <f>IF(AND(M294=1,L294=1),'Specification &amp; Data'!E$24,IF(AND(M294=1,L294=2),'Specification &amp; Data'!E$25,IF(AND(M294=1,L294=3),'Specification &amp; Data'!E$26,IF(M294=2,0,IF(AND(M294=3,L294=1),'Specification &amp; Data'!I$24,IF(AND(M294=3,L294=2),'Specification &amp; Data'!I$25,IF(AND(M294=3,L294=3),'Specification &amp; Data'!I$26)))))))</f>
        <v>-178.61733099000003</v>
      </c>
      <c r="V294" s="27">
        <f>'Specification &amp; Data'!B$46-Simulation!S294-Simulation!T294-Simulation!U294</f>
        <v>723.61844554280981</v>
      </c>
      <c r="W294" s="27">
        <f>Simulation!V294/Simulation!Y294</f>
        <v>1.2449648585873674</v>
      </c>
      <c r="X294" s="27">
        <f>60*Simulation!Q294/(2*'Specification &amp; Data'!B$15*PI())</f>
        <v>510.47149810013718</v>
      </c>
      <c r="Y294" s="27">
        <f>IF(L294=1,'Specification &amp; Data'!B$56,IF(L294=2,'Specification &amp; Data'!B$57,IF(L294=3,'Specification &amp; Data'!B$58)))</f>
        <v>581.23604096253996</v>
      </c>
      <c r="Z294" s="38">
        <f>Simulation!Y294*Simulation!Q294^2/(2*1000)</f>
        <v>53.578457521658208</v>
      </c>
    </row>
    <row r="295" spans="7:26">
      <c r="G295" s="44">
        <v>6400</v>
      </c>
      <c r="H295" s="44">
        <v>17.8</v>
      </c>
      <c r="I295" s="38">
        <f>Simulation!H295*746/1000</f>
        <v>13.2788</v>
      </c>
      <c r="J295" s="38">
        <f>60*1000*Simulation!I295/(2*PI()*Simulation!G295)</f>
        <v>19.812999921831185</v>
      </c>
      <c r="K295" s="37">
        <v>426.9</v>
      </c>
      <c r="L295" s="27">
        <f>IF(Q295&lt;='Specification &amp; Data'!I$7,1,IF(AND(Q295&gt;'Specification &amp; Data'!I$7,Q295&lt;='Specification &amp; Data'!I$8),2,IF(Q295&gt;'Specification &amp; Data'!I$8,3)))</f>
        <v>3</v>
      </c>
      <c r="M295" s="35">
        <v>3</v>
      </c>
      <c r="N295" s="33">
        <f t="shared" si="4"/>
        <v>290</v>
      </c>
      <c r="O295" s="27">
        <f>O294+(1/Simulation!Q295)</f>
        <v>43.670006816924371</v>
      </c>
      <c r="P295" s="38">
        <f>Simulation!Q295*3.6</f>
        <v>48.880578132934232</v>
      </c>
      <c r="Q295" s="38">
        <f>MIN('Specification &amp; Data'!I$9,SQRT(2*Simulation!R294+Simulation!Q294^2))</f>
        <v>13.577938370259508</v>
      </c>
      <c r="R295" s="38">
        <f>IF(Q295=Q294,0,IF(Q295&lt;&gt;Q294,Simulation!V295/Simulation!Y295))</f>
        <v>0</v>
      </c>
      <c r="S295" s="27">
        <f>'Specification &amp; Data'!B$11*'Specification &amp; Data'!B$21*'Specification &amp; Data'!B$23*(Simulation!Q295-'Specification &amp; Data'!B$22)^2/2</f>
        <v>60.54080077002466</v>
      </c>
      <c r="T295" s="27">
        <f>IF(AND(M295=1,L295=1),'Specification &amp; Data'!E$14,IF(AND(M295=1,L295=2),'Specification &amp; Data'!E$15,IF(AND(M295=1,L295=3),'Specification &amp; Data'!E$16,IF(AND(M295=2,L295=1),'Specification &amp; Data'!F$14,IF(AND(M295=2,L295=2),'Specification &amp; Data'!F$15,IF(AND(M295=2,L295=3),'Specification &amp; Data'!F$16,IF(AND(M295=3,L295=1),'Specification &amp; Data'!I$14,IF(AND(M295=3,L295=2),'Specification &amp; Data'!I$15,IF(AND(M295=3,L295=3),'Specification &amp; Data'!I$16)))))))))</f>
        <v>102.35950200000001</v>
      </c>
      <c r="U295" s="27">
        <f>IF(AND(M295=1,L295=1),'Specification &amp; Data'!E$24,IF(AND(M295=1,L295=2),'Specification &amp; Data'!E$25,IF(AND(M295=1,L295=3),'Specification &amp; Data'!E$26,IF(M295=2,0,IF(AND(M295=3,L295=1),'Specification &amp; Data'!I$24,IF(AND(M295=3,L295=2),'Specification &amp; Data'!I$25,IF(AND(M295=3,L295=3),'Specification &amp; Data'!I$26)))))))</f>
        <v>-178.61733099000003</v>
      </c>
      <c r="V295" s="27">
        <f>'Specification &amp; Data'!B$46-Simulation!S295-Simulation!T295-Simulation!U295</f>
        <v>723.61844554280981</v>
      </c>
      <c r="W295" s="27">
        <f>Simulation!V295/Simulation!Y295</f>
        <v>1.2449648585873674</v>
      </c>
      <c r="X295" s="27">
        <f>60*Simulation!Q295/(2*'Specification &amp; Data'!B$15*PI())</f>
        <v>510.47149810013718</v>
      </c>
      <c r="Y295" s="27">
        <f>IF(L295=1,'Specification &amp; Data'!B$56,IF(L295=2,'Specification &amp; Data'!B$57,IF(L295=3,'Specification &amp; Data'!B$58)))</f>
        <v>581.23604096253996</v>
      </c>
      <c r="Z295" s="38">
        <f>Simulation!Y295*Simulation!Q295^2/(2*1000)</f>
        <v>53.578457521658208</v>
      </c>
    </row>
    <row r="296" spans="7:26">
      <c r="G296" s="44">
        <v>6400</v>
      </c>
      <c r="H296" s="44">
        <v>17.8</v>
      </c>
      <c r="I296" s="38">
        <f>Simulation!H296*746/1000</f>
        <v>13.2788</v>
      </c>
      <c r="J296" s="38">
        <f>60*1000*Simulation!I296/(2*PI()*Simulation!G296)</f>
        <v>19.812999921831185</v>
      </c>
      <c r="K296" s="37">
        <v>426.9</v>
      </c>
      <c r="L296" s="27">
        <f>IF(Q296&lt;='Specification &amp; Data'!I$7,1,IF(AND(Q296&gt;'Specification &amp; Data'!I$7,Q296&lt;='Specification &amp; Data'!I$8),2,IF(Q296&gt;'Specification &amp; Data'!I$8,3)))</f>
        <v>3</v>
      </c>
      <c r="M296" s="35">
        <v>3</v>
      </c>
      <c r="N296" s="33">
        <f t="shared" si="4"/>
        <v>291</v>
      </c>
      <c r="O296" s="27">
        <f>O295+(1/Simulation!Q296)</f>
        <v>43.743655700335886</v>
      </c>
      <c r="P296" s="38">
        <f>Simulation!Q296*3.6</f>
        <v>48.880578132934232</v>
      </c>
      <c r="Q296" s="38">
        <f>MIN('Specification &amp; Data'!I$9,SQRT(2*Simulation!R295+Simulation!Q295^2))</f>
        <v>13.577938370259508</v>
      </c>
      <c r="R296" s="38">
        <f>IF(Q296=Q295,0,IF(Q296&lt;&gt;Q295,Simulation!V296/Simulation!Y296))</f>
        <v>0</v>
      </c>
      <c r="S296" s="27">
        <f>'Specification &amp; Data'!B$11*'Specification &amp; Data'!B$21*'Specification &amp; Data'!B$23*(Simulation!Q296-'Specification &amp; Data'!B$22)^2/2</f>
        <v>60.54080077002466</v>
      </c>
      <c r="T296" s="27">
        <f>IF(AND(M296=1,L296=1),'Specification &amp; Data'!E$14,IF(AND(M296=1,L296=2),'Specification &amp; Data'!E$15,IF(AND(M296=1,L296=3),'Specification &amp; Data'!E$16,IF(AND(M296=2,L296=1),'Specification &amp; Data'!F$14,IF(AND(M296=2,L296=2),'Specification &amp; Data'!F$15,IF(AND(M296=2,L296=3),'Specification &amp; Data'!F$16,IF(AND(M296=3,L296=1),'Specification &amp; Data'!I$14,IF(AND(M296=3,L296=2),'Specification &amp; Data'!I$15,IF(AND(M296=3,L296=3),'Specification &amp; Data'!I$16)))))))))</f>
        <v>102.35950200000001</v>
      </c>
      <c r="U296" s="27">
        <f>IF(AND(M296=1,L296=1),'Specification &amp; Data'!E$24,IF(AND(M296=1,L296=2),'Specification &amp; Data'!E$25,IF(AND(M296=1,L296=3),'Specification &amp; Data'!E$26,IF(M296=2,0,IF(AND(M296=3,L296=1),'Specification &amp; Data'!I$24,IF(AND(M296=3,L296=2),'Specification &amp; Data'!I$25,IF(AND(M296=3,L296=3),'Specification &amp; Data'!I$26)))))))</f>
        <v>-178.61733099000003</v>
      </c>
      <c r="V296" s="27">
        <f>'Specification &amp; Data'!B$46-Simulation!S296-Simulation!T296-Simulation!U296</f>
        <v>723.61844554280981</v>
      </c>
      <c r="W296" s="27">
        <f>Simulation!V296/Simulation!Y296</f>
        <v>1.2449648585873674</v>
      </c>
      <c r="X296" s="27">
        <f>60*Simulation!Q296/(2*'Specification &amp; Data'!B$15*PI())</f>
        <v>510.47149810013718</v>
      </c>
      <c r="Y296" s="27">
        <f>IF(L296=1,'Specification &amp; Data'!B$56,IF(L296=2,'Specification &amp; Data'!B$57,IF(L296=3,'Specification &amp; Data'!B$58)))</f>
        <v>581.23604096253996</v>
      </c>
      <c r="Z296" s="38">
        <f>Simulation!Y296*Simulation!Q296^2/(2*1000)</f>
        <v>53.578457521658208</v>
      </c>
    </row>
    <row r="297" spans="7:26">
      <c r="G297" s="44">
        <v>6500</v>
      </c>
      <c r="H297" s="44">
        <v>18</v>
      </c>
      <c r="I297" s="38">
        <f>Simulation!H297*746/1000</f>
        <v>13.428000000000001</v>
      </c>
      <c r="J297" s="38">
        <f>60*1000*Simulation!I297/(2*PI()*Simulation!G297)</f>
        <v>19.727377623119729</v>
      </c>
      <c r="K297" s="37">
        <v>426.9</v>
      </c>
      <c r="L297" s="27">
        <f>IF(Q297&lt;='Specification &amp; Data'!I$7,1,IF(AND(Q297&gt;'Specification &amp; Data'!I$7,Q297&lt;='Specification &amp; Data'!I$8),2,IF(Q297&gt;'Specification &amp; Data'!I$8,3)))</f>
        <v>3</v>
      </c>
      <c r="M297" s="35">
        <v>3</v>
      </c>
      <c r="N297" s="33">
        <f t="shared" si="4"/>
        <v>292</v>
      </c>
      <c r="O297" s="27">
        <f>O296+(1/Simulation!Q297)</f>
        <v>43.817304583747401</v>
      </c>
      <c r="P297" s="38">
        <f>Simulation!Q297*3.6</f>
        <v>48.880578132934232</v>
      </c>
      <c r="Q297" s="38">
        <f>MIN('Specification &amp; Data'!I$9,SQRT(2*Simulation!R296+Simulation!Q296^2))</f>
        <v>13.577938370259508</v>
      </c>
      <c r="R297" s="38">
        <f>IF(Q297=Q296,0,IF(Q297&lt;&gt;Q296,Simulation!V297/Simulation!Y297))</f>
        <v>0</v>
      </c>
      <c r="S297" s="27">
        <f>'Specification &amp; Data'!B$11*'Specification &amp; Data'!B$21*'Specification &amp; Data'!B$23*(Simulation!Q297-'Specification &amp; Data'!B$22)^2/2</f>
        <v>60.54080077002466</v>
      </c>
      <c r="T297" s="27">
        <f>IF(AND(M297=1,L297=1),'Specification &amp; Data'!E$14,IF(AND(M297=1,L297=2),'Specification &amp; Data'!E$15,IF(AND(M297=1,L297=3),'Specification &amp; Data'!E$16,IF(AND(M297=2,L297=1),'Specification &amp; Data'!F$14,IF(AND(M297=2,L297=2),'Specification &amp; Data'!F$15,IF(AND(M297=2,L297=3),'Specification &amp; Data'!F$16,IF(AND(M297=3,L297=1),'Specification &amp; Data'!I$14,IF(AND(M297=3,L297=2),'Specification &amp; Data'!I$15,IF(AND(M297=3,L297=3),'Specification &amp; Data'!I$16)))))))))</f>
        <v>102.35950200000001</v>
      </c>
      <c r="U297" s="27">
        <f>IF(AND(M297=1,L297=1),'Specification &amp; Data'!E$24,IF(AND(M297=1,L297=2),'Specification &amp; Data'!E$25,IF(AND(M297=1,L297=3),'Specification &amp; Data'!E$26,IF(M297=2,0,IF(AND(M297=3,L297=1),'Specification &amp; Data'!I$24,IF(AND(M297=3,L297=2),'Specification &amp; Data'!I$25,IF(AND(M297=3,L297=3),'Specification &amp; Data'!I$26)))))))</f>
        <v>-178.61733099000003</v>
      </c>
      <c r="V297" s="27">
        <f>'Specification &amp; Data'!B$46-Simulation!S297-Simulation!T297-Simulation!U297</f>
        <v>723.61844554280981</v>
      </c>
      <c r="W297" s="27">
        <f>Simulation!V297/Simulation!Y297</f>
        <v>1.2449648585873674</v>
      </c>
      <c r="X297" s="27">
        <f>60*Simulation!Q297/(2*'Specification &amp; Data'!B$15*PI())</f>
        <v>510.47149810013718</v>
      </c>
      <c r="Y297" s="27">
        <f>IF(L297=1,'Specification &amp; Data'!B$56,IF(L297=2,'Specification &amp; Data'!B$57,IF(L297=3,'Specification &amp; Data'!B$58)))</f>
        <v>581.23604096253996</v>
      </c>
      <c r="Z297" s="38">
        <f>Simulation!Y297*Simulation!Q297^2/(2*1000)</f>
        <v>53.578457521658208</v>
      </c>
    </row>
    <row r="298" spans="7:26">
      <c r="G298" s="44">
        <v>6500</v>
      </c>
      <c r="H298" s="44">
        <v>18</v>
      </c>
      <c r="I298" s="38">
        <f>Simulation!H298*746/1000</f>
        <v>13.428000000000001</v>
      </c>
      <c r="J298" s="38">
        <f>60*1000*Simulation!I298/(2*PI()*Simulation!G298)</f>
        <v>19.727377623119729</v>
      </c>
      <c r="K298" s="37">
        <v>426.9</v>
      </c>
      <c r="L298" s="27">
        <f>IF(Q298&lt;='Specification &amp; Data'!I$7,1,IF(AND(Q298&gt;'Specification &amp; Data'!I$7,Q298&lt;='Specification &amp; Data'!I$8),2,IF(Q298&gt;'Specification &amp; Data'!I$8,3)))</f>
        <v>3</v>
      </c>
      <c r="M298" s="35">
        <v>3</v>
      </c>
      <c r="N298" s="33">
        <f t="shared" si="4"/>
        <v>293</v>
      </c>
      <c r="O298" s="27">
        <f>O297+(1/Simulation!Q298)</f>
        <v>43.890953467158916</v>
      </c>
      <c r="P298" s="38">
        <f>Simulation!Q298*3.6</f>
        <v>48.880578132934232</v>
      </c>
      <c r="Q298" s="38">
        <f>MIN('Specification &amp; Data'!I$9,SQRT(2*Simulation!R297+Simulation!Q297^2))</f>
        <v>13.577938370259508</v>
      </c>
      <c r="R298" s="38">
        <f>IF(Q298=Q297,0,IF(Q298&lt;&gt;Q297,Simulation!V298/Simulation!Y298))</f>
        <v>0</v>
      </c>
      <c r="S298" s="27">
        <f>'Specification &amp; Data'!B$11*'Specification &amp; Data'!B$21*'Specification &amp; Data'!B$23*(Simulation!Q298-'Specification &amp; Data'!B$22)^2/2</f>
        <v>60.54080077002466</v>
      </c>
      <c r="T298" s="27">
        <f>IF(AND(M298=1,L298=1),'Specification &amp; Data'!E$14,IF(AND(M298=1,L298=2),'Specification &amp; Data'!E$15,IF(AND(M298=1,L298=3),'Specification &amp; Data'!E$16,IF(AND(M298=2,L298=1),'Specification &amp; Data'!F$14,IF(AND(M298=2,L298=2),'Specification &amp; Data'!F$15,IF(AND(M298=2,L298=3),'Specification &amp; Data'!F$16,IF(AND(M298=3,L298=1),'Specification &amp; Data'!I$14,IF(AND(M298=3,L298=2),'Specification &amp; Data'!I$15,IF(AND(M298=3,L298=3),'Specification &amp; Data'!I$16)))))))))</f>
        <v>102.35950200000001</v>
      </c>
      <c r="U298" s="27">
        <f>IF(AND(M298=1,L298=1),'Specification &amp; Data'!E$24,IF(AND(M298=1,L298=2),'Specification &amp; Data'!E$25,IF(AND(M298=1,L298=3),'Specification &amp; Data'!E$26,IF(M298=2,0,IF(AND(M298=3,L298=1),'Specification &amp; Data'!I$24,IF(AND(M298=3,L298=2),'Specification &amp; Data'!I$25,IF(AND(M298=3,L298=3),'Specification &amp; Data'!I$26)))))))</f>
        <v>-178.61733099000003</v>
      </c>
      <c r="V298" s="27">
        <f>'Specification &amp; Data'!B$46-Simulation!S298-Simulation!T298-Simulation!U298</f>
        <v>723.61844554280981</v>
      </c>
      <c r="W298" s="27">
        <f>Simulation!V298/Simulation!Y298</f>
        <v>1.2449648585873674</v>
      </c>
      <c r="X298" s="27">
        <f>60*Simulation!Q298/(2*'Specification &amp; Data'!B$15*PI())</f>
        <v>510.47149810013718</v>
      </c>
      <c r="Y298" s="27">
        <f>IF(L298=1,'Specification &amp; Data'!B$56,IF(L298=2,'Specification &amp; Data'!B$57,IF(L298=3,'Specification &amp; Data'!B$58)))</f>
        <v>581.23604096253996</v>
      </c>
      <c r="Z298" s="38">
        <f>Simulation!Y298*Simulation!Q298^2/(2*1000)</f>
        <v>53.578457521658208</v>
      </c>
    </row>
    <row r="299" spans="7:26">
      <c r="G299" s="44">
        <v>6600</v>
      </c>
      <c r="H299" s="44">
        <v>16.8</v>
      </c>
      <c r="I299" s="38">
        <f>Simulation!H299*746/1000</f>
        <v>12.532800000000002</v>
      </c>
      <c r="J299" s="38">
        <f>60*1000*Simulation!I299/(2*PI()*Simulation!G299)</f>
        <v>18.133246098019146</v>
      </c>
      <c r="K299" s="37">
        <v>426.9</v>
      </c>
      <c r="L299" s="27">
        <f>IF(Q299&lt;='Specification &amp; Data'!I$7,1,IF(AND(Q299&gt;'Specification &amp; Data'!I$7,Q299&lt;='Specification &amp; Data'!I$8),2,IF(Q299&gt;'Specification &amp; Data'!I$8,3)))</f>
        <v>3</v>
      </c>
      <c r="M299" s="35">
        <v>3</v>
      </c>
      <c r="N299" s="33">
        <f t="shared" si="4"/>
        <v>294</v>
      </c>
      <c r="O299" s="27">
        <f>O298+(1/Simulation!Q299)</f>
        <v>43.964602350570431</v>
      </c>
      <c r="P299" s="38">
        <f>Simulation!Q299*3.6</f>
        <v>48.880578132934232</v>
      </c>
      <c r="Q299" s="38">
        <f>MIN('Specification &amp; Data'!I$9,SQRT(2*Simulation!R298+Simulation!Q298^2))</f>
        <v>13.577938370259508</v>
      </c>
      <c r="R299" s="38">
        <f>IF(Q299=Q298,0,IF(Q299&lt;&gt;Q298,Simulation!V299/Simulation!Y299))</f>
        <v>0</v>
      </c>
      <c r="S299" s="27">
        <f>'Specification &amp; Data'!B$11*'Specification &amp; Data'!B$21*'Specification &amp; Data'!B$23*(Simulation!Q299-'Specification &amp; Data'!B$22)^2/2</f>
        <v>60.54080077002466</v>
      </c>
      <c r="T299" s="27">
        <f>IF(AND(M299=1,L299=1),'Specification &amp; Data'!E$14,IF(AND(M299=1,L299=2),'Specification &amp; Data'!E$15,IF(AND(M299=1,L299=3),'Specification &amp; Data'!E$16,IF(AND(M299=2,L299=1),'Specification &amp; Data'!F$14,IF(AND(M299=2,L299=2),'Specification &amp; Data'!F$15,IF(AND(M299=2,L299=3),'Specification &amp; Data'!F$16,IF(AND(M299=3,L299=1),'Specification &amp; Data'!I$14,IF(AND(M299=3,L299=2),'Specification &amp; Data'!I$15,IF(AND(M299=3,L299=3),'Specification &amp; Data'!I$16)))))))))</f>
        <v>102.35950200000001</v>
      </c>
      <c r="U299" s="27">
        <f>IF(AND(M299=1,L299=1),'Specification &amp; Data'!E$24,IF(AND(M299=1,L299=2),'Specification &amp; Data'!E$25,IF(AND(M299=1,L299=3),'Specification &amp; Data'!E$26,IF(M299=2,0,IF(AND(M299=3,L299=1),'Specification &amp; Data'!I$24,IF(AND(M299=3,L299=2),'Specification &amp; Data'!I$25,IF(AND(M299=3,L299=3),'Specification &amp; Data'!I$26)))))))</f>
        <v>-178.61733099000003</v>
      </c>
      <c r="V299" s="27">
        <f>'Specification &amp; Data'!B$46-Simulation!S299-Simulation!T299-Simulation!U299</f>
        <v>723.61844554280981</v>
      </c>
      <c r="W299" s="27">
        <f>Simulation!V299/Simulation!Y299</f>
        <v>1.2449648585873674</v>
      </c>
      <c r="X299" s="27">
        <f>60*Simulation!Q299/(2*'Specification &amp; Data'!B$15*PI())</f>
        <v>510.47149810013718</v>
      </c>
      <c r="Y299" s="27">
        <f>IF(L299=1,'Specification &amp; Data'!B$56,IF(L299=2,'Specification &amp; Data'!B$57,IF(L299=3,'Specification &amp; Data'!B$58)))</f>
        <v>581.23604096253996</v>
      </c>
      <c r="Z299" s="38">
        <f>Simulation!Y299*Simulation!Q299^2/(2*1000)</f>
        <v>53.578457521658208</v>
      </c>
    </row>
    <row r="300" spans="7:26">
      <c r="G300" s="44">
        <v>5200</v>
      </c>
      <c r="H300" s="44">
        <v>15.92</v>
      </c>
      <c r="I300" s="38">
        <f>Simulation!H300*746/1000</f>
        <v>11.87632</v>
      </c>
      <c r="J300" s="38">
        <f>60*1000*Simulation!I300/(2*PI()*Simulation!G300)</f>
        <v>21.809711927782367</v>
      </c>
      <c r="K300" s="37">
        <v>426.9</v>
      </c>
      <c r="L300" s="27">
        <f>IF(Q300&lt;='Specification &amp; Data'!I$7,1,IF(AND(Q300&gt;'Specification &amp; Data'!I$7,Q300&lt;='Specification &amp; Data'!I$8),2,IF(Q300&gt;'Specification &amp; Data'!I$8,3)))</f>
        <v>3</v>
      </c>
      <c r="M300" s="35">
        <v>3</v>
      </c>
      <c r="N300" s="33">
        <f t="shared" si="4"/>
        <v>295</v>
      </c>
      <c r="O300" s="27">
        <f>O299+(1/Simulation!Q300)</f>
        <v>44.038251233981946</v>
      </c>
      <c r="P300" s="38">
        <f>Simulation!Q300*3.6</f>
        <v>48.880578132934232</v>
      </c>
      <c r="Q300" s="38">
        <f>MIN('Specification &amp; Data'!I$9,SQRT(2*Simulation!R299+Simulation!Q299^2))</f>
        <v>13.577938370259508</v>
      </c>
      <c r="R300" s="38">
        <f>IF(Q300=Q299,0,IF(Q300&lt;&gt;Q299,Simulation!V300/Simulation!Y300))</f>
        <v>0</v>
      </c>
      <c r="S300" s="27">
        <f>'Specification &amp; Data'!B$11*'Specification &amp; Data'!B$21*'Specification &amp; Data'!B$23*(Simulation!Q300-'Specification &amp; Data'!B$22)^2/2</f>
        <v>60.54080077002466</v>
      </c>
      <c r="T300" s="27">
        <f>IF(AND(M300=1,L300=1),'Specification &amp; Data'!E$14,IF(AND(M300=1,L300=2),'Specification &amp; Data'!E$15,IF(AND(M300=1,L300=3),'Specification &amp; Data'!E$16,IF(AND(M300=2,L300=1),'Specification &amp; Data'!F$14,IF(AND(M300=2,L300=2),'Specification &amp; Data'!F$15,IF(AND(M300=2,L300=3),'Specification &amp; Data'!F$16,IF(AND(M300=3,L300=1),'Specification &amp; Data'!I$14,IF(AND(M300=3,L300=2),'Specification &amp; Data'!I$15,IF(AND(M300=3,L300=3),'Specification &amp; Data'!I$16)))))))))</f>
        <v>102.35950200000001</v>
      </c>
      <c r="U300" s="27">
        <f>IF(AND(M300=1,L300=1),'Specification &amp; Data'!E$24,IF(AND(M300=1,L300=2),'Specification &amp; Data'!E$25,IF(AND(M300=1,L300=3),'Specification &amp; Data'!E$26,IF(M300=2,0,IF(AND(M300=3,L300=1),'Specification &amp; Data'!I$24,IF(AND(M300=3,L300=2),'Specification &amp; Data'!I$25,IF(AND(M300=3,L300=3),'Specification &amp; Data'!I$26)))))))</f>
        <v>-178.61733099000003</v>
      </c>
      <c r="V300" s="27">
        <f>'Specification &amp; Data'!B$46-Simulation!S300-Simulation!T300-Simulation!U300</f>
        <v>723.61844554280981</v>
      </c>
      <c r="W300" s="27">
        <f>Simulation!V300/Simulation!Y300</f>
        <v>1.2449648585873674</v>
      </c>
      <c r="X300" s="27">
        <f>60*Simulation!Q300/(2*'Specification &amp; Data'!B$15*PI())</f>
        <v>510.47149810013718</v>
      </c>
      <c r="Y300" s="27">
        <f>IF(L300=1,'Specification &amp; Data'!B$56,IF(L300=2,'Specification &amp; Data'!B$57,IF(L300=3,'Specification &amp; Data'!B$58)))</f>
        <v>581.23604096253996</v>
      </c>
      <c r="Z300" s="38">
        <f>Simulation!Y300*Simulation!Q300^2/(2*1000)</f>
        <v>53.578457521658208</v>
      </c>
    </row>
    <row r="301" spans="7:26">
      <c r="G301" s="44">
        <v>5200</v>
      </c>
      <c r="H301" s="44">
        <v>15.92</v>
      </c>
      <c r="I301" s="38">
        <f>Simulation!H301*746/1000</f>
        <v>11.87632</v>
      </c>
      <c r="J301" s="38">
        <f>60*1000*Simulation!I301/(2*PI()*Simulation!G301)</f>
        <v>21.809711927782367</v>
      </c>
      <c r="K301" s="37">
        <v>426.9</v>
      </c>
      <c r="L301" s="27">
        <f>IF(Q301&lt;='Specification &amp; Data'!I$7,1,IF(AND(Q301&gt;'Specification &amp; Data'!I$7,Q301&lt;='Specification &amp; Data'!I$8),2,IF(Q301&gt;'Specification &amp; Data'!I$8,3)))</f>
        <v>3</v>
      </c>
      <c r="M301" s="35">
        <v>3</v>
      </c>
      <c r="N301" s="33">
        <f t="shared" si="4"/>
        <v>296</v>
      </c>
      <c r="O301" s="27">
        <f>O300+(1/Simulation!Q301)</f>
        <v>44.111900117393461</v>
      </c>
      <c r="P301" s="38">
        <f>Simulation!Q301*3.6</f>
        <v>48.880578132934232</v>
      </c>
      <c r="Q301" s="38">
        <f>MIN('Specification &amp; Data'!I$9,SQRT(2*Simulation!R300+Simulation!Q300^2))</f>
        <v>13.577938370259508</v>
      </c>
      <c r="R301" s="38">
        <f>IF(Q301=Q300,0,IF(Q301&lt;&gt;Q300,Simulation!V301/Simulation!Y301))</f>
        <v>0</v>
      </c>
      <c r="S301" s="27">
        <f>'Specification &amp; Data'!B$11*'Specification &amp; Data'!B$21*'Specification &amp; Data'!B$23*(Simulation!Q301-'Specification &amp; Data'!B$22)^2/2</f>
        <v>60.54080077002466</v>
      </c>
      <c r="T301" s="27">
        <f>IF(AND(M301=1,L301=1),'Specification &amp; Data'!E$14,IF(AND(M301=1,L301=2),'Specification &amp; Data'!E$15,IF(AND(M301=1,L301=3),'Specification &amp; Data'!E$16,IF(AND(M301=2,L301=1),'Specification &amp; Data'!F$14,IF(AND(M301=2,L301=2),'Specification &amp; Data'!F$15,IF(AND(M301=2,L301=3),'Specification &amp; Data'!F$16,IF(AND(M301=3,L301=1),'Specification &amp; Data'!I$14,IF(AND(M301=3,L301=2),'Specification &amp; Data'!I$15,IF(AND(M301=3,L301=3),'Specification &amp; Data'!I$16)))))))))</f>
        <v>102.35950200000001</v>
      </c>
      <c r="U301" s="27">
        <f>IF(AND(M301=1,L301=1),'Specification &amp; Data'!E$24,IF(AND(M301=1,L301=2),'Specification &amp; Data'!E$25,IF(AND(M301=1,L301=3),'Specification &amp; Data'!E$26,IF(M301=2,0,IF(AND(M301=3,L301=1),'Specification &amp; Data'!I$24,IF(AND(M301=3,L301=2),'Specification &amp; Data'!I$25,IF(AND(M301=3,L301=3),'Specification &amp; Data'!I$26)))))))</f>
        <v>-178.61733099000003</v>
      </c>
      <c r="V301" s="27">
        <f>'Specification &amp; Data'!B$46-Simulation!S301-Simulation!T301-Simulation!U301</f>
        <v>723.61844554280981</v>
      </c>
      <c r="W301" s="27">
        <f>Simulation!V301/Simulation!Y301</f>
        <v>1.2449648585873674</v>
      </c>
      <c r="X301" s="27">
        <f>60*Simulation!Q301/(2*'Specification &amp; Data'!B$15*PI())</f>
        <v>510.47149810013718</v>
      </c>
      <c r="Y301" s="27">
        <f>IF(L301=1,'Specification &amp; Data'!B$56,IF(L301=2,'Specification &amp; Data'!B$57,IF(L301=3,'Specification &amp; Data'!B$58)))</f>
        <v>581.23604096253996</v>
      </c>
      <c r="Z301" s="38">
        <f>Simulation!Y301*Simulation!Q301^2/(2*1000)</f>
        <v>53.578457521658208</v>
      </c>
    </row>
    <row r="302" spans="7:26">
      <c r="G302" s="44">
        <v>5300</v>
      </c>
      <c r="H302" s="44">
        <v>16.25</v>
      </c>
      <c r="I302" s="38">
        <f>Simulation!H302*746/1000</f>
        <v>12.1225</v>
      </c>
      <c r="J302" s="38">
        <f>60*1000*Simulation!I302/(2*PI()*Simulation!G302)</f>
        <v>21.841763746771711</v>
      </c>
      <c r="K302" s="37">
        <v>426.9</v>
      </c>
      <c r="L302" s="27">
        <f>IF(Q302&lt;='Specification &amp; Data'!I$7,1,IF(AND(Q302&gt;'Specification &amp; Data'!I$7,Q302&lt;='Specification &amp; Data'!I$8),2,IF(Q302&gt;'Specification &amp; Data'!I$8,3)))</f>
        <v>3</v>
      </c>
      <c r="M302" s="35">
        <v>3</v>
      </c>
      <c r="N302" s="33">
        <f t="shared" si="4"/>
        <v>297</v>
      </c>
      <c r="O302" s="27">
        <f>O301+(1/Simulation!Q302)</f>
        <v>44.185549000804976</v>
      </c>
      <c r="P302" s="38">
        <f>Simulation!Q302*3.6</f>
        <v>48.880578132934232</v>
      </c>
      <c r="Q302" s="38">
        <f>MIN('Specification &amp; Data'!I$9,SQRT(2*Simulation!R301+Simulation!Q301^2))</f>
        <v>13.577938370259508</v>
      </c>
      <c r="R302" s="38">
        <f>IF(Q302=Q301,0,IF(Q302&lt;&gt;Q301,Simulation!V302/Simulation!Y302))</f>
        <v>0</v>
      </c>
      <c r="S302" s="27">
        <f>'Specification &amp; Data'!B$11*'Specification &amp; Data'!B$21*'Specification &amp; Data'!B$23*(Simulation!Q302-'Specification &amp; Data'!B$22)^2/2</f>
        <v>60.54080077002466</v>
      </c>
      <c r="T302" s="27">
        <f>IF(AND(M302=1,L302=1),'Specification &amp; Data'!E$14,IF(AND(M302=1,L302=2),'Specification &amp; Data'!E$15,IF(AND(M302=1,L302=3),'Specification &amp; Data'!E$16,IF(AND(M302=2,L302=1),'Specification &amp; Data'!F$14,IF(AND(M302=2,L302=2),'Specification &amp; Data'!F$15,IF(AND(M302=2,L302=3),'Specification &amp; Data'!F$16,IF(AND(M302=3,L302=1),'Specification &amp; Data'!I$14,IF(AND(M302=3,L302=2),'Specification &amp; Data'!I$15,IF(AND(M302=3,L302=3),'Specification &amp; Data'!I$16)))))))))</f>
        <v>102.35950200000001</v>
      </c>
      <c r="U302" s="27">
        <f>IF(AND(M302=1,L302=1),'Specification &amp; Data'!E$24,IF(AND(M302=1,L302=2),'Specification &amp; Data'!E$25,IF(AND(M302=1,L302=3),'Specification &amp; Data'!E$26,IF(M302=2,0,IF(AND(M302=3,L302=1),'Specification &amp; Data'!I$24,IF(AND(M302=3,L302=2),'Specification &amp; Data'!I$25,IF(AND(M302=3,L302=3),'Specification &amp; Data'!I$26)))))))</f>
        <v>-178.61733099000003</v>
      </c>
      <c r="V302" s="27">
        <f>'Specification &amp; Data'!B$46-Simulation!S302-Simulation!T302-Simulation!U302</f>
        <v>723.61844554280981</v>
      </c>
      <c r="W302" s="27">
        <f>Simulation!V302/Simulation!Y302</f>
        <v>1.2449648585873674</v>
      </c>
      <c r="X302" s="27">
        <f>60*Simulation!Q302/(2*'Specification &amp; Data'!B$15*PI())</f>
        <v>510.47149810013718</v>
      </c>
      <c r="Y302" s="27">
        <f>IF(L302=1,'Specification &amp; Data'!B$56,IF(L302=2,'Specification &amp; Data'!B$57,IF(L302=3,'Specification &amp; Data'!B$58)))</f>
        <v>581.23604096253996</v>
      </c>
      <c r="Z302" s="38">
        <f>Simulation!Y302*Simulation!Q302^2/(2*1000)</f>
        <v>53.578457521658208</v>
      </c>
    </row>
    <row r="303" spans="7:26">
      <c r="G303" s="44">
        <v>5300</v>
      </c>
      <c r="H303" s="44">
        <v>16.25</v>
      </c>
      <c r="I303" s="38">
        <f>Simulation!H303*746/1000</f>
        <v>12.1225</v>
      </c>
      <c r="J303" s="38">
        <f>60*1000*Simulation!I303/(2*PI()*Simulation!G303)</f>
        <v>21.841763746771711</v>
      </c>
      <c r="K303" s="37">
        <v>426.9</v>
      </c>
      <c r="L303" s="27">
        <f>IF(Q303&lt;='Specification &amp; Data'!I$7,1,IF(AND(Q303&gt;'Specification &amp; Data'!I$7,Q303&lt;='Specification &amp; Data'!I$8),2,IF(Q303&gt;'Specification &amp; Data'!I$8,3)))</f>
        <v>3</v>
      </c>
      <c r="M303" s="35">
        <v>3</v>
      </c>
      <c r="N303" s="33">
        <f t="shared" si="4"/>
        <v>298</v>
      </c>
      <c r="O303" s="27">
        <f>O302+(1/Simulation!Q303)</f>
        <v>44.259197884216491</v>
      </c>
      <c r="P303" s="38">
        <f>Simulation!Q303*3.6</f>
        <v>48.880578132934232</v>
      </c>
      <c r="Q303" s="38">
        <f>MIN('Specification &amp; Data'!I$9,SQRT(2*Simulation!R302+Simulation!Q302^2))</f>
        <v>13.577938370259508</v>
      </c>
      <c r="R303" s="38">
        <f>IF(Q303=Q302,0,IF(Q303&lt;&gt;Q302,Simulation!V303/Simulation!Y303))</f>
        <v>0</v>
      </c>
      <c r="S303" s="27">
        <f>'Specification &amp; Data'!B$11*'Specification &amp; Data'!B$21*'Specification &amp; Data'!B$23*(Simulation!Q303-'Specification &amp; Data'!B$22)^2/2</f>
        <v>60.54080077002466</v>
      </c>
      <c r="T303" s="27">
        <f>IF(AND(M303=1,L303=1),'Specification &amp; Data'!E$14,IF(AND(M303=1,L303=2),'Specification &amp; Data'!E$15,IF(AND(M303=1,L303=3),'Specification &amp; Data'!E$16,IF(AND(M303=2,L303=1),'Specification &amp; Data'!F$14,IF(AND(M303=2,L303=2),'Specification &amp; Data'!F$15,IF(AND(M303=2,L303=3),'Specification &amp; Data'!F$16,IF(AND(M303=3,L303=1),'Specification &amp; Data'!I$14,IF(AND(M303=3,L303=2),'Specification &amp; Data'!I$15,IF(AND(M303=3,L303=3),'Specification &amp; Data'!I$16)))))))))</f>
        <v>102.35950200000001</v>
      </c>
      <c r="U303" s="27">
        <f>IF(AND(M303=1,L303=1),'Specification &amp; Data'!E$24,IF(AND(M303=1,L303=2),'Specification &amp; Data'!E$25,IF(AND(M303=1,L303=3),'Specification &amp; Data'!E$26,IF(M303=2,0,IF(AND(M303=3,L303=1),'Specification &amp; Data'!I$24,IF(AND(M303=3,L303=2),'Specification &amp; Data'!I$25,IF(AND(M303=3,L303=3),'Specification &amp; Data'!I$26)))))))</f>
        <v>-178.61733099000003</v>
      </c>
      <c r="V303" s="27">
        <f>'Specification &amp; Data'!B$46-Simulation!S303-Simulation!T303-Simulation!U303</f>
        <v>723.61844554280981</v>
      </c>
      <c r="W303" s="27">
        <f>Simulation!V303/Simulation!Y303</f>
        <v>1.2449648585873674</v>
      </c>
      <c r="X303" s="27">
        <f>60*Simulation!Q303/(2*'Specification &amp; Data'!B$15*PI())</f>
        <v>510.47149810013718</v>
      </c>
      <c r="Y303" s="27">
        <f>IF(L303=1,'Specification &amp; Data'!B$56,IF(L303=2,'Specification &amp; Data'!B$57,IF(L303=3,'Specification &amp; Data'!B$58)))</f>
        <v>581.23604096253996</v>
      </c>
      <c r="Z303" s="38">
        <f>Simulation!Y303*Simulation!Q303^2/(2*1000)</f>
        <v>53.578457521658208</v>
      </c>
    </row>
    <row r="304" spans="7:26">
      <c r="G304" s="44">
        <v>5300</v>
      </c>
      <c r="H304" s="44">
        <v>16.25</v>
      </c>
      <c r="I304" s="38">
        <f>Simulation!H304*746/1000</f>
        <v>12.1225</v>
      </c>
      <c r="J304" s="38">
        <f>60*1000*Simulation!I304/(2*PI()*Simulation!G304)</f>
        <v>21.841763746771711</v>
      </c>
      <c r="K304" s="37">
        <v>426.9</v>
      </c>
      <c r="L304" s="27">
        <f>IF(Q304&lt;='Specification &amp; Data'!I$7,1,IF(AND(Q304&gt;'Specification &amp; Data'!I$7,Q304&lt;='Specification &amp; Data'!I$8),2,IF(Q304&gt;'Specification &amp; Data'!I$8,3)))</f>
        <v>3</v>
      </c>
      <c r="M304" s="35">
        <v>3</v>
      </c>
      <c r="N304" s="33">
        <f t="shared" si="4"/>
        <v>299</v>
      </c>
      <c r="O304" s="27">
        <f>O303+(1/Simulation!Q304)</f>
        <v>44.332846767628006</v>
      </c>
      <c r="P304" s="38">
        <f>Simulation!Q304*3.6</f>
        <v>48.880578132934232</v>
      </c>
      <c r="Q304" s="38">
        <f>MIN('Specification &amp; Data'!I$9,SQRT(2*Simulation!R303+Simulation!Q303^2))</f>
        <v>13.577938370259508</v>
      </c>
      <c r="R304" s="38">
        <f>IF(Q304=Q303,0,IF(Q304&lt;&gt;Q303,Simulation!V304/Simulation!Y304))</f>
        <v>0</v>
      </c>
      <c r="S304" s="27">
        <f>'Specification &amp; Data'!B$11*'Specification &amp; Data'!B$21*'Specification &amp; Data'!B$23*(Simulation!Q304-'Specification &amp; Data'!B$22)^2/2</f>
        <v>60.54080077002466</v>
      </c>
      <c r="T304" s="27">
        <f>IF(AND(M304=1,L304=1),'Specification &amp; Data'!E$14,IF(AND(M304=1,L304=2),'Specification &amp; Data'!E$15,IF(AND(M304=1,L304=3),'Specification &amp; Data'!E$16,IF(AND(M304=2,L304=1),'Specification &amp; Data'!F$14,IF(AND(M304=2,L304=2),'Specification &amp; Data'!F$15,IF(AND(M304=2,L304=3),'Specification &amp; Data'!F$16,IF(AND(M304=3,L304=1),'Specification &amp; Data'!I$14,IF(AND(M304=3,L304=2),'Specification &amp; Data'!I$15,IF(AND(M304=3,L304=3),'Specification &amp; Data'!I$16)))))))))</f>
        <v>102.35950200000001</v>
      </c>
      <c r="U304" s="27">
        <f>IF(AND(M304=1,L304=1),'Specification &amp; Data'!E$24,IF(AND(M304=1,L304=2),'Specification &amp; Data'!E$25,IF(AND(M304=1,L304=3),'Specification &amp; Data'!E$26,IF(M304=2,0,IF(AND(M304=3,L304=1),'Specification &amp; Data'!I$24,IF(AND(M304=3,L304=2),'Specification &amp; Data'!I$25,IF(AND(M304=3,L304=3),'Specification &amp; Data'!I$26)))))))</f>
        <v>-178.61733099000003</v>
      </c>
      <c r="V304" s="27">
        <f>'Specification &amp; Data'!B$46-Simulation!S304-Simulation!T304-Simulation!U304</f>
        <v>723.61844554280981</v>
      </c>
      <c r="W304" s="27">
        <f>Simulation!V304/Simulation!Y304</f>
        <v>1.2449648585873674</v>
      </c>
      <c r="X304" s="27">
        <f>60*Simulation!Q304/(2*'Specification &amp; Data'!B$15*PI())</f>
        <v>510.47149810013718</v>
      </c>
      <c r="Y304" s="27">
        <f>IF(L304=1,'Specification &amp; Data'!B$56,IF(L304=2,'Specification &amp; Data'!B$57,IF(L304=3,'Specification &amp; Data'!B$58)))</f>
        <v>581.23604096253996</v>
      </c>
      <c r="Z304" s="38">
        <f>Simulation!Y304*Simulation!Q304^2/(2*1000)</f>
        <v>53.578457521658208</v>
      </c>
    </row>
    <row r="305" spans="7:26">
      <c r="G305" s="44">
        <v>5400</v>
      </c>
      <c r="H305" s="44">
        <v>16.579999999999998</v>
      </c>
      <c r="I305" s="38">
        <f>Simulation!H305*746/1000</f>
        <v>12.368679999999998</v>
      </c>
      <c r="J305" s="38">
        <f>60*1000*Simulation!I305/(2*PI()*Simulation!G305)</f>
        <v>21.872628461354036</v>
      </c>
      <c r="K305" s="37">
        <v>426.9</v>
      </c>
      <c r="L305" s="27">
        <f>IF(Q305&lt;='Specification &amp; Data'!I$7,1,IF(AND(Q305&gt;'Specification &amp; Data'!I$7,Q305&lt;='Specification &amp; Data'!I$8),2,IF(Q305&gt;'Specification &amp; Data'!I$8,3)))</f>
        <v>3</v>
      </c>
      <c r="M305" s="35">
        <v>3</v>
      </c>
      <c r="N305" s="33">
        <f t="shared" si="4"/>
        <v>300</v>
      </c>
      <c r="O305" s="27">
        <f>O304+(1/Simulation!Q305)</f>
        <v>44.406495651039521</v>
      </c>
      <c r="P305" s="38">
        <f>Simulation!Q305*3.6</f>
        <v>48.880578132934232</v>
      </c>
      <c r="Q305" s="38">
        <f>MIN('Specification &amp; Data'!I$9,SQRT(2*Simulation!R304+Simulation!Q304^2))</f>
        <v>13.577938370259508</v>
      </c>
      <c r="R305" s="38">
        <f>IF(Q305=Q304,0,IF(Q305&lt;&gt;Q304,Simulation!V305/Simulation!Y305))</f>
        <v>0</v>
      </c>
      <c r="S305" s="27">
        <f>'Specification &amp; Data'!B$11*'Specification &amp; Data'!B$21*'Specification &amp; Data'!B$23*(Simulation!Q305-'Specification &amp; Data'!B$22)^2/2</f>
        <v>60.54080077002466</v>
      </c>
      <c r="T305" s="27">
        <f>IF(AND(M305=1,L305=1),'Specification &amp; Data'!E$14,IF(AND(M305=1,L305=2),'Specification &amp; Data'!E$15,IF(AND(M305=1,L305=3),'Specification &amp; Data'!E$16,IF(AND(M305=2,L305=1),'Specification &amp; Data'!F$14,IF(AND(M305=2,L305=2),'Specification &amp; Data'!F$15,IF(AND(M305=2,L305=3),'Specification &amp; Data'!F$16,IF(AND(M305=3,L305=1),'Specification &amp; Data'!I$14,IF(AND(M305=3,L305=2),'Specification &amp; Data'!I$15,IF(AND(M305=3,L305=3),'Specification &amp; Data'!I$16)))))))))</f>
        <v>102.35950200000001</v>
      </c>
      <c r="U305" s="27">
        <f>IF(AND(M305=1,L305=1),'Specification &amp; Data'!E$24,IF(AND(M305=1,L305=2),'Specification &amp; Data'!E$25,IF(AND(M305=1,L305=3),'Specification &amp; Data'!E$26,IF(M305=2,0,IF(AND(M305=3,L305=1),'Specification &amp; Data'!I$24,IF(AND(M305=3,L305=2),'Specification &amp; Data'!I$25,IF(AND(M305=3,L305=3),'Specification &amp; Data'!I$26)))))))</f>
        <v>-178.61733099000003</v>
      </c>
      <c r="V305" s="27">
        <f>'Specification &amp; Data'!B$46-Simulation!S305-Simulation!T305-Simulation!U305</f>
        <v>723.61844554280981</v>
      </c>
      <c r="W305" s="27">
        <f>Simulation!V305/Simulation!Y305</f>
        <v>1.2449648585873674</v>
      </c>
      <c r="X305" s="27">
        <f>60*Simulation!Q305/(2*'Specification &amp; Data'!B$15*PI())</f>
        <v>510.47149810013718</v>
      </c>
      <c r="Y305" s="27">
        <f>IF(L305=1,'Specification &amp; Data'!B$56,IF(L305=2,'Specification &amp; Data'!B$57,IF(L305=3,'Specification &amp; Data'!B$58)))</f>
        <v>581.23604096253996</v>
      </c>
      <c r="Z305" s="38">
        <f>Simulation!Y305*Simulation!Q305^2/(2*1000)</f>
        <v>53.578457521658208</v>
      </c>
    </row>
    <row r="306" spans="7:26">
      <c r="G306" s="44">
        <v>5400</v>
      </c>
      <c r="H306" s="44">
        <v>16.579999999999998</v>
      </c>
      <c r="I306" s="38">
        <f>Simulation!H306*746/1000</f>
        <v>12.368679999999998</v>
      </c>
      <c r="J306" s="38">
        <f>60*1000*Simulation!I306/(2*PI()*Simulation!G306)</f>
        <v>21.872628461354036</v>
      </c>
      <c r="K306" s="37">
        <v>504.47</v>
      </c>
      <c r="L306" s="27">
        <f>IF(Q306&lt;='Specification &amp; Data'!I$7,1,IF(AND(Q306&gt;'Specification &amp; Data'!I$7,Q306&lt;='Specification &amp; Data'!I$8),2,IF(Q306&gt;'Specification &amp; Data'!I$8,3)))</f>
        <v>3</v>
      </c>
      <c r="M306" s="35">
        <v>3</v>
      </c>
      <c r="N306" s="33">
        <f t="shared" si="4"/>
        <v>301</v>
      </c>
      <c r="O306" s="27">
        <f>O305+(1/Simulation!Q306)</f>
        <v>44.480144534451036</v>
      </c>
      <c r="P306" s="38">
        <f>Simulation!Q306*3.6</f>
        <v>48.880578132934232</v>
      </c>
      <c r="Q306" s="38">
        <f>MIN('Specification &amp; Data'!I$9,SQRT(2*Simulation!R305+Simulation!Q305^2))</f>
        <v>13.577938370259508</v>
      </c>
      <c r="R306" s="38">
        <f>IF(Q306=Q305,0,IF(Q306&lt;&gt;Q305,Simulation!V306/Simulation!Y306))</f>
        <v>0</v>
      </c>
      <c r="S306" s="27">
        <f>'Specification &amp; Data'!B$11*'Specification &amp; Data'!B$21*'Specification &amp; Data'!B$23*(Simulation!Q306-'Specification &amp; Data'!B$22)^2/2</f>
        <v>60.54080077002466</v>
      </c>
      <c r="T306" s="27">
        <f>IF(AND(M306=1,L306=1),'Specification &amp; Data'!E$14,IF(AND(M306=1,L306=2),'Specification &amp; Data'!E$15,IF(AND(M306=1,L306=3),'Specification &amp; Data'!E$16,IF(AND(M306=2,L306=1),'Specification &amp; Data'!F$14,IF(AND(M306=2,L306=2),'Specification &amp; Data'!F$15,IF(AND(M306=2,L306=3),'Specification &amp; Data'!F$16,IF(AND(M306=3,L306=1),'Specification &amp; Data'!I$14,IF(AND(M306=3,L306=2),'Specification &amp; Data'!I$15,IF(AND(M306=3,L306=3),'Specification &amp; Data'!I$16)))))))))</f>
        <v>102.35950200000001</v>
      </c>
      <c r="U306" s="27">
        <f>IF(AND(M306=1,L306=1),'Specification &amp; Data'!E$24,IF(AND(M306=1,L306=2),'Specification &amp; Data'!E$25,IF(AND(M306=1,L306=3),'Specification &amp; Data'!E$26,IF(M306=2,0,IF(AND(M306=3,L306=1),'Specification &amp; Data'!I$24,IF(AND(M306=3,L306=2),'Specification &amp; Data'!I$25,IF(AND(M306=3,L306=3),'Specification &amp; Data'!I$26)))))))</f>
        <v>-178.61733099000003</v>
      </c>
      <c r="V306" s="27">
        <f>'Specification &amp; Data'!B$46-Simulation!S306-Simulation!T306-Simulation!U306</f>
        <v>723.61844554280981</v>
      </c>
      <c r="W306" s="27">
        <f>Simulation!V306/Simulation!Y306</f>
        <v>1.2449648585873674</v>
      </c>
      <c r="X306" s="27">
        <f>60*Simulation!Q306/(2*'Specification &amp; Data'!B$15*PI())</f>
        <v>510.47149810013718</v>
      </c>
      <c r="Y306" s="27">
        <f>IF(L306=1,'Specification &amp; Data'!B$56,IF(L306=2,'Specification &amp; Data'!B$57,IF(L306=3,'Specification &amp; Data'!B$58)))</f>
        <v>581.23604096253996</v>
      </c>
      <c r="Z306" s="38">
        <f>Simulation!Y306*Simulation!Q306^2/(2*1000)</f>
        <v>53.578457521658208</v>
      </c>
    </row>
    <row r="307" spans="7:26">
      <c r="G307" s="44">
        <v>5400</v>
      </c>
      <c r="H307" s="44">
        <v>16.579999999999998</v>
      </c>
      <c r="I307" s="38">
        <f>Simulation!H307*746/1000</f>
        <v>12.368679999999998</v>
      </c>
      <c r="J307" s="38">
        <f>60*1000*Simulation!I307/(2*PI()*Simulation!G307)</f>
        <v>21.872628461354036</v>
      </c>
      <c r="K307" s="37">
        <v>504.47</v>
      </c>
      <c r="L307" s="27">
        <f>IF(Q307&lt;='Specification &amp; Data'!I$7,1,IF(AND(Q307&gt;'Specification &amp; Data'!I$7,Q307&lt;='Specification &amp; Data'!I$8),2,IF(Q307&gt;'Specification &amp; Data'!I$8,3)))</f>
        <v>3</v>
      </c>
      <c r="M307" s="35">
        <v>3</v>
      </c>
      <c r="N307" s="33">
        <f t="shared" si="4"/>
        <v>302</v>
      </c>
      <c r="O307" s="27">
        <f>O306+(1/Simulation!Q307)</f>
        <v>44.553793417862551</v>
      </c>
      <c r="P307" s="38">
        <f>Simulation!Q307*3.6</f>
        <v>48.880578132934232</v>
      </c>
      <c r="Q307" s="38">
        <f>MIN('Specification &amp; Data'!I$9,SQRT(2*Simulation!R306+Simulation!Q306^2))</f>
        <v>13.577938370259508</v>
      </c>
      <c r="R307" s="38">
        <f>IF(Q307=Q306,0,IF(Q307&lt;&gt;Q306,Simulation!V307/Simulation!Y307))</f>
        <v>0</v>
      </c>
      <c r="S307" s="27">
        <f>'Specification &amp; Data'!B$11*'Specification &amp; Data'!B$21*'Specification &amp; Data'!B$23*(Simulation!Q307-'Specification &amp; Data'!B$22)^2/2</f>
        <v>60.54080077002466</v>
      </c>
      <c r="T307" s="27">
        <f>IF(AND(M307=1,L307=1),'Specification &amp; Data'!E$14,IF(AND(M307=1,L307=2),'Specification &amp; Data'!E$15,IF(AND(M307=1,L307=3),'Specification &amp; Data'!E$16,IF(AND(M307=2,L307=1),'Specification &amp; Data'!F$14,IF(AND(M307=2,L307=2),'Specification &amp; Data'!F$15,IF(AND(M307=2,L307=3),'Specification &amp; Data'!F$16,IF(AND(M307=3,L307=1),'Specification &amp; Data'!I$14,IF(AND(M307=3,L307=2),'Specification &amp; Data'!I$15,IF(AND(M307=3,L307=3),'Specification &amp; Data'!I$16)))))))))</f>
        <v>102.35950200000001</v>
      </c>
      <c r="U307" s="27">
        <f>IF(AND(M307=1,L307=1),'Specification &amp; Data'!E$24,IF(AND(M307=1,L307=2),'Specification &amp; Data'!E$25,IF(AND(M307=1,L307=3),'Specification &amp; Data'!E$26,IF(M307=2,0,IF(AND(M307=3,L307=1),'Specification &amp; Data'!I$24,IF(AND(M307=3,L307=2),'Specification &amp; Data'!I$25,IF(AND(M307=3,L307=3),'Specification &amp; Data'!I$26)))))))</f>
        <v>-178.61733099000003</v>
      </c>
      <c r="V307" s="27">
        <f>'Specification &amp; Data'!B$46-Simulation!S307-Simulation!T307-Simulation!U307</f>
        <v>723.61844554280981</v>
      </c>
      <c r="W307" s="27">
        <f>Simulation!V307/Simulation!Y307</f>
        <v>1.2449648585873674</v>
      </c>
      <c r="X307" s="27">
        <f>60*Simulation!Q307/(2*'Specification &amp; Data'!B$15*PI())</f>
        <v>510.47149810013718</v>
      </c>
      <c r="Y307" s="27">
        <f>IF(L307=1,'Specification &amp; Data'!B$56,IF(L307=2,'Specification &amp; Data'!B$57,IF(L307=3,'Specification &amp; Data'!B$58)))</f>
        <v>581.23604096253996</v>
      </c>
      <c r="Z307" s="38">
        <f>Simulation!Y307*Simulation!Q307^2/(2*1000)</f>
        <v>53.578457521658208</v>
      </c>
    </row>
    <row r="308" spans="7:26">
      <c r="G308" s="44">
        <v>5500</v>
      </c>
      <c r="H308" s="44">
        <v>16.940000000000001</v>
      </c>
      <c r="I308" s="38">
        <f>Simulation!H308*746/1000</f>
        <v>12.637240000000002</v>
      </c>
      <c r="J308" s="38">
        <f>60*1000*Simulation!I308/(2*PI()*Simulation!G308)</f>
        <v>21.941227778603171</v>
      </c>
      <c r="K308" s="37">
        <v>504.47</v>
      </c>
      <c r="L308" s="27">
        <f>IF(Q308&lt;='Specification &amp; Data'!I$7,1,IF(AND(Q308&gt;'Specification &amp; Data'!I$7,Q308&lt;='Specification &amp; Data'!I$8),2,IF(Q308&gt;'Specification &amp; Data'!I$8,3)))</f>
        <v>3</v>
      </c>
      <c r="M308" s="35">
        <v>3</v>
      </c>
      <c r="N308" s="33">
        <f t="shared" si="4"/>
        <v>303</v>
      </c>
      <c r="O308" s="27">
        <f>O307+(1/Simulation!Q308)</f>
        <v>44.627442301274066</v>
      </c>
      <c r="P308" s="38">
        <f>Simulation!Q308*3.6</f>
        <v>48.880578132934232</v>
      </c>
      <c r="Q308" s="38">
        <f>MIN('Specification &amp; Data'!I$9,SQRT(2*Simulation!R307+Simulation!Q307^2))</f>
        <v>13.577938370259508</v>
      </c>
      <c r="R308" s="38">
        <f>IF(Q308=Q307,0,IF(Q308&lt;&gt;Q307,Simulation!V308/Simulation!Y308))</f>
        <v>0</v>
      </c>
      <c r="S308" s="27">
        <f>'Specification &amp; Data'!B$11*'Specification &amp; Data'!B$21*'Specification &amp; Data'!B$23*(Simulation!Q308-'Specification &amp; Data'!B$22)^2/2</f>
        <v>60.54080077002466</v>
      </c>
      <c r="T308" s="27">
        <f>IF(AND(M308=1,L308=1),'Specification &amp; Data'!E$14,IF(AND(M308=1,L308=2),'Specification &amp; Data'!E$15,IF(AND(M308=1,L308=3),'Specification &amp; Data'!E$16,IF(AND(M308=2,L308=1),'Specification &amp; Data'!F$14,IF(AND(M308=2,L308=2),'Specification &amp; Data'!F$15,IF(AND(M308=2,L308=3),'Specification &amp; Data'!F$16,IF(AND(M308=3,L308=1),'Specification &amp; Data'!I$14,IF(AND(M308=3,L308=2),'Specification &amp; Data'!I$15,IF(AND(M308=3,L308=3),'Specification &amp; Data'!I$16)))))))))</f>
        <v>102.35950200000001</v>
      </c>
      <c r="U308" s="27">
        <f>IF(AND(M308=1,L308=1),'Specification &amp; Data'!E$24,IF(AND(M308=1,L308=2),'Specification &amp; Data'!E$25,IF(AND(M308=1,L308=3),'Specification &amp; Data'!E$26,IF(M308=2,0,IF(AND(M308=3,L308=1),'Specification &amp; Data'!I$24,IF(AND(M308=3,L308=2),'Specification &amp; Data'!I$25,IF(AND(M308=3,L308=3),'Specification &amp; Data'!I$26)))))))</f>
        <v>-178.61733099000003</v>
      </c>
      <c r="V308" s="27">
        <f>'Specification &amp; Data'!B$46-Simulation!S308-Simulation!T308-Simulation!U308</f>
        <v>723.61844554280981</v>
      </c>
      <c r="W308" s="27">
        <f>Simulation!V308/Simulation!Y308</f>
        <v>1.2449648585873674</v>
      </c>
      <c r="X308" s="27">
        <f>60*Simulation!Q308/(2*'Specification &amp; Data'!B$15*PI())</f>
        <v>510.47149810013718</v>
      </c>
      <c r="Y308" s="27">
        <f>IF(L308=1,'Specification &amp; Data'!B$56,IF(L308=2,'Specification &amp; Data'!B$57,IF(L308=3,'Specification &amp; Data'!B$58)))</f>
        <v>581.23604096253996</v>
      </c>
      <c r="Z308" s="38">
        <f>Simulation!Y308*Simulation!Q308^2/(2*1000)</f>
        <v>53.578457521658208</v>
      </c>
    </row>
    <row r="309" spans="7:26">
      <c r="G309" s="44">
        <v>5500</v>
      </c>
      <c r="H309" s="44">
        <v>16.940000000000001</v>
      </c>
      <c r="I309" s="38">
        <f>Simulation!H309*746/1000</f>
        <v>12.637240000000002</v>
      </c>
      <c r="J309" s="38">
        <f>60*1000*Simulation!I309/(2*PI()*Simulation!G309)</f>
        <v>21.941227778603171</v>
      </c>
      <c r="K309" s="37">
        <v>504.47</v>
      </c>
      <c r="L309" s="27">
        <f>IF(Q309&lt;='Specification &amp; Data'!I$7,1,IF(AND(Q309&gt;'Specification &amp; Data'!I$7,Q309&lt;='Specification &amp; Data'!I$8),2,IF(Q309&gt;'Specification &amp; Data'!I$8,3)))</f>
        <v>3</v>
      </c>
      <c r="M309" s="35">
        <v>3</v>
      </c>
      <c r="N309" s="33">
        <f t="shared" si="4"/>
        <v>304</v>
      </c>
      <c r="O309" s="27">
        <f>O308+(1/Simulation!Q309)</f>
        <v>44.701091184685581</v>
      </c>
      <c r="P309" s="38">
        <f>Simulation!Q309*3.6</f>
        <v>48.880578132934232</v>
      </c>
      <c r="Q309" s="38">
        <f>MIN('Specification &amp; Data'!I$9,SQRT(2*Simulation!R308+Simulation!Q308^2))</f>
        <v>13.577938370259508</v>
      </c>
      <c r="R309" s="38">
        <f>IF(Q309=Q308,0,IF(Q309&lt;&gt;Q308,Simulation!V309/Simulation!Y309))</f>
        <v>0</v>
      </c>
      <c r="S309" s="27">
        <f>'Specification &amp; Data'!B$11*'Specification &amp; Data'!B$21*'Specification &amp; Data'!B$23*(Simulation!Q309-'Specification &amp; Data'!B$22)^2/2</f>
        <v>60.54080077002466</v>
      </c>
      <c r="T309" s="27">
        <f>IF(AND(M309=1,L309=1),'Specification &amp; Data'!E$14,IF(AND(M309=1,L309=2),'Specification &amp; Data'!E$15,IF(AND(M309=1,L309=3),'Specification &amp; Data'!E$16,IF(AND(M309=2,L309=1),'Specification &amp; Data'!F$14,IF(AND(M309=2,L309=2),'Specification &amp; Data'!F$15,IF(AND(M309=2,L309=3),'Specification &amp; Data'!F$16,IF(AND(M309=3,L309=1),'Specification &amp; Data'!I$14,IF(AND(M309=3,L309=2),'Specification &amp; Data'!I$15,IF(AND(M309=3,L309=3),'Specification &amp; Data'!I$16)))))))))</f>
        <v>102.35950200000001</v>
      </c>
      <c r="U309" s="27">
        <f>IF(AND(M309=1,L309=1),'Specification &amp; Data'!E$24,IF(AND(M309=1,L309=2),'Specification &amp; Data'!E$25,IF(AND(M309=1,L309=3),'Specification &amp; Data'!E$26,IF(M309=2,0,IF(AND(M309=3,L309=1),'Specification &amp; Data'!I$24,IF(AND(M309=3,L309=2),'Specification &amp; Data'!I$25,IF(AND(M309=3,L309=3),'Specification &amp; Data'!I$26)))))))</f>
        <v>-178.61733099000003</v>
      </c>
      <c r="V309" s="27">
        <f>'Specification &amp; Data'!B$46-Simulation!S309-Simulation!T309-Simulation!U309</f>
        <v>723.61844554280981</v>
      </c>
      <c r="W309" s="27">
        <f>Simulation!V309/Simulation!Y309</f>
        <v>1.2449648585873674</v>
      </c>
      <c r="X309" s="27">
        <f>60*Simulation!Q309/(2*'Specification &amp; Data'!B$15*PI())</f>
        <v>510.47149810013718</v>
      </c>
      <c r="Y309" s="27">
        <f>IF(L309=1,'Specification &amp; Data'!B$56,IF(L309=2,'Specification &amp; Data'!B$57,IF(L309=3,'Specification &amp; Data'!B$58)))</f>
        <v>581.23604096253996</v>
      </c>
      <c r="Z309" s="38">
        <f>Simulation!Y309*Simulation!Q309^2/(2*1000)</f>
        <v>53.578457521658208</v>
      </c>
    </row>
    <row r="310" spans="7:26">
      <c r="G310" s="44">
        <v>5500</v>
      </c>
      <c r="H310" s="44">
        <v>16.940000000000001</v>
      </c>
      <c r="I310" s="38">
        <f>Simulation!H310*746/1000</f>
        <v>12.637240000000002</v>
      </c>
      <c r="J310" s="38">
        <f>60*1000*Simulation!I310/(2*PI()*Simulation!G310)</f>
        <v>21.941227778603171</v>
      </c>
      <c r="K310" s="37">
        <v>457.1</v>
      </c>
      <c r="L310" s="27">
        <f>IF(Q310&lt;='Specification &amp; Data'!I$7,1,IF(AND(Q310&gt;'Specification &amp; Data'!I$7,Q310&lt;='Specification &amp; Data'!I$8),2,IF(Q310&gt;'Specification &amp; Data'!I$8,3)))</f>
        <v>3</v>
      </c>
      <c r="M310" s="35">
        <v>3</v>
      </c>
      <c r="N310" s="33">
        <f t="shared" si="4"/>
        <v>305</v>
      </c>
      <c r="O310" s="27">
        <f>O309+(1/Simulation!Q310)</f>
        <v>44.774740068097096</v>
      </c>
      <c r="P310" s="38">
        <f>Simulation!Q310*3.6</f>
        <v>48.880578132934232</v>
      </c>
      <c r="Q310" s="38">
        <f>MIN('Specification &amp; Data'!I$9,SQRT(2*Simulation!R309+Simulation!Q309^2))</f>
        <v>13.577938370259508</v>
      </c>
      <c r="R310" s="38">
        <f>IF(Q310=Q309,0,IF(Q310&lt;&gt;Q309,Simulation!V310/Simulation!Y310))</f>
        <v>0</v>
      </c>
      <c r="S310" s="27">
        <f>'Specification &amp; Data'!B$11*'Specification &amp; Data'!B$21*'Specification &amp; Data'!B$23*(Simulation!Q310-'Specification &amp; Data'!B$22)^2/2</f>
        <v>60.54080077002466</v>
      </c>
      <c r="T310" s="27">
        <f>IF(AND(M310=1,L310=1),'Specification &amp; Data'!E$14,IF(AND(M310=1,L310=2),'Specification &amp; Data'!E$15,IF(AND(M310=1,L310=3),'Specification &amp; Data'!E$16,IF(AND(M310=2,L310=1),'Specification &amp; Data'!F$14,IF(AND(M310=2,L310=2),'Specification &amp; Data'!F$15,IF(AND(M310=2,L310=3),'Specification &amp; Data'!F$16,IF(AND(M310=3,L310=1),'Specification &amp; Data'!I$14,IF(AND(M310=3,L310=2),'Specification &amp; Data'!I$15,IF(AND(M310=3,L310=3),'Specification &amp; Data'!I$16)))))))))</f>
        <v>102.35950200000001</v>
      </c>
      <c r="U310" s="27">
        <f>IF(AND(M310=1,L310=1),'Specification &amp; Data'!E$24,IF(AND(M310=1,L310=2),'Specification &amp; Data'!E$25,IF(AND(M310=1,L310=3),'Specification &amp; Data'!E$26,IF(M310=2,0,IF(AND(M310=3,L310=1),'Specification &amp; Data'!I$24,IF(AND(M310=3,L310=2),'Specification &amp; Data'!I$25,IF(AND(M310=3,L310=3),'Specification &amp; Data'!I$26)))))))</f>
        <v>-178.61733099000003</v>
      </c>
      <c r="V310" s="27">
        <f>'Specification &amp; Data'!B$46-Simulation!S310-Simulation!T310-Simulation!U310</f>
        <v>723.61844554280981</v>
      </c>
      <c r="W310" s="27">
        <f>Simulation!V310/Simulation!Y310</f>
        <v>1.2449648585873674</v>
      </c>
      <c r="X310" s="27">
        <f>60*Simulation!Q310/(2*'Specification &amp; Data'!B$15*PI())</f>
        <v>510.47149810013718</v>
      </c>
      <c r="Y310" s="27">
        <f>IF(L310=1,'Specification &amp; Data'!B$56,IF(L310=2,'Specification &amp; Data'!B$57,IF(L310=3,'Specification &amp; Data'!B$58)))</f>
        <v>581.23604096253996</v>
      </c>
      <c r="Z310" s="38">
        <f>Simulation!Y310*Simulation!Q310^2/(2*1000)</f>
        <v>53.578457521658208</v>
      </c>
    </row>
    <row r="311" spans="7:26">
      <c r="G311" s="44">
        <v>5600</v>
      </c>
      <c r="H311" s="44">
        <v>17.05</v>
      </c>
      <c r="I311" s="38">
        <f>Simulation!H311*746/1000</f>
        <v>12.7193</v>
      </c>
      <c r="J311" s="38">
        <f>60*1000*Simulation!I311/(2*PI()*Simulation!G311)</f>
        <v>21.689351439307977</v>
      </c>
      <c r="K311" s="37">
        <v>457.1</v>
      </c>
      <c r="L311" s="27">
        <f>IF(Q311&lt;='Specification &amp; Data'!I$7,1,IF(AND(Q311&gt;'Specification &amp; Data'!I$7,Q311&lt;='Specification &amp; Data'!I$8),2,IF(Q311&gt;'Specification &amp; Data'!I$8,3)))</f>
        <v>3</v>
      </c>
      <c r="M311" s="35">
        <v>3</v>
      </c>
      <c r="N311" s="33">
        <f t="shared" si="4"/>
        <v>306</v>
      </c>
      <c r="O311" s="27">
        <f>O310+(1/Simulation!Q311)</f>
        <v>44.84838895150861</v>
      </c>
      <c r="P311" s="38">
        <f>Simulation!Q311*3.6</f>
        <v>48.880578132934232</v>
      </c>
      <c r="Q311" s="38">
        <f>MIN('Specification &amp; Data'!I$9,SQRT(2*Simulation!R310+Simulation!Q310^2))</f>
        <v>13.577938370259508</v>
      </c>
      <c r="R311" s="38">
        <f>IF(Q311=Q310,0,IF(Q311&lt;&gt;Q310,Simulation!V311/Simulation!Y311))</f>
        <v>0</v>
      </c>
      <c r="S311" s="27">
        <f>'Specification &amp; Data'!B$11*'Specification &amp; Data'!B$21*'Specification &amp; Data'!B$23*(Simulation!Q311-'Specification &amp; Data'!B$22)^2/2</f>
        <v>60.54080077002466</v>
      </c>
      <c r="T311" s="27">
        <f>IF(AND(M311=1,L311=1),'Specification &amp; Data'!E$14,IF(AND(M311=1,L311=2),'Specification &amp; Data'!E$15,IF(AND(M311=1,L311=3),'Specification &amp; Data'!E$16,IF(AND(M311=2,L311=1),'Specification &amp; Data'!F$14,IF(AND(M311=2,L311=2),'Specification &amp; Data'!F$15,IF(AND(M311=2,L311=3),'Specification &amp; Data'!F$16,IF(AND(M311=3,L311=1),'Specification &amp; Data'!I$14,IF(AND(M311=3,L311=2),'Specification &amp; Data'!I$15,IF(AND(M311=3,L311=3),'Specification &amp; Data'!I$16)))))))))</f>
        <v>102.35950200000001</v>
      </c>
      <c r="U311" s="27">
        <f>IF(AND(M311=1,L311=1),'Specification &amp; Data'!E$24,IF(AND(M311=1,L311=2),'Specification &amp; Data'!E$25,IF(AND(M311=1,L311=3),'Specification &amp; Data'!E$26,IF(M311=2,0,IF(AND(M311=3,L311=1),'Specification &amp; Data'!I$24,IF(AND(M311=3,L311=2),'Specification &amp; Data'!I$25,IF(AND(M311=3,L311=3),'Specification &amp; Data'!I$26)))))))</f>
        <v>-178.61733099000003</v>
      </c>
      <c r="V311" s="27">
        <f>'Specification &amp; Data'!B$46-Simulation!S311-Simulation!T311-Simulation!U311</f>
        <v>723.61844554280981</v>
      </c>
      <c r="W311" s="27">
        <f>Simulation!V311/Simulation!Y311</f>
        <v>1.2449648585873674</v>
      </c>
      <c r="X311" s="27">
        <f>60*Simulation!Q311/(2*'Specification &amp; Data'!B$15*PI())</f>
        <v>510.47149810013718</v>
      </c>
      <c r="Y311" s="27">
        <f>IF(L311=1,'Specification &amp; Data'!B$56,IF(L311=2,'Specification &amp; Data'!B$57,IF(L311=3,'Specification &amp; Data'!B$58)))</f>
        <v>581.23604096253996</v>
      </c>
      <c r="Z311" s="38">
        <f>Simulation!Y311*Simulation!Q311^2/(2*1000)</f>
        <v>53.578457521658208</v>
      </c>
    </row>
    <row r="312" spans="7:26">
      <c r="G312" s="44">
        <v>5600</v>
      </c>
      <c r="H312" s="44">
        <v>17.05</v>
      </c>
      <c r="I312" s="38">
        <f>Simulation!H312*746/1000</f>
        <v>12.7193</v>
      </c>
      <c r="J312" s="38">
        <f>60*1000*Simulation!I312/(2*PI()*Simulation!G312)</f>
        <v>21.689351439307977</v>
      </c>
      <c r="K312" s="37">
        <v>457.1</v>
      </c>
      <c r="L312" s="27">
        <f>IF(Q312&lt;='Specification &amp; Data'!I$7,1,IF(AND(Q312&gt;'Specification &amp; Data'!I$7,Q312&lt;='Specification &amp; Data'!I$8),2,IF(Q312&gt;'Specification &amp; Data'!I$8,3)))</f>
        <v>3</v>
      </c>
      <c r="M312" s="35">
        <v>3</v>
      </c>
      <c r="N312" s="33">
        <f t="shared" si="4"/>
        <v>307</v>
      </c>
      <c r="O312" s="27">
        <f>O311+(1/Simulation!Q312)</f>
        <v>44.922037834920125</v>
      </c>
      <c r="P312" s="38">
        <f>Simulation!Q312*3.6</f>
        <v>48.880578132934232</v>
      </c>
      <c r="Q312" s="38">
        <f>MIN('Specification &amp; Data'!I$9,SQRT(2*Simulation!R311+Simulation!Q311^2))</f>
        <v>13.577938370259508</v>
      </c>
      <c r="R312" s="38">
        <f>IF(Q312=Q311,0,IF(Q312&lt;&gt;Q311,Simulation!V312/Simulation!Y312))</f>
        <v>0</v>
      </c>
      <c r="S312" s="27">
        <f>'Specification &amp; Data'!B$11*'Specification &amp; Data'!B$21*'Specification &amp; Data'!B$23*(Simulation!Q312-'Specification &amp; Data'!B$22)^2/2</f>
        <v>60.54080077002466</v>
      </c>
      <c r="T312" s="27">
        <f>IF(AND(M312=1,L312=1),'Specification &amp; Data'!E$14,IF(AND(M312=1,L312=2),'Specification &amp; Data'!E$15,IF(AND(M312=1,L312=3),'Specification &amp; Data'!E$16,IF(AND(M312=2,L312=1),'Specification &amp; Data'!F$14,IF(AND(M312=2,L312=2),'Specification &amp; Data'!F$15,IF(AND(M312=2,L312=3),'Specification &amp; Data'!F$16,IF(AND(M312=3,L312=1),'Specification &amp; Data'!I$14,IF(AND(M312=3,L312=2),'Specification &amp; Data'!I$15,IF(AND(M312=3,L312=3),'Specification &amp; Data'!I$16)))))))))</f>
        <v>102.35950200000001</v>
      </c>
      <c r="U312" s="27">
        <f>IF(AND(M312=1,L312=1),'Specification &amp; Data'!E$24,IF(AND(M312=1,L312=2),'Specification &amp; Data'!E$25,IF(AND(M312=1,L312=3),'Specification &amp; Data'!E$26,IF(M312=2,0,IF(AND(M312=3,L312=1),'Specification &amp; Data'!I$24,IF(AND(M312=3,L312=2),'Specification &amp; Data'!I$25,IF(AND(M312=3,L312=3),'Specification &amp; Data'!I$26)))))))</f>
        <v>-178.61733099000003</v>
      </c>
      <c r="V312" s="27">
        <f>'Specification &amp; Data'!B$46-Simulation!S312-Simulation!T312-Simulation!U312</f>
        <v>723.61844554280981</v>
      </c>
      <c r="W312" s="27">
        <f>Simulation!V312/Simulation!Y312</f>
        <v>1.2449648585873674</v>
      </c>
      <c r="X312" s="27">
        <f>60*Simulation!Q312/(2*'Specification &amp; Data'!B$15*PI())</f>
        <v>510.47149810013718</v>
      </c>
      <c r="Y312" s="27">
        <f>IF(L312=1,'Specification &amp; Data'!B$56,IF(L312=2,'Specification &amp; Data'!B$57,IF(L312=3,'Specification &amp; Data'!B$58)))</f>
        <v>581.23604096253996</v>
      </c>
      <c r="Z312" s="38">
        <f>Simulation!Y312*Simulation!Q312^2/(2*1000)</f>
        <v>53.578457521658208</v>
      </c>
    </row>
    <row r="313" spans="7:26">
      <c r="G313" s="44">
        <v>5700</v>
      </c>
      <c r="H313" s="44">
        <v>17.11</v>
      </c>
      <c r="I313" s="38">
        <f>Simulation!H313*746/1000</f>
        <v>12.764059999999999</v>
      </c>
      <c r="J313" s="38">
        <f>60*1000*Simulation!I313/(2*PI()*Simulation!G313)</f>
        <v>21.383823609700396</v>
      </c>
      <c r="K313" s="37">
        <v>457.1</v>
      </c>
      <c r="L313" s="27">
        <f>IF(Q313&lt;='Specification &amp; Data'!I$7,1,IF(AND(Q313&gt;'Specification &amp; Data'!I$7,Q313&lt;='Specification &amp; Data'!I$8),2,IF(Q313&gt;'Specification &amp; Data'!I$8,3)))</f>
        <v>3</v>
      </c>
      <c r="M313" s="35">
        <v>3</v>
      </c>
      <c r="N313" s="33">
        <f t="shared" si="4"/>
        <v>308</v>
      </c>
      <c r="O313" s="27">
        <f>O312+(1/Simulation!Q313)</f>
        <v>44.99568671833164</v>
      </c>
      <c r="P313" s="38">
        <f>Simulation!Q313*3.6</f>
        <v>48.880578132934232</v>
      </c>
      <c r="Q313" s="38">
        <f>MIN('Specification &amp; Data'!I$9,SQRT(2*Simulation!R312+Simulation!Q312^2))</f>
        <v>13.577938370259508</v>
      </c>
      <c r="R313" s="38">
        <f>IF(Q313=Q312,0,IF(Q313&lt;&gt;Q312,Simulation!V313/Simulation!Y313))</f>
        <v>0</v>
      </c>
      <c r="S313" s="27">
        <f>'Specification &amp; Data'!B$11*'Specification &amp; Data'!B$21*'Specification &amp; Data'!B$23*(Simulation!Q313-'Specification &amp; Data'!B$22)^2/2</f>
        <v>60.54080077002466</v>
      </c>
      <c r="T313" s="27">
        <f>IF(AND(M313=1,L313=1),'Specification &amp; Data'!E$14,IF(AND(M313=1,L313=2),'Specification &amp; Data'!E$15,IF(AND(M313=1,L313=3),'Specification &amp; Data'!E$16,IF(AND(M313=2,L313=1),'Specification &amp; Data'!F$14,IF(AND(M313=2,L313=2),'Specification &amp; Data'!F$15,IF(AND(M313=2,L313=3),'Specification &amp; Data'!F$16,IF(AND(M313=3,L313=1),'Specification &amp; Data'!I$14,IF(AND(M313=3,L313=2),'Specification &amp; Data'!I$15,IF(AND(M313=3,L313=3),'Specification &amp; Data'!I$16)))))))))</f>
        <v>102.35950200000001</v>
      </c>
      <c r="U313" s="27">
        <f>IF(AND(M313=1,L313=1),'Specification &amp; Data'!E$24,IF(AND(M313=1,L313=2),'Specification &amp; Data'!E$25,IF(AND(M313=1,L313=3),'Specification &amp; Data'!E$26,IF(M313=2,0,IF(AND(M313=3,L313=1),'Specification &amp; Data'!I$24,IF(AND(M313=3,L313=2),'Specification &amp; Data'!I$25,IF(AND(M313=3,L313=3),'Specification &amp; Data'!I$26)))))))</f>
        <v>-178.61733099000003</v>
      </c>
      <c r="V313" s="27">
        <f>'Specification &amp; Data'!B$46-Simulation!S313-Simulation!T313-Simulation!U313</f>
        <v>723.61844554280981</v>
      </c>
      <c r="W313" s="27">
        <f>Simulation!V313/Simulation!Y313</f>
        <v>1.2449648585873674</v>
      </c>
      <c r="X313" s="27">
        <f>60*Simulation!Q313/(2*'Specification &amp; Data'!B$15*PI())</f>
        <v>510.47149810013718</v>
      </c>
      <c r="Y313" s="27">
        <f>IF(L313=1,'Specification &amp; Data'!B$56,IF(L313=2,'Specification &amp; Data'!B$57,IF(L313=3,'Specification &amp; Data'!B$58)))</f>
        <v>581.23604096253996</v>
      </c>
      <c r="Z313" s="38">
        <f>Simulation!Y313*Simulation!Q313^2/(2*1000)</f>
        <v>53.578457521658208</v>
      </c>
    </row>
    <row r="314" spans="7:26">
      <c r="G314" s="44">
        <v>5700</v>
      </c>
      <c r="H314" s="44">
        <v>17.11</v>
      </c>
      <c r="I314" s="38">
        <f>Simulation!H314*746/1000</f>
        <v>12.764059999999999</v>
      </c>
      <c r="J314" s="38">
        <f>60*1000*Simulation!I314/(2*PI()*Simulation!G314)</f>
        <v>21.383823609700396</v>
      </c>
      <c r="K314" s="37">
        <v>457.1</v>
      </c>
      <c r="L314" s="27">
        <f>IF(Q314&lt;='Specification &amp; Data'!I$7,1,IF(AND(Q314&gt;'Specification &amp; Data'!I$7,Q314&lt;='Specification &amp; Data'!I$8),2,IF(Q314&gt;'Specification &amp; Data'!I$8,3)))</f>
        <v>3</v>
      </c>
      <c r="M314" s="35">
        <v>3</v>
      </c>
      <c r="N314" s="33">
        <f t="shared" si="4"/>
        <v>309</v>
      </c>
      <c r="O314" s="27">
        <f>O313+(1/Simulation!Q314)</f>
        <v>45.069335601743155</v>
      </c>
      <c r="P314" s="38">
        <f>Simulation!Q314*3.6</f>
        <v>48.880578132934232</v>
      </c>
      <c r="Q314" s="38">
        <f>MIN('Specification &amp; Data'!I$9,SQRT(2*Simulation!R313+Simulation!Q313^2))</f>
        <v>13.577938370259508</v>
      </c>
      <c r="R314" s="38">
        <f>IF(Q314=Q313,0,IF(Q314&lt;&gt;Q313,Simulation!V314/Simulation!Y314))</f>
        <v>0</v>
      </c>
      <c r="S314" s="27">
        <f>'Specification &amp; Data'!B$11*'Specification &amp; Data'!B$21*'Specification &amp; Data'!B$23*(Simulation!Q314-'Specification &amp; Data'!B$22)^2/2</f>
        <v>60.54080077002466</v>
      </c>
      <c r="T314" s="27">
        <f>IF(AND(M314=1,L314=1),'Specification &amp; Data'!E$14,IF(AND(M314=1,L314=2),'Specification &amp; Data'!E$15,IF(AND(M314=1,L314=3),'Specification &amp; Data'!E$16,IF(AND(M314=2,L314=1),'Specification &amp; Data'!F$14,IF(AND(M314=2,L314=2),'Specification &amp; Data'!F$15,IF(AND(M314=2,L314=3),'Specification &amp; Data'!F$16,IF(AND(M314=3,L314=1),'Specification &amp; Data'!I$14,IF(AND(M314=3,L314=2),'Specification &amp; Data'!I$15,IF(AND(M314=3,L314=3),'Specification &amp; Data'!I$16)))))))))</f>
        <v>102.35950200000001</v>
      </c>
      <c r="U314" s="27">
        <f>IF(AND(M314=1,L314=1),'Specification &amp; Data'!E$24,IF(AND(M314=1,L314=2),'Specification &amp; Data'!E$25,IF(AND(M314=1,L314=3),'Specification &amp; Data'!E$26,IF(M314=2,0,IF(AND(M314=3,L314=1),'Specification &amp; Data'!I$24,IF(AND(M314=3,L314=2),'Specification &amp; Data'!I$25,IF(AND(M314=3,L314=3),'Specification &amp; Data'!I$26)))))))</f>
        <v>-178.61733099000003</v>
      </c>
      <c r="V314" s="27">
        <f>'Specification &amp; Data'!B$46-Simulation!S314-Simulation!T314-Simulation!U314</f>
        <v>723.61844554280981</v>
      </c>
      <c r="W314" s="27">
        <f>Simulation!V314/Simulation!Y314</f>
        <v>1.2449648585873674</v>
      </c>
      <c r="X314" s="27">
        <f>60*Simulation!Q314/(2*'Specification &amp; Data'!B$15*PI())</f>
        <v>510.47149810013718</v>
      </c>
      <c r="Y314" s="27">
        <f>IF(L314=1,'Specification &amp; Data'!B$56,IF(L314=2,'Specification &amp; Data'!B$57,IF(L314=3,'Specification &amp; Data'!B$58)))</f>
        <v>581.23604096253996</v>
      </c>
      <c r="Z314" s="38">
        <f>Simulation!Y314*Simulation!Q314^2/(2*1000)</f>
        <v>53.578457521658208</v>
      </c>
    </row>
    <row r="315" spans="7:26">
      <c r="G315" s="44">
        <v>5700</v>
      </c>
      <c r="H315" s="44">
        <v>17.11</v>
      </c>
      <c r="I315" s="38">
        <f>Simulation!H315*746/1000</f>
        <v>12.764059999999999</v>
      </c>
      <c r="J315" s="38">
        <f>60*1000*Simulation!I315/(2*PI()*Simulation!G315)</f>
        <v>21.383823609700396</v>
      </c>
      <c r="K315" s="37">
        <v>457.1</v>
      </c>
      <c r="L315" s="27">
        <f>IF(Q315&lt;='Specification &amp; Data'!I$7,1,IF(AND(Q315&gt;'Specification &amp; Data'!I$7,Q315&lt;='Specification &amp; Data'!I$8),2,IF(Q315&gt;'Specification &amp; Data'!I$8,3)))</f>
        <v>3</v>
      </c>
      <c r="M315" s="35">
        <v>3</v>
      </c>
      <c r="N315" s="33">
        <f>N314+1</f>
        <v>310</v>
      </c>
      <c r="O315" s="27">
        <f>O314+(1/Simulation!Q315)</f>
        <v>45.14298448515467</v>
      </c>
      <c r="P315" s="38">
        <f>Simulation!Q315*3.6</f>
        <v>48.880578132934232</v>
      </c>
      <c r="Q315" s="38">
        <f>MIN('Specification &amp; Data'!I$9,SQRT(2*Simulation!R314+Simulation!Q314^2))</f>
        <v>13.577938370259508</v>
      </c>
      <c r="R315" s="38">
        <f>IF(Q315=Q314,0,IF(Q315&lt;&gt;Q314,Simulation!V315/Simulation!Y315))</f>
        <v>0</v>
      </c>
      <c r="S315" s="27">
        <f>'Specification &amp; Data'!B$11*'Specification &amp; Data'!B$21*'Specification &amp; Data'!B$23*(Simulation!Q315-'Specification &amp; Data'!B$22)^2/2</f>
        <v>60.54080077002466</v>
      </c>
      <c r="T315" s="27">
        <f>IF(AND(M315=1,L315=1),'Specification &amp; Data'!E$14,IF(AND(M315=1,L315=2),'Specification &amp; Data'!E$15,IF(AND(M315=1,L315=3),'Specification &amp; Data'!E$16,IF(AND(M315=2,L315=1),'Specification &amp; Data'!F$14,IF(AND(M315=2,L315=2),'Specification &amp; Data'!F$15,IF(AND(M315=2,L315=3),'Specification &amp; Data'!F$16,IF(AND(M315=3,L315=1),'Specification &amp; Data'!I$14,IF(AND(M315=3,L315=2),'Specification &amp; Data'!I$15,IF(AND(M315=3,L315=3),'Specification &amp; Data'!I$16)))))))))</f>
        <v>102.35950200000001</v>
      </c>
      <c r="U315" s="27">
        <f>IF(AND(M315=1,L315=1),'Specification &amp; Data'!E$24,IF(AND(M315=1,L315=2),'Specification &amp; Data'!E$25,IF(AND(M315=1,L315=3),'Specification &amp; Data'!E$26,IF(M315=2,0,IF(AND(M315=3,L315=1),'Specification &amp; Data'!I$24,IF(AND(M315=3,L315=2),'Specification &amp; Data'!I$25,IF(AND(M315=3,L315=3),'Specification &amp; Data'!I$26)))))))</f>
        <v>-178.61733099000003</v>
      </c>
      <c r="V315" s="27">
        <f>'Specification &amp; Data'!B$46-Simulation!S315-Simulation!T315-Simulation!U315</f>
        <v>723.61844554280981</v>
      </c>
      <c r="W315" s="27">
        <f>Simulation!V315/Simulation!Y315</f>
        <v>1.2449648585873674</v>
      </c>
      <c r="X315" s="27">
        <f>60*Simulation!Q315/(2*'Specification &amp; Data'!B$15*PI())</f>
        <v>510.47149810013718</v>
      </c>
      <c r="Y315" s="27">
        <f>IF(L315=1,'Specification &amp; Data'!B$56,IF(L315=2,'Specification &amp; Data'!B$57,IF(L315=3,'Specification &amp; Data'!B$58)))</f>
        <v>581.23604096253996</v>
      </c>
      <c r="Z315" s="38">
        <f>Simulation!Y315*Simulation!Q315^2/(2*1000)</f>
        <v>53.578457521658208</v>
      </c>
    </row>
    <row r="316" spans="7:26">
      <c r="G316" s="44">
        <v>5700</v>
      </c>
      <c r="H316" s="44">
        <v>17.11</v>
      </c>
      <c r="I316" s="38">
        <f>Simulation!H316*746/1000</f>
        <v>12.764059999999999</v>
      </c>
      <c r="J316" s="38">
        <f>60*1000*Simulation!I316/(2*PI()*Simulation!G316)</f>
        <v>21.383823609700396</v>
      </c>
      <c r="K316" s="37">
        <v>457.1</v>
      </c>
      <c r="L316" s="27">
        <f>IF(Q316&lt;='Specification &amp; Data'!I$7,1,IF(AND(Q316&gt;'Specification &amp; Data'!I$7,Q316&lt;='Specification &amp; Data'!I$8),2,IF(Q316&gt;'Specification &amp; Data'!I$8,3)))</f>
        <v>3</v>
      </c>
      <c r="M316" s="35">
        <v>3</v>
      </c>
      <c r="N316" s="33">
        <f t="shared" ref="N316:N319" si="5">N315+1</f>
        <v>311</v>
      </c>
      <c r="O316" s="27">
        <f>O315+(1/Simulation!Q316)</f>
        <v>45.216633368566185</v>
      </c>
      <c r="P316" s="38">
        <f>Simulation!Q316*3.6</f>
        <v>48.880578132934232</v>
      </c>
      <c r="Q316" s="38">
        <f>MIN('Specification &amp; Data'!I$9,SQRT(2*Simulation!R315+Simulation!Q315^2))</f>
        <v>13.577938370259508</v>
      </c>
      <c r="R316" s="38">
        <f>IF(Q316=Q315,0,IF(Q316&lt;&gt;Q315,Simulation!V316/Simulation!Y316))</f>
        <v>0</v>
      </c>
      <c r="S316" s="27">
        <f>'Specification &amp; Data'!B$11*'Specification &amp; Data'!B$21*'Specification &amp; Data'!B$23*(Simulation!Q316-'Specification &amp; Data'!B$22)^2/2</f>
        <v>60.54080077002466</v>
      </c>
      <c r="T316" s="27">
        <f>IF(AND(M316=1,L316=1),'Specification &amp; Data'!E$14,IF(AND(M316=1,L316=2),'Specification &amp; Data'!E$15,IF(AND(M316=1,L316=3),'Specification &amp; Data'!E$16,IF(AND(M316=2,L316=1),'Specification &amp; Data'!F$14,IF(AND(M316=2,L316=2),'Specification &amp; Data'!F$15,IF(AND(M316=2,L316=3),'Specification &amp; Data'!F$16,IF(AND(M316=3,L316=1),'Specification &amp; Data'!I$14,IF(AND(M316=3,L316=2),'Specification &amp; Data'!I$15,IF(AND(M316=3,L316=3),'Specification &amp; Data'!I$16)))))))))</f>
        <v>102.35950200000001</v>
      </c>
      <c r="U316" s="27">
        <f>IF(AND(M316=1,L316=1),'Specification &amp; Data'!E$24,IF(AND(M316=1,L316=2),'Specification &amp; Data'!E$25,IF(AND(M316=1,L316=3),'Specification &amp; Data'!E$26,IF(M316=2,0,IF(AND(M316=3,L316=1),'Specification &amp; Data'!I$24,IF(AND(M316=3,L316=2),'Specification &amp; Data'!I$25,IF(AND(M316=3,L316=3),'Specification &amp; Data'!I$26)))))))</f>
        <v>-178.61733099000003</v>
      </c>
      <c r="V316" s="27">
        <f>'Specification &amp; Data'!B$46-Simulation!S316-Simulation!T316-Simulation!U316</f>
        <v>723.61844554280981</v>
      </c>
      <c r="W316" s="27">
        <f>Simulation!V316/Simulation!Y316</f>
        <v>1.2449648585873674</v>
      </c>
      <c r="X316" s="27">
        <f>60*Simulation!Q316/(2*'Specification &amp; Data'!B$15*PI())</f>
        <v>510.47149810013718</v>
      </c>
      <c r="Y316" s="27">
        <f>IF(L316=1,'Specification &amp; Data'!B$56,IF(L316=2,'Specification &amp; Data'!B$57,IF(L316=3,'Specification &amp; Data'!B$58)))</f>
        <v>581.23604096253996</v>
      </c>
      <c r="Z316" s="38">
        <f>Simulation!Y316*Simulation!Q316^2/(2*1000)</f>
        <v>53.578457521658208</v>
      </c>
    </row>
    <row r="317" spans="7:26">
      <c r="G317" s="44">
        <v>5800</v>
      </c>
      <c r="H317" s="44">
        <v>17.18</v>
      </c>
      <c r="I317" s="38">
        <f>Simulation!H317*746/1000</f>
        <v>12.816280000000001</v>
      </c>
      <c r="J317" s="38">
        <f>60*1000*Simulation!I317/(2*PI()*Simulation!G317)</f>
        <v>21.101113593618585</v>
      </c>
      <c r="K317" s="37">
        <v>457.1</v>
      </c>
      <c r="L317" s="27">
        <f>IF(Q317&lt;='Specification &amp; Data'!I$7,1,IF(AND(Q317&gt;'Specification &amp; Data'!I$7,Q317&lt;='Specification &amp; Data'!I$8),2,IF(Q317&gt;'Specification &amp; Data'!I$8,3)))</f>
        <v>3</v>
      </c>
      <c r="M317" s="35">
        <v>3</v>
      </c>
      <c r="N317" s="33">
        <f t="shared" si="5"/>
        <v>312</v>
      </c>
      <c r="O317" s="27">
        <f>O316+(1/Simulation!Q317)</f>
        <v>45.2902822519777</v>
      </c>
      <c r="P317" s="38">
        <f>Simulation!Q317*3.6</f>
        <v>48.880578132934232</v>
      </c>
      <c r="Q317" s="38">
        <f>MIN('Specification &amp; Data'!I$9,SQRT(2*Simulation!R316+Simulation!Q316^2))</f>
        <v>13.577938370259508</v>
      </c>
      <c r="R317" s="38">
        <f>IF(Q317=Q316,0,IF(Q317&lt;&gt;Q316,Simulation!V317/Simulation!Y317))</f>
        <v>0</v>
      </c>
      <c r="S317" s="27">
        <f>'Specification &amp; Data'!B$11*'Specification &amp; Data'!B$21*'Specification &amp; Data'!B$23*(Simulation!Q317-'Specification &amp; Data'!B$22)^2/2</f>
        <v>60.54080077002466</v>
      </c>
      <c r="T317" s="27">
        <f>IF(AND(M317=1,L317=1),'Specification &amp; Data'!E$14,IF(AND(M317=1,L317=2),'Specification &amp; Data'!E$15,IF(AND(M317=1,L317=3),'Specification &amp; Data'!E$16,IF(AND(M317=2,L317=1),'Specification &amp; Data'!F$14,IF(AND(M317=2,L317=2),'Specification &amp; Data'!F$15,IF(AND(M317=2,L317=3),'Specification &amp; Data'!F$16,IF(AND(M317=3,L317=1),'Specification &amp; Data'!I$14,IF(AND(M317=3,L317=2),'Specification &amp; Data'!I$15,IF(AND(M317=3,L317=3),'Specification &amp; Data'!I$16)))))))))</f>
        <v>102.35950200000001</v>
      </c>
      <c r="U317" s="27">
        <f>IF(AND(M317=1,L317=1),'Specification &amp; Data'!E$24,IF(AND(M317=1,L317=2),'Specification &amp; Data'!E$25,IF(AND(M317=1,L317=3),'Specification &amp; Data'!E$26,IF(M317=2,0,IF(AND(M317=3,L317=1),'Specification &amp; Data'!I$24,IF(AND(M317=3,L317=2),'Specification &amp; Data'!I$25,IF(AND(M317=3,L317=3),'Specification &amp; Data'!I$26)))))))</f>
        <v>-178.61733099000003</v>
      </c>
      <c r="V317" s="27">
        <f>'Specification &amp; Data'!B$46-Simulation!S317-Simulation!T317-Simulation!U317</f>
        <v>723.61844554280981</v>
      </c>
      <c r="W317" s="27">
        <f>Simulation!V317/Simulation!Y317</f>
        <v>1.2449648585873674</v>
      </c>
      <c r="X317" s="27">
        <f>60*Simulation!Q317/(2*'Specification &amp; Data'!B$15*PI())</f>
        <v>510.47149810013718</v>
      </c>
      <c r="Y317" s="27">
        <f>IF(L317=1,'Specification &amp; Data'!B$56,IF(L317=2,'Specification &amp; Data'!B$57,IF(L317=3,'Specification &amp; Data'!B$58)))</f>
        <v>581.23604096253996</v>
      </c>
      <c r="Z317" s="38">
        <f>Simulation!Y317*Simulation!Q317^2/(2*1000)</f>
        <v>53.578457521658208</v>
      </c>
    </row>
    <row r="318" spans="7:26">
      <c r="G318" s="44">
        <v>5800</v>
      </c>
      <c r="H318" s="44">
        <v>17.18</v>
      </c>
      <c r="I318" s="38">
        <f>Simulation!H318*746/1000</f>
        <v>12.816280000000001</v>
      </c>
      <c r="J318" s="38">
        <f>60*1000*Simulation!I318/(2*PI()*Simulation!G318)</f>
        <v>21.101113593618585</v>
      </c>
      <c r="K318" s="37">
        <v>457.1</v>
      </c>
      <c r="L318" s="27">
        <f>IF(Q318&lt;='Specification &amp; Data'!I$7,1,IF(AND(Q318&gt;'Specification &amp; Data'!I$7,Q318&lt;='Specification &amp; Data'!I$8),2,IF(Q318&gt;'Specification &amp; Data'!I$8,3)))</f>
        <v>3</v>
      </c>
      <c r="M318" s="35">
        <v>3</v>
      </c>
      <c r="N318" s="33">
        <f t="shared" si="5"/>
        <v>313</v>
      </c>
      <c r="O318" s="27">
        <f>O317+(1/Simulation!Q318)</f>
        <v>45.363931135389215</v>
      </c>
      <c r="P318" s="38">
        <f>Simulation!Q318*3.6</f>
        <v>48.880578132934232</v>
      </c>
      <c r="Q318" s="38">
        <f>MIN('Specification &amp; Data'!I$9,SQRT(2*Simulation!R317+Simulation!Q317^2))</f>
        <v>13.577938370259508</v>
      </c>
      <c r="R318" s="38">
        <f>IF(Q318=Q317,0,IF(Q318&lt;&gt;Q317,Simulation!V318/Simulation!Y318))</f>
        <v>0</v>
      </c>
      <c r="S318" s="27">
        <f>'Specification &amp; Data'!B$11*'Specification &amp; Data'!B$21*'Specification &amp; Data'!B$23*(Simulation!Q318-'Specification &amp; Data'!B$22)^2/2</f>
        <v>60.54080077002466</v>
      </c>
      <c r="T318" s="27">
        <f>IF(AND(M318=1,L318=1),'Specification &amp; Data'!E$14,IF(AND(M318=1,L318=2),'Specification &amp; Data'!E$15,IF(AND(M318=1,L318=3),'Specification &amp; Data'!E$16,IF(AND(M318=2,L318=1),'Specification &amp; Data'!F$14,IF(AND(M318=2,L318=2),'Specification &amp; Data'!F$15,IF(AND(M318=2,L318=3),'Specification &amp; Data'!F$16,IF(AND(M318=3,L318=1),'Specification &amp; Data'!I$14,IF(AND(M318=3,L318=2),'Specification &amp; Data'!I$15,IF(AND(M318=3,L318=3),'Specification &amp; Data'!I$16)))))))))</f>
        <v>102.35950200000001</v>
      </c>
      <c r="U318" s="27">
        <f>IF(AND(M318=1,L318=1),'Specification &amp; Data'!E$24,IF(AND(M318=1,L318=2),'Specification &amp; Data'!E$25,IF(AND(M318=1,L318=3),'Specification &amp; Data'!E$26,IF(M318=2,0,IF(AND(M318=3,L318=1),'Specification &amp; Data'!I$24,IF(AND(M318=3,L318=2),'Specification &amp; Data'!I$25,IF(AND(M318=3,L318=3),'Specification &amp; Data'!I$26)))))))</f>
        <v>-178.61733099000003</v>
      </c>
      <c r="V318" s="27">
        <f>'Specification &amp; Data'!B$46-Simulation!S318-Simulation!T318-Simulation!U318</f>
        <v>723.61844554280981</v>
      </c>
      <c r="W318" s="27">
        <f>Simulation!V318/Simulation!Y318</f>
        <v>1.2449648585873674</v>
      </c>
      <c r="X318" s="27">
        <f>60*Simulation!Q318/(2*'Specification &amp; Data'!B$15*PI())</f>
        <v>510.47149810013718</v>
      </c>
      <c r="Y318" s="27">
        <f>IF(L318=1,'Specification &amp; Data'!B$56,IF(L318=2,'Specification &amp; Data'!B$57,IF(L318=3,'Specification &amp; Data'!B$58)))</f>
        <v>581.23604096253996</v>
      </c>
      <c r="Z318" s="38">
        <f>Simulation!Y318*Simulation!Q318^2/(2*1000)</f>
        <v>53.578457521658208</v>
      </c>
    </row>
    <row r="319" spans="7:26">
      <c r="G319" s="44">
        <v>5800</v>
      </c>
      <c r="H319" s="44">
        <v>17.18</v>
      </c>
      <c r="I319" s="38">
        <f>Simulation!H319*746/1000</f>
        <v>12.816280000000001</v>
      </c>
      <c r="J319" s="38">
        <f>60*1000*Simulation!I319/(2*PI()*Simulation!G319)</f>
        <v>21.101113593618585</v>
      </c>
      <c r="K319" s="37">
        <v>457.1</v>
      </c>
      <c r="L319" s="27">
        <f>IF(Q319&lt;='Specification &amp; Data'!I$7,1,IF(AND(Q319&gt;'Specification &amp; Data'!I$7,Q319&lt;='Specification &amp; Data'!I$8),2,IF(Q319&gt;'Specification &amp; Data'!I$8,3)))</f>
        <v>3</v>
      </c>
      <c r="M319" s="35">
        <v>3</v>
      </c>
      <c r="N319" s="33">
        <f t="shared" si="5"/>
        <v>314</v>
      </c>
      <c r="O319" s="27">
        <f>O318+(1/Simulation!Q319)</f>
        <v>45.43758001880073</v>
      </c>
      <c r="P319" s="38">
        <f>Simulation!Q319*3.6</f>
        <v>48.880578132934232</v>
      </c>
      <c r="Q319" s="38">
        <f>MIN('Specification &amp; Data'!I$9,SQRT(2*Simulation!R318+Simulation!Q318^2))</f>
        <v>13.577938370259508</v>
      </c>
      <c r="R319" s="38">
        <f>IF(Q319=Q318,0,IF(Q319&lt;&gt;Q318,Simulation!V319/Simulation!Y319))</f>
        <v>0</v>
      </c>
      <c r="S319" s="27">
        <f>'Specification &amp; Data'!B$11*'Specification &amp; Data'!B$21*'Specification &amp; Data'!B$23*(Simulation!Q319-'Specification &amp; Data'!B$22)^2/2</f>
        <v>60.54080077002466</v>
      </c>
      <c r="T319" s="27">
        <f>IF(AND(M319=1,L319=1),'Specification &amp; Data'!E$14,IF(AND(M319=1,L319=2),'Specification &amp; Data'!E$15,IF(AND(M319=1,L319=3),'Specification &amp; Data'!E$16,IF(AND(M319=2,L319=1),'Specification &amp; Data'!F$14,IF(AND(M319=2,L319=2),'Specification &amp; Data'!F$15,IF(AND(M319=2,L319=3),'Specification &amp; Data'!F$16,IF(AND(M319=3,L319=1),'Specification &amp; Data'!I$14,IF(AND(M319=3,L319=2),'Specification &amp; Data'!I$15,IF(AND(M319=3,L319=3),'Specification &amp; Data'!I$16)))))))))</f>
        <v>102.35950200000001</v>
      </c>
      <c r="U319" s="27">
        <f>IF(AND(M319=1,L319=1),'Specification &amp; Data'!E$24,IF(AND(M319=1,L319=2),'Specification &amp; Data'!E$25,IF(AND(M319=1,L319=3),'Specification &amp; Data'!E$26,IF(M319=2,0,IF(AND(M319=3,L319=1),'Specification &amp; Data'!I$24,IF(AND(M319=3,L319=2),'Specification &amp; Data'!I$25,IF(AND(M319=3,L319=3),'Specification &amp; Data'!I$26)))))))</f>
        <v>-178.61733099000003</v>
      </c>
      <c r="V319" s="27">
        <f>'Specification &amp; Data'!B$46-Simulation!S319-Simulation!T319-Simulation!U319</f>
        <v>723.61844554280981</v>
      </c>
      <c r="W319" s="27">
        <f>Simulation!V319/Simulation!Y319</f>
        <v>1.2449648585873674</v>
      </c>
      <c r="X319" s="27">
        <f>60*Simulation!Q319/(2*'Specification &amp; Data'!B$15*PI())</f>
        <v>510.47149810013718</v>
      </c>
      <c r="Y319" s="27">
        <f>IF(L319=1,'Specification &amp; Data'!B$56,IF(L319=2,'Specification &amp; Data'!B$57,IF(L319=3,'Specification &amp; Data'!B$58)))</f>
        <v>581.23604096253996</v>
      </c>
      <c r="Z319" s="38">
        <f>Simulation!Y319*Simulation!Q319^2/(2*1000)</f>
        <v>53.578457521658208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B1:BT87"/>
  <sheetViews>
    <sheetView zoomScale="80" zoomScaleNormal="80" workbookViewId="0">
      <selection activeCell="E4" sqref="E4"/>
    </sheetView>
  </sheetViews>
  <sheetFormatPr defaultRowHeight="15"/>
  <cols>
    <col min="1" max="1" width="9.140625" style="15"/>
    <col min="2" max="2" width="11.140625" style="15" customWidth="1"/>
    <col min="3" max="3" width="12.28515625" style="15" bestFit="1" customWidth="1"/>
    <col min="4" max="4" width="13.140625" style="15" bestFit="1" customWidth="1"/>
    <col min="5" max="5" width="14.42578125" style="15" customWidth="1"/>
    <col min="6" max="6" width="20.85546875" style="15" bestFit="1" customWidth="1"/>
    <col min="7" max="7" width="21.7109375" style="15" bestFit="1" customWidth="1"/>
    <col min="8" max="8" width="20" style="15" bestFit="1" customWidth="1"/>
    <col min="9" max="9" width="9.140625" style="15"/>
    <col min="10" max="10" width="9.140625" style="15" customWidth="1"/>
    <col min="11" max="19" width="12" style="15" customWidth="1"/>
    <col min="20" max="72" width="13" style="15" customWidth="1"/>
    <col min="73" max="16384" width="9.140625" style="15"/>
  </cols>
  <sheetData>
    <row r="1" spans="2:25" ht="20.25">
      <c r="B1" s="82" t="s">
        <v>192</v>
      </c>
    </row>
    <row r="2" spans="2:25" ht="15.75" thickBot="1">
      <c r="B2"/>
      <c r="C2"/>
      <c r="D2"/>
      <c r="E2"/>
      <c r="F2"/>
      <c r="G2"/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2:25">
      <c r="B3" s="39" t="s">
        <v>96</v>
      </c>
      <c r="C3" s="39" t="s">
        <v>172</v>
      </c>
      <c r="D3" s="39" t="s">
        <v>99</v>
      </c>
      <c r="E3" s="39" t="s">
        <v>176</v>
      </c>
      <c r="F3" s="39" t="s">
        <v>173</v>
      </c>
      <c r="G3" s="28" t="s">
        <v>175</v>
      </c>
      <c r="H3" s="39" t="s">
        <v>174</v>
      </c>
      <c r="K3" s="54" t="s">
        <v>177</v>
      </c>
      <c r="L3" s="55">
        <v>500</v>
      </c>
      <c r="M3" s="56">
        <v>1000</v>
      </c>
      <c r="N3" s="56">
        <v>1500</v>
      </c>
      <c r="O3" s="56">
        <v>2000</v>
      </c>
      <c r="P3" s="56">
        <v>2500</v>
      </c>
      <c r="Q3" s="56">
        <v>3000</v>
      </c>
      <c r="R3" s="56">
        <v>3500</v>
      </c>
      <c r="S3" s="56">
        <v>4000</v>
      </c>
      <c r="T3" s="56">
        <v>4500</v>
      </c>
      <c r="U3" s="56">
        <v>5000</v>
      </c>
      <c r="V3" s="56">
        <v>5500</v>
      </c>
      <c r="W3" s="56">
        <v>6000</v>
      </c>
      <c r="X3" s="56">
        <v>6500</v>
      </c>
      <c r="Y3" s="57">
        <v>7000</v>
      </c>
    </row>
    <row r="4" spans="2:25">
      <c r="B4" s="15">
        <v>1000</v>
      </c>
      <c r="C4" s="43">
        <v>0.68</v>
      </c>
      <c r="D4" s="15">
        <f>746*60*BSFC!C4/(2*PI()*BSFC!B4)</f>
        <v>4.844167171899401</v>
      </c>
      <c r="E4" s="38">
        <f>4*PI()*D4*1000000/(278*100000)</f>
        <v>2.1896978417266189</v>
      </c>
      <c r="F4" s="15">
        <f>(2*PI()*B4*'Specification &amp; Data'!B$15*3.6)/('Specification &amp; Data'!G$7*'Specification &amp; Data'!G$10*60)</f>
        <v>10.682689501983628</v>
      </c>
      <c r="G4" s="15">
        <f>(2*PI()*B4*'Specification &amp; Data'!B$15*3.6)/('Specification &amp; Data'!G$8*'Specification &amp; Data'!G$10*60)</f>
        <v>14.567303866341311</v>
      </c>
      <c r="H4" s="15">
        <f>2*PI()*B4*'Specification &amp; Data'!B$15*3.6/('Specification &amp; Data'!G$9*'Specification &amp; Data'!G$10*60)</f>
        <v>19.078468934627654</v>
      </c>
      <c r="K4" s="58" t="s">
        <v>96</v>
      </c>
      <c r="L4" s="59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1"/>
    </row>
    <row r="5" spans="2:25">
      <c r="B5" s="15">
        <f>B4+100</f>
        <v>1100</v>
      </c>
      <c r="C5" s="43">
        <v>0.86</v>
      </c>
      <c r="D5" s="38">
        <f>746*60*BSFC!C5/(2*PI()*BSFC!B5)</f>
        <v>5.5694970158201658</v>
      </c>
      <c r="E5" s="38">
        <f t="shared" ref="E5:E64" si="0">4*PI()*D5*1000000/(278*100000)</f>
        <v>2.5175670372792669</v>
      </c>
      <c r="F5" s="38">
        <f>(2*PI()*B5*'Specification &amp; Data'!B$15*3.6)/('Specification &amp; Data'!G$7*'Specification &amp; Data'!G$10*60)</f>
        <v>11.750958452181994</v>
      </c>
      <c r="G5" s="38">
        <f>(2*PI()*B5*'Specification &amp; Data'!B$15*3.6)/('Specification &amp; Data'!G$8*'Specification &amp; Data'!G$10*60)</f>
        <v>16.024034252975447</v>
      </c>
      <c r="H5" s="38">
        <f>2*PI()*B5*'Specification &amp; Data'!B$15*3.6/('Specification &amp; Data'!G$9*'Specification &amp; Data'!G$10*60)</f>
        <v>20.986315828090422</v>
      </c>
      <c r="K5" s="62">
        <v>22</v>
      </c>
      <c r="L5" s="63">
        <v>0</v>
      </c>
      <c r="M5" s="64">
        <v>0</v>
      </c>
      <c r="N5" s="64">
        <v>0</v>
      </c>
      <c r="O5" s="64">
        <v>0</v>
      </c>
      <c r="P5" s="64">
        <v>0</v>
      </c>
      <c r="Q5" s="64">
        <v>0</v>
      </c>
      <c r="R5" s="64">
        <v>0</v>
      </c>
      <c r="S5" s="64">
        <v>0</v>
      </c>
      <c r="T5" s="64">
        <v>0</v>
      </c>
      <c r="U5" s="65">
        <v>477.26299999999998</v>
      </c>
      <c r="V5" s="65">
        <v>457.65679050000006</v>
      </c>
      <c r="W5" s="66">
        <v>0</v>
      </c>
      <c r="X5" s="66">
        <v>0</v>
      </c>
      <c r="Y5" s="67">
        <v>0</v>
      </c>
    </row>
    <row r="6" spans="2:25">
      <c r="B6" s="38">
        <f t="shared" ref="B6:B64" si="1">B5+100</f>
        <v>1200</v>
      </c>
      <c r="C6" s="43">
        <v>1.03</v>
      </c>
      <c r="D6" s="38">
        <f>746*60*BSFC!C6/(2*PI()*BSFC!B6)</f>
        <v>6.1145737586475279</v>
      </c>
      <c r="E6" s="38">
        <f t="shared" si="0"/>
        <v>2.7639568345323746</v>
      </c>
      <c r="F6" s="38">
        <f>(2*PI()*B6*'Specification &amp; Data'!B$15*3.6)/('Specification &amp; Data'!G$7*'Specification &amp; Data'!G$10*60)</f>
        <v>12.819227402380356</v>
      </c>
      <c r="G6" s="38">
        <f>(2*PI()*B6*'Specification &amp; Data'!B$15*3.6)/('Specification &amp; Data'!G$8*'Specification &amp; Data'!G$10*60)</f>
        <v>17.480764639609575</v>
      </c>
      <c r="H6" s="38">
        <f>2*PI()*B6*'Specification &amp; Data'!B$15*3.6/('Specification &amp; Data'!G$9*'Specification &amp; Data'!G$10*60)</f>
        <v>22.894162721553187</v>
      </c>
      <c r="K6" s="62">
        <v>21</v>
      </c>
      <c r="L6" s="63">
        <v>0</v>
      </c>
      <c r="M6" s="64">
        <v>0</v>
      </c>
      <c r="N6" s="64">
        <v>0</v>
      </c>
      <c r="O6" s="64">
        <v>0</v>
      </c>
      <c r="P6" s="64">
        <v>0</v>
      </c>
      <c r="Q6" s="64">
        <v>0</v>
      </c>
      <c r="R6" s="64">
        <v>0</v>
      </c>
      <c r="S6" s="64">
        <v>0</v>
      </c>
      <c r="T6" s="65">
        <v>483</v>
      </c>
      <c r="U6" s="65">
        <v>470.50444350000004</v>
      </c>
      <c r="V6" s="65">
        <v>443.88070662500002</v>
      </c>
      <c r="W6" s="64">
        <v>477</v>
      </c>
      <c r="X6" s="66">
        <v>0</v>
      </c>
      <c r="Y6" s="67">
        <v>0</v>
      </c>
    </row>
    <row r="7" spans="2:25">
      <c r="B7" s="38">
        <f t="shared" si="1"/>
        <v>1300</v>
      </c>
      <c r="C7" s="43">
        <v>1.2</v>
      </c>
      <c r="D7" s="38">
        <f>746*60*BSFC!C7/(2*PI()*BSFC!B7)</f>
        <v>6.5757925410399096</v>
      </c>
      <c r="E7" s="38">
        <f t="shared" si="0"/>
        <v>2.9724405091311561</v>
      </c>
      <c r="F7" s="38">
        <f>(2*PI()*B7*'Specification &amp; Data'!B$15*3.6)/('Specification &amp; Data'!G$7*'Specification &amp; Data'!G$10*60)</f>
        <v>13.887496352578719</v>
      </c>
      <c r="G7" s="38">
        <f>(2*PI()*B7*'Specification &amp; Data'!B$15*3.6)/('Specification &amp; Data'!G$8*'Specification &amp; Data'!G$10*60)</f>
        <v>18.937495026243706</v>
      </c>
      <c r="H7" s="38">
        <f>2*PI()*B7*'Specification &amp; Data'!B$15*3.6/('Specification &amp; Data'!G$9*'Specification &amp; Data'!G$10*60)</f>
        <v>24.802009615015951</v>
      </c>
      <c r="K7" s="62">
        <v>20</v>
      </c>
      <c r="L7" s="63">
        <v>0</v>
      </c>
      <c r="M7" s="64">
        <v>0</v>
      </c>
      <c r="N7" s="64">
        <v>0</v>
      </c>
      <c r="O7" s="64">
        <v>0</v>
      </c>
      <c r="P7" s="64">
        <v>0</v>
      </c>
      <c r="Q7" s="64">
        <v>0</v>
      </c>
      <c r="R7" s="64">
        <v>0</v>
      </c>
      <c r="S7" s="65">
        <v>479.7</v>
      </c>
      <c r="T7" s="65">
        <v>491.62359700000002</v>
      </c>
      <c r="U7" s="65">
        <v>461.7157545</v>
      </c>
      <c r="V7" s="65">
        <v>414.10462275000009</v>
      </c>
      <c r="W7" s="65">
        <v>469.19731950000011</v>
      </c>
      <c r="X7" s="66">
        <v>0</v>
      </c>
      <c r="Y7" s="67">
        <v>0</v>
      </c>
    </row>
    <row r="8" spans="2:25">
      <c r="B8" s="38">
        <f t="shared" si="1"/>
        <v>1400</v>
      </c>
      <c r="C8" s="43">
        <v>1.39</v>
      </c>
      <c r="D8" s="38">
        <f>746*60*BSFC!C8/(2*PI()*BSFC!B8)</f>
        <v>7.0728911438447124</v>
      </c>
      <c r="E8" s="38">
        <f t="shared" si="0"/>
        <v>3.1971428571428575</v>
      </c>
      <c r="F8" s="38">
        <f>(2*PI()*B8*'Specification &amp; Data'!B$15*3.6)/('Specification &amp; Data'!G$7*'Specification &amp; Data'!G$10*60)</f>
        <v>14.955765302777081</v>
      </c>
      <c r="G8" s="38">
        <f>(2*PI()*B8*'Specification &amp; Data'!B$15*3.6)/('Specification &amp; Data'!G$8*'Specification &amp; Data'!G$10*60)</f>
        <v>20.394225412877837</v>
      </c>
      <c r="H8" s="38">
        <f>2*PI()*B8*'Specification &amp; Data'!B$15*3.6/('Specification &amp; Data'!G$9*'Specification &amp; Data'!G$10*60)</f>
        <v>26.709856508478719</v>
      </c>
      <c r="K8" s="62">
        <v>19</v>
      </c>
      <c r="L8" s="63">
        <v>0</v>
      </c>
      <c r="M8" s="64">
        <v>0</v>
      </c>
      <c r="N8" s="64">
        <v>0</v>
      </c>
      <c r="O8" s="64">
        <v>0</v>
      </c>
      <c r="P8" s="64">
        <v>0</v>
      </c>
      <c r="Q8" s="65">
        <v>487</v>
      </c>
      <c r="R8" s="65">
        <v>478.3</v>
      </c>
      <c r="S8" s="65">
        <v>482.76</v>
      </c>
      <c r="T8" s="65">
        <v>476.51549400000005</v>
      </c>
      <c r="U8" s="65">
        <v>443.04624000000007</v>
      </c>
      <c r="V8" s="65">
        <v>392.32853887500011</v>
      </c>
      <c r="W8" s="65">
        <v>457.16661900000008</v>
      </c>
      <c r="X8" s="65">
        <v>504.47246849999999</v>
      </c>
      <c r="Y8" s="68">
        <v>0</v>
      </c>
    </row>
    <row r="9" spans="2:25">
      <c r="B9" s="38">
        <f t="shared" si="1"/>
        <v>1500</v>
      </c>
      <c r="C9" s="43">
        <v>1.56</v>
      </c>
      <c r="D9" s="38">
        <f>746*60*BSFC!C9/(2*PI()*BSFC!B9)</f>
        <v>7.4087262629049659</v>
      </c>
      <c r="E9" s="38">
        <f t="shared" si="0"/>
        <v>3.3489496402877696</v>
      </c>
      <c r="F9" s="38">
        <f>(2*PI()*B9*'Specification &amp; Data'!B$15*3.6)/('Specification &amp; Data'!G$7*'Specification &amp; Data'!G$10*60)</f>
        <v>16.024034252975444</v>
      </c>
      <c r="G9" s="38">
        <f>(2*PI()*B9*'Specification &amp; Data'!B$15*3.6)/('Specification &amp; Data'!G$8*'Specification &amp; Data'!G$10*60)</f>
        <v>21.850955799511969</v>
      </c>
      <c r="H9" s="38">
        <f>2*PI()*B9*'Specification &amp; Data'!B$15*3.6/('Specification &amp; Data'!G$9*'Specification &amp; Data'!G$10*60)</f>
        <v>28.617703401941483</v>
      </c>
      <c r="K9" s="62">
        <v>18</v>
      </c>
      <c r="L9" s="63">
        <v>0</v>
      </c>
      <c r="M9" s="64">
        <v>0</v>
      </c>
      <c r="N9" s="64">
        <v>0</v>
      </c>
      <c r="O9" s="64">
        <v>0</v>
      </c>
      <c r="P9" s="64">
        <v>0</v>
      </c>
      <c r="Q9" s="65">
        <v>494.6</v>
      </c>
      <c r="R9" s="65">
        <v>487.6</v>
      </c>
      <c r="S9" s="65">
        <v>483.62212080000006</v>
      </c>
      <c r="T9" s="69">
        <v>467.51181750000001</v>
      </c>
      <c r="U9" s="69">
        <v>427.32635400000004</v>
      </c>
      <c r="V9" s="69">
        <v>370.55245500000012</v>
      </c>
      <c r="W9" s="69">
        <v>440.18260650000002</v>
      </c>
      <c r="X9" s="65">
        <v>492.04619100000002</v>
      </c>
      <c r="Y9" s="70">
        <v>585.75415350000003</v>
      </c>
    </row>
    <row r="10" spans="2:25">
      <c r="B10" s="38">
        <f t="shared" si="1"/>
        <v>1600</v>
      </c>
      <c r="C10" s="43">
        <v>1.9</v>
      </c>
      <c r="D10" s="38">
        <f>746*60*BSFC!C10/(2*PI()*BSFC!B10)</f>
        <v>8.4594831126919665</v>
      </c>
      <c r="E10" s="38">
        <f t="shared" si="0"/>
        <v>3.8239208633093527</v>
      </c>
      <c r="F10" s="38">
        <f>(2*PI()*B10*'Specification &amp; Data'!B$15*3.6)/('Specification &amp; Data'!G$7*'Specification &amp; Data'!G$10*60)</f>
        <v>17.092303203173813</v>
      </c>
      <c r="G10" s="38">
        <f>(2*PI()*B10*'Specification &amp; Data'!B$15*3.6)/('Specification &amp; Data'!G$8*'Specification &amp; Data'!G$10*60)</f>
        <v>23.307686186146107</v>
      </c>
      <c r="H10" s="38">
        <f>2*PI()*B10*'Specification &amp; Data'!B$15*3.6/('Specification &amp; Data'!G$9*'Specification &amp; Data'!G$10*60)</f>
        <v>30.525550295404258</v>
      </c>
      <c r="K10" s="62">
        <v>17</v>
      </c>
      <c r="L10" s="63">
        <v>0</v>
      </c>
      <c r="M10" s="64">
        <v>0</v>
      </c>
      <c r="N10" s="64">
        <v>0</v>
      </c>
      <c r="O10" s="64">
        <v>0</v>
      </c>
      <c r="P10" s="69">
        <v>503.2</v>
      </c>
      <c r="Q10" s="65">
        <v>499.2</v>
      </c>
      <c r="R10" s="65">
        <v>496.26476171999997</v>
      </c>
      <c r="S10" s="65">
        <v>486.36708120000003</v>
      </c>
      <c r="T10" s="71">
        <v>453.02166</v>
      </c>
      <c r="U10" s="71">
        <v>396.4699147500001</v>
      </c>
      <c r="V10" s="71">
        <v>359.6644130625001</v>
      </c>
      <c r="W10" s="71">
        <v>404.08190550000012</v>
      </c>
      <c r="X10" s="69">
        <v>484.72801649999997</v>
      </c>
      <c r="Y10" s="70">
        <v>571.22171512499995</v>
      </c>
    </row>
    <row r="11" spans="2:25">
      <c r="B11" s="38">
        <f t="shared" si="1"/>
        <v>1700</v>
      </c>
      <c r="C11" s="43">
        <v>2.2400000000000002</v>
      </c>
      <c r="D11" s="38">
        <f>746*60*BSFC!C11/(2*PI()*BSFC!B11)</f>
        <v>9.3866215095628522</v>
      </c>
      <c r="E11" s="38">
        <f t="shared" si="0"/>
        <v>4.2430131189166316</v>
      </c>
      <c r="F11" s="38">
        <f>(2*PI()*B11*'Specification &amp; Data'!B$15*3.6)/('Specification &amp; Data'!G$7*'Specification &amp; Data'!G$10*60)</f>
        <v>18.160572153372172</v>
      </c>
      <c r="G11" s="38">
        <f>(2*PI()*B11*'Specification &amp; Data'!B$15*3.6)/('Specification &amp; Data'!G$8*'Specification &amp; Data'!G$10*60)</f>
        <v>24.764416572780231</v>
      </c>
      <c r="H11" s="38">
        <f>2*PI()*B11*'Specification &amp; Data'!B$15*3.6/('Specification &amp; Data'!G$9*'Specification &amp; Data'!G$10*60)</f>
        <v>32.433397188867012</v>
      </c>
      <c r="K11" s="62">
        <v>16</v>
      </c>
      <c r="L11" s="63">
        <v>0</v>
      </c>
      <c r="M11" s="64">
        <v>0</v>
      </c>
      <c r="N11" s="64">
        <v>0</v>
      </c>
      <c r="O11" s="64">
        <v>0</v>
      </c>
      <c r="P11" s="65">
        <v>511.2</v>
      </c>
      <c r="Q11" s="65">
        <v>502.55076690000016</v>
      </c>
      <c r="R11" s="65">
        <v>499.78608498000011</v>
      </c>
      <c r="S11" s="69">
        <v>489.11204160000005</v>
      </c>
      <c r="T11" s="71">
        <v>444.16345837500012</v>
      </c>
      <c r="U11" s="72">
        <v>368.92714949999998</v>
      </c>
      <c r="V11" s="72">
        <v>348.77637112500014</v>
      </c>
      <c r="W11" s="72">
        <v>315.98120449999999</v>
      </c>
      <c r="X11" s="69">
        <v>480.25627650000013</v>
      </c>
      <c r="Y11" s="70">
        <v>560.48452275</v>
      </c>
    </row>
    <row r="12" spans="2:25">
      <c r="B12" s="38">
        <f t="shared" si="1"/>
        <v>1800</v>
      </c>
      <c r="C12" s="43">
        <v>2.58</v>
      </c>
      <c r="D12" s="38">
        <f>746*60*BSFC!C12/(2*PI()*BSFC!B12)</f>
        <v>10.210744529003637</v>
      </c>
      <c r="E12" s="38">
        <f t="shared" si="0"/>
        <v>4.6155395683453246</v>
      </c>
      <c r="F12" s="38">
        <f>(2*PI()*B12*'Specification &amp; Data'!B$15*3.6)/('Specification &amp; Data'!G$7*'Specification &amp; Data'!G$10*60)</f>
        <v>19.228841103570538</v>
      </c>
      <c r="G12" s="38">
        <f>(2*PI()*B12*'Specification &amp; Data'!B$15*3.6)/('Specification &amp; Data'!G$8*'Specification &amp; Data'!G$10*60)</f>
        <v>26.221146959414366</v>
      </c>
      <c r="H12" s="38">
        <f>2*PI()*B12*'Specification &amp; Data'!B$15*3.6/('Specification &amp; Data'!G$9*'Specification &amp; Data'!G$10*60)</f>
        <v>34.341244082329787</v>
      </c>
      <c r="K12" s="62">
        <v>15</v>
      </c>
      <c r="L12" s="63">
        <v>0</v>
      </c>
      <c r="M12" s="64">
        <v>0</v>
      </c>
      <c r="N12" s="64">
        <v>0</v>
      </c>
      <c r="O12" s="65">
        <v>597.6</v>
      </c>
      <c r="P12" s="65">
        <v>516.02896799999996</v>
      </c>
      <c r="Q12" s="65">
        <v>506.41509554999999</v>
      </c>
      <c r="R12" s="65">
        <v>490.8711553199999</v>
      </c>
      <c r="S12" s="69">
        <v>491.85700200000002</v>
      </c>
      <c r="T12" s="71">
        <v>439.44570101250008</v>
      </c>
      <c r="U12" s="72">
        <v>349.54387650000001</v>
      </c>
      <c r="V12" s="72">
        <v>315.13849549999998</v>
      </c>
      <c r="W12" s="72">
        <v>304.35590184687499</v>
      </c>
      <c r="X12" s="71">
        <v>440.60398200000009</v>
      </c>
      <c r="Y12" s="70">
        <v>512.49827961562505</v>
      </c>
    </row>
    <row r="13" spans="2:25">
      <c r="B13" s="38">
        <f t="shared" si="1"/>
        <v>1900</v>
      </c>
      <c r="C13" s="43">
        <v>2.92</v>
      </c>
      <c r="D13" s="38">
        <f>746*60*BSFC!C13/(2*PI()*BSFC!B13)</f>
        <v>10.94811775692434</v>
      </c>
      <c r="E13" s="38">
        <f t="shared" si="0"/>
        <v>4.9488527073078368</v>
      </c>
      <c r="F13" s="38">
        <f>(2*PI()*B13*'Specification &amp; Data'!B$15*3.6)/('Specification &amp; Data'!G$7*'Specification &amp; Data'!G$10*60)</f>
        <v>20.2971100537689</v>
      </c>
      <c r="G13" s="38">
        <f>(2*PI()*B13*'Specification &amp; Data'!B$15*3.6)/('Specification &amp; Data'!G$8*'Specification &amp; Data'!G$10*60)</f>
        <v>27.677877346048497</v>
      </c>
      <c r="H13" s="38">
        <f>2*PI()*B13*'Specification &amp; Data'!B$15*3.6/('Specification &amp; Data'!G$9*'Specification &amp; Data'!G$10*60)</f>
        <v>36.249090975792548</v>
      </c>
      <c r="K13" s="62">
        <v>14</v>
      </c>
      <c r="L13" s="63">
        <v>0</v>
      </c>
      <c r="M13" s="64">
        <v>0</v>
      </c>
      <c r="N13" s="64">
        <v>0</v>
      </c>
      <c r="O13" s="65">
        <v>617.6</v>
      </c>
      <c r="P13" s="65">
        <v>519.93068400000016</v>
      </c>
      <c r="Q13" s="65">
        <v>510.27942420000005</v>
      </c>
      <c r="R13" s="65">
        <v>481.95622565999997</v>
      </c>
      <c r="S13" s="69">
        <v>474.14230073437511</v>
      </c>
      <c r="T13" s="72">
        <v>406.02646743750006</v>
      </c>
      <c r="U13" s="72">
        <v>338.16060349999998</v>
      </c>
      <c r="V13" s="73">
        <v>297.224203375</v>
      </c>
      <c r="W13" s="72">
        <v>298.88214449999998</v>
      </c>
      <c r="X13" s="71">
        <v>426.97377450000005</v>
      </c>
      <c r="Y13" s="70">
        <v>505.44294524999998</v>
      </c>
    </row>
    <row r="14" spans="2:25">
      <c r="B14" s="38">
        <f t="shared" si="1"/>
        <v>2000</v>
      </c>
      <c r="C14" s="43">
        <v>3.26</v>
      </c>
      <c r="D14" s="38">
        <f>746*60*BSFC!C14/(2*PI()*BSFC!B14)</f>
        <v>11.611753662052973</v>
      </c>
      <c r="E14" s="38">
        <f t="shared" si="0"/>
        <v>5.2488345323741008</v>
      </c>
      <c r="F14" s="38">
        <f>(2*PI()*B14*'Specification &amp; Data'!B$15*3.6)/('Specification &amp; Data'!G$7*'Specification &amp; Data'!G$10*60)</f>
        <v>21.365379003967256</v>
      </c>
      <c r="G14" s="38">
        <f>(2*PI()*B14*'Specification &amp; Data'!B$15*3.6)/('Specification &amp; Data'!G$8*'Specification &amp; Data'!G$10*60)</f>
        <v>29.134607732682621</v>
      </c>
      <c r="H14" s="38">
        <f>2*PI()*B14*'Specification &amp; Data'!B$15*3.6/('Specification &amp; Data'!G$9*'Specification &amp; Data'!G$10*60)</f>
        <v>38.156937869255309</v>
      </c>
      <c r="K14" s="62">
        <v>13</v>
      </c>
      <c r="L14" s="63">
        <v>0</v>
      </c>
      <c r="M14" s="64">
        <v>0</v>
      </c>
      <c r="N14" s="64">
        <v>0</v>
      </c>
      <c r="O14" s="65">
        <v>631.4</v>
      </c>
      <c r="P14" s="65">
        <v>537.83023612500006</v>
      </c>
      <c r="Q14" s="65">
        <v>514.14375285000006</v>
      </c>
      <c r="R14" s="65">
        <v>473.04129600000005</v>
      </c>
      <c r="S14" s="69">
        <v>456.42759946875009</v>
      </c>
      <c r="T14" s="72">
        <v>383.46890400000007</v>
      </c>
      <c r="U14" s="72">
        <v>340.77733050000001</v>
      </c>
      <c r="V14" s="72">
        <v>313.44811950000002</v>
      </c>
      <c r="W14" s="72">
        <v>323.99476200000015</v>
      </c>
      <c r="X14" s="71">
        <v>377.79008974999999</v>
      </c>
      <c r="Y14" s="70">
        <v>550.08629399999995</v>
      </c>
    </row>
    <row r="15" spans="2:25">
      <c r="B15" s="38">
        <f t="shared" si="1"/>
        <v>2100</v>
      </c>
      <c r="C15" s="43">
        <v>3.66</v>
      </c>
      <c r="D15" s="38">
        <f>746*60*BSFC!C15/(2*PI()*BSFC!B15)</f>
        <v>12.41572258343964</v>
      </c>
      <c r="E15" s="38">
        <f t="shared" si="0"/>
        <v>5.6122507708119231</v>
      </c>
      <c r="F15" s="38">
        <f>(2*PI()*B15*'Specification &amp; Data'!B$15*3.6)/('Specification &amp; Data'!G$7*'Specification &amp; Data'!G$10*60)</f>
        <v>22.433647954165625</v>
      </c>
      <c r="G15" s="38">
        <f>(2*PI()*B15*'Specification &amp; Data'!B$15*3.6)/('Specification &amp; Data'!G$8*'Specification &amp; Data'!G$10*60)</f>
        <v>30.59133811931676</v>
      </c>
      <c r="H15" s="38">
        <f>2*PI()*B15*'Specification &amp; Data'!B$15*3.6/('Specification &amp; Data'!G$9*'Specification &amp; Data'!G$10*60)</f>
        <v>40.064784762718084</v>
      </c>
      <c r="K15" s="62">
        <v>12</v>
      </c>
      <c r="L15" s="63">
        <v>0</v>
      </c>
      <c r="M15" s="64">
        <v>0</v>
      </c>
      <c r="N15" s="65">
        <v>647.6</v>
      </c>
      <c r="O15" s="65">
        <v>650.99203799999998</v>
      </c>
      <c r="P15" s="65">
        <v>555.72978825000018</v>
      </c>
      <c r="Q15" s="65">
        <v>520.46753850000005</v>
      </c>
      <c r="R15" s="65">
        <v>490.223097</v>
      </c>
      <c r="S15" s="69">
        <v>459.51858224999995</v>
      </c>
      <c r="T15" s="71">
        <v>398.81406750000002</v>
      </c>
      <c r="U15" s="72">
        <v>352.96776599999998</v>
      </c>
      <c r="V15" s="72">
        <v>326.03757274999998</v>
      </c>
      <c r="W15" s="72">
        <v>319.10737950000021</v>
      </c>
      <c r="X15" s="72">
        <v>394.606405</v>
      </c>
      <c r="Y15" s="70">
        <v>535.15261799999996</v>
      </c>
    </row>
    <row r="16" spans="2:25">
      <c r="B16" s="38">
        <f t="shared" si="1"/>
        <v>2200</v>
      </c>
      <c r="C16" s="43">
        <v>4.05</v>
      </c>
      <c r="D16" s="38">
        <f>746*60*BSFC!C16/(2*PI()*BSFC!B16)</f>
        <v>13.114222624460274</v>
      </c>
      <c r="E16" s="38">
        <f t="shared" si="0"/>
        <v>5.9279921517331591</v>
      </c>
      <c r="F16" s="38">
        <f>(2*PI()*B16*'Specification &amp; Data'!B$15*3.6)/('Specification &amp; Data'!G$7*'Specification &amp; Data'!G$10*60)</f>
        <v>23.501916904363988</v>
      </c>
      <c r="G16" s="38">
        <f>(2*PI()*B16*'Specification &amp; Data'!B$15*3.6)/('Specification &amp; Data'!G$8*'Specification &amp; Data'!G$10*60)</f>
        <v>32.048068505950894</v>
      </c>
      <c r="H16" s="38">
        <f>2*PI()*B16*'Specification &amp; Data'!B$15*3.6/('Specification &amp; Data'!G$9*'Specification &amp; Data'!G$10*60)</f>
        <v>41.972631656180845</v>
      </c>
      <c r="K16" s="62">
        <v>11</v>
      </c>
      <c r="L16" s="63">
        <v>0</v>
      </c>
      <c r="M16" s="64">
        <v>0</v>
      </c>
      <c r="N16" s="65">
        <v>661.4</v>
      </c>
      <c r="O16" s="65">
        <v>671.42151160000003</v>
      </c>
      <c r="P16" s="65">
        <v>574.81351200000006</v>
      </c>
      <c r="Q16" s="65">
        <v>548.07050025000001</v>
      </c>
      <c r="R16" s="65">
        <v>508.72062150000011</v>
      </c>
      <c r="S16" s="65">
        <v>471.75459581250004</v>
      </c>
      <c r="T16" s="69">
        <v>434.78857012500009</v>
      </c>
      <c r="U16" s="72">
        <v>361.56045925000001</v>
      </c>
      <c r="V16" s="72">
        <v>343.64461950000003</v>
      </c>
      <c r="W16" s="72">
        <v>314.21999700000015</v>
      </c>
      <c r="X16" s="65">
        <v>498.42272025</v>
      </c>
      <c r="Y16" s="70">
        <v>540.20721300000002</v>
      </c>
    </row>
    <row r="17" spans="2:72">
      <c r="B17" s="38">
        <f t="shared" si="1"/>
        <v>2300</v>
      </c>
      <c r="C17" s="43">
        <v>4.24</v>
      </c>
      <c r="D17" s="38">
        <f>746*60*BSFC!C17/(2*PI()*BSFC!B17)</f>
        <v>13.132524813844924</v>
      </c>
      <c r="E17" s="38">
        <f t="shared" si="0"/>
        <v>5.9362652486706295</v>
      </c>
      <c r="F17" s="38">
        <f>(2*PI()*B17*'Specification &amp; Data'!B$15*3.6)/('Specification &amp; Data'!G$7*'Specification &amp; Data'!G$10*60)</f>
        <v>24.57018585456235</v>
      </c>
      <c r="G17" s="38">
        <f>(2*PI()*B17*'Specification &amp; Data'!B$15*3.6)/('Specification &amp; Data'!G$8*'Specification &amp; Data'!G$10*60)</f>
        <v>33.504798892585022</v>
      </c>
      <c r="H17" s="38">
        <f>2*PI()*B17*'Specification &amp; Data'!B$15*3.6/('Specification &amp; Data'!G$9*'Specification &amp; Data'!G$10*60)</f>
        <v>43.880478549643612</v>
      </c>
      <c r="K17" s="62">
        <v>10</v>
      </c>
      <c r="L17" s="63">
        <v>0</v>
      </c>
      <c r="M17" s="64">
        <v>0</v>
      </c>
      <c r="N17" s="65">
        <v>677.3</v>
      </c>
      <c r="O17" s="65">
        <v>679.66155249999997</v>
      </c>
      <c r="P17" s="65">
        <v>593.89723575000016</v>
      </c>
      <c r="Q17" s="65">
        <v>578.13291900000013</v>
      </c>
      <c r="R17" s="65">
        <v>521.56827450000003</v>
      </c>
      <c r="S17" s="65">
        <v>495.94176450000009</v>
      </c>
      <c r="T17" s="65">
        <v>470.31525450000004</v>
      </c>
      <c r="U17" s="69">
        <v>373.21543350000007</v>
      </c>
      <c r="V17" s="69">
        <v>359.74288350000018</v>
      </c>
      <c r="W17" s="69">
        <v>309.33261450000026</v>
      </c>
      <c r="X17" s="65">
        <v>504.50471662499979</v>
      </c>
      <c r="Y17" s="70">
        <v>535.9552379999991</v>
      </c>
    </row>
    <row r="18" spans="2:72">
      <c r="B18" s="38">
        <f t="shared" si="1"/>
        <v>2400</v>
      </c>
      <c r="C18" s="43">
        <v>4.45</v>
      </c>
      <c r="D18" s="38">
        <f>746*60*BSFC!C18/(2*PI()*BSFC!B18)</f>
        <v>13.208666614554124</v>
      </c>
      <c r="E18" s="38">
        <f t="shared" si="0"/>
        <v>5.9706834532374105</v>
      </c>
      <c r="F18" s="38">
        <f>(2*PI()*B18*'Specification &amp; Data'!B$15*3.6)/('Specification &amp; Data'!G$7*'Specification &amp; Data'!G$10*60)</f>
        <v>25.638454804760713</v>
      </c>
      <c r="G18" s="38">
        <f>(2*PI()*B18*'Specification &amp; Data'!B$15*3.6)/('Specification &amp; Data'!G$8*'Specification &amp; Data'!G$10*60)</f>
        <v>34.96152927921915</v>
      </c>
      <c r="H18" s="38">
        <f>2*PI()*B18*'Specification &amp; Data'!B$15*3.6/('Specification &amp; Data'!G$9*'Specification &amp; Data'!G$10*60)</f>
        <v>45.788325443106373</v>
      </c>
      <c r="K18" s="62">
        <v>9</v>
      </c>
      <c r="L18" s="63">
        <v>0</v>
      </c>
      <c r="M18" s="64">
        <v>0</v>
      </c>
      <c r="N18" s="65">
        <v>683</v>
      </c>
      <c r="O18" s="65">
        <v>679.68856949999997</v>
      </c>
      <c r="P18" s="65">
        <v>604.92833395312505</v>
      </c>
      <c r="Q18" s="65">
        <v>590.16809840625012</v>
      </c>
      <c r="R18" s="65">
        <v>575.40786285937509</v>
      </c>
      <c r="S18" s="65">
        <v>533.46044242968753</v>
      </c>
      <c r="T18" s="65">
        <v>491.51302200000009</v>
      </c>
      <c r="U18" s="65">
        <v>394.87040775000008</v>
      </c>
      <c r="V18" s="65">
        <v>401.34726450000005</v>
      </c>
      <c r="W18" s="65">
        <v>419.3030205</v>
      </c>
      <c r="X18" s="65">
        <v>510.58671299999969</v>
      </c>
      <c r="Y18" s="70">
        <v>552.9851144999991</v>
      </c>
    </row>
    <row r="19" spans="2:72">
      <c r="B19" s="38">
        <f t="shared" si="1"/>
        <v>2500</v>
      </c>
      <c r="C19" s="43">
        <v>5.24</v>
      </c>
      <c r="D19" s="38">
        <f>746*60*BSFC!C19/(2*PI()*BSFC!B19)</f>
        <v>14.931432929854623</v>
      </c>
      <c r="E19" s="38">
        <f t="shared" si="0"/>
        <v>6.749421582733814</v>
      </c>
      <c r="F19" s="38">
        <f>(2*PI()*B19*'Specification &amp; Data'!B$15*3.6)/('Specification &amp; Data'!G$7*'Specification &amp; Data'!G$10*60)</f>
        <v>26.706723754959079</v>
      </c>
      <c r="G19" s="38">
        <f>(2*PI()*B19*'Specification &amp; Data'!B$15*3.6)/('Specification &amp; Data'!G$8*'Specification &amp; Data'!G$10*60)</f>
        <v>36.418259665853284</v>
      </c>
      <c r="H19" s="38">
        <f>2*PI()*B19*'Specification &amp; Data'!B$15*3.6/('Specification &amp; Data'!G$9*'Specification &amp; Data'!G$10*60)</f>
        <v>47.696172336569141</v>
      </c>
      <c r="K19" s="62">
        <v>8</v>
      </c>
      <c r="L19" s="63">
        <v>0</v>
      </c>
      <c r="M19" s="65">
        <v>693.5</v>
      </c>
      <c r="N19" s="65">
        <v>685.91174100000001</v>
      </c>
      <c r="O19" s="65">
        <v>688.48829499999999</v>
      </c>
      <c r="P19" s="65">
        <v>626.96707208789076</v>
      </c>
      <c r="Q19" s="65">
        <v>605.44584917578129</v>
      </c>
      <c r="R19" s="65">
        <v>583.92462626367194</v>
      </c>
      <c r="S19" s="65">
        <v>536.69450946972677</v>
      </c>
      <c r="T19" s="65">
        <v>489.46439267578143</v>
      </c>
      <c r="U19" s="65">
        <v>416.52538200000015</v>
      </c>
      <c r="V19" s="65">
        <v>430.19858700000003</v>
      </c>
      <c r="W19" s="65">
        <v>494.1401692499997</v>
      </c>
      <c r="X19" s="65">
        <v>563.03506350000009</v>
      </c>
      <c r="Y19" s="70">
        <v>628.62774975000002</v>
      </c>
    </row>
    <row r="20" spans="2:72">
      <c r="B20" s="38">
        <f t="shared" si="1"/>
        <v>2600</v>
      </c>
      <c r="C20" s="43">
        <v>5.5419999999999998</v>
      </c>
      <c r="D20" s="38">
        <f>746*60*BSFC!C20/(2*PI()*BSFC!B20)</f>
        <v>15.184600942684657</v>
      </c>
      <c r="E20" s="38">
        <f t="shared" si="0"/>
        <v>6.8638605423353614</v>
      </c>
      <c r="F20" s="38">
        <f>(2*PI()*B20*'Specification &amp; Data'!B$15*3.6)/('Specification &amp; Data'!G$7*'Specification &amp; Data'!G$10*60)</f>
        <v>27.774992705157437</v>
      </c>
      <c r="G20" s="38">
        <f>(2*PI()*B20*'Specification &amp; Data'!B$15*3.6)/('Specification &amp; Data'!G$8*'Specification &amp; Data'!G$10*60)</f>
        <v>37.874990052487412</v>
      </c>
      <c r="H20" s="38">
        <f>2*PI()*B20*'Specification &amp; Data'!B$15*3.6/('Specification &amp; Data'!G$9*'Specification &amp; Data'!G$10*60)</f>
        <v>49.604019230031902</v>
      </c>
      <c r="K20" s="62">
        <v>7</v>
      </c>
      <c r="L20" s="63">
        <v>0</v>
      </c>
      <c r="M20" s="65">
        <v>698.4</v>
      </c>
      <c r="N20" s="65">
        <v>698.97724800000003</v>
      </c>
      <c r="O20" s="65">
        <v>787.57302249999998</v>
      </c>
      <c r="P20" s="65">
        <v>661.67562825000005</v>
      </c>
      <c r="Q20" s="65">
        <v>626.82615450000003</v>
      </c>
      <c r="R20" s="65">
        <v>615.56794775683602</v>
      </c>
      <c r="S20" s="65">
        <v>583.1946429257813</v>
      </c>
      <c r="T20" s="65">
        <v>525.11244421289075</v>
      </c>
      <c r="U20" s="65">
        <v>459.20470050000006</v>
      </c>
      <c r="V20" s="65">
        <v>464.79867524999986</v>
      </c>
      <c r="W20" s="65">
        <v>539.13705300000015</v>
      </c>
      <c r="X20" s="65">
        <v>595.78195950000008</v>
      </c>
      <c r="Y20" s="70">
        <v>664.22251349999999</v>
      </c>
    </row>
    <row r="21" spans="2:72">
      <c r="B21" s="38">
        <f t="shared" si="1"/>
        <v>2700</v>
      </c>
      <c r="C21" s="43">
        <v>5.9340000000000002</v>
      </c>
      <c r="D21" s="38">
        <f>746*60*BSFC!C21/(2*PI()*BSFC!B21)</f>
        <v>15.656474944472244</v>
      </c>
      <c r="E21" s="38">
        <f t="shared" si="0"/>
        <v>7.0771606714628303</v>
      </c>
      <c r="F21" s="38">
        <f>(2*PI()*B21*'Specification &amp; Data'!B$15*3.6)/('Specification &amp; Data'!G$7*'Specification &amp; Data'!G$10*60)</f>
        <v>28.843261655355803</v>
      </c>
      <c r="G21" s="38">
        <f>(2*PI()*B21*'Specification &amp; Data'!B$15*3.6)/('Specification &amp; Data'!G$8*'Specification &amp; Data'!G$10*60)</f>
        <v>39.331720439121547</v>
      </c>
      <c r="H21" s="38">
        <f>2*PI()*B21*'Specification &amp; Data'!B$15*3.6/('Specification &amp; Data'!G$9*'Specification &amp; Data'!G$10*60)</f>
        <v>51.511866123494677</v>
      </c>
      <c r="K21" s="62">
        <v>6</v>
      </c>
      <c r="L21" s="74">
        <v>840.7</v>
      </c>
      <c r="M21" s="65">
        <v>704.5</v>
      </c>
      <c r="N21" s="65">
        <v>738.17376899999999</v>
      </c>
      <c r="O21" s="65">
        <v>787.44030450000002</v>
      </c>
      <c r="P21" s="65">
        <v>683.96983200000011</v>
      </c>
      <c r="Q21" s="65">
        <v>635.8471195781251</v>
      </c>
      <c r="R21" s="65">
        <v>647.21126924999999</v>
      </c>
      <c r="S21" s="65">
        <v>603.98588250000012</v>
      </c>
      <c r="T21" s="65">
        <v>560.76049575000002</v>
      </c>
      <c r="U21" s="65">
        <v>501.88401900000008</v>
      </c>
      <c r="V21" s="65">
        <v>488.66658750000005</v>
      </c>
      <c r="W21" s="65">
        <v>587.82742200000007</v>
      </c>
      <c r="X21" s="65">
        <v>605.09521800000005</v>
      </c>
      <c r="Y21" s="70">
        <v>676.95837300000005</v>
      </c>
    </row>
    <row r="22" spans="2:72">
      <c r="B22" s="38">
        <f t="shared" si="1"/>
        <v>2800</v>
      </c>
      <c r="C22" s="43">
        <v>6.3259999999999996</v>
      </c>
      <c r="D22" s="38">
        <f>746*60*BSFC!C22/(2*PI()*BSFC!B22)</f>
        <v>16.094643660417862</v>
      </c>
      <c r="E22" s="38">
        <f t="shared" si="0"/>
        <v>7.2752250770811937</v>
      </c>
      <c r="F22" s="38">
        <f>(2*PI()*B22*'Specification &amp; Data'!B$15*3.6)/('Specification &amp; Data'!G$7*'Specification &amp; Data'!G$10*60)</f>
        <v>29.911530605554162</v>
      </c>
      <c r="G22" s="38">
        <f>(2*PI()*B22*'Specification &amp; Data'!B$15*3.6)/('Specification &amp; Data'!G$8*'Specification &amp; Data'!G$10*60)</f>
        <v>40.788450825755675</v>
      </c>
      <c r="H22" s="38">
        <f>2*PI()*B22*'Specification &amp; Data'!B$15*3.6/('Specification &amp; Data'!G$9*'Specification &amp; Data'!G$10*60)</f>
        <v>53.419713016957438</v>
      </c>
      <c r="K22" s="62">
        <v>5</v>
      </c>
      <c r="L22" s="75">
        <v>962.5</v>
      </c>
      <c r="M22" s="76">
        <v>709.89366900000005</v>
      </c>
      <c r="N22" s="76">
        <v>750.50545199999999</v>
      </c>
      <c r="O22" s="76">
        <v>795.34446349999996</v>
      </c>
      <c r="P22" s="76">
        <v>726.49149299999999</v>
      </c>
      <c r="Q22" s="76">
        <v>707.63852250000014</v>
      </c>
      <c r="R22" s="76">
        <v>688.78555200000017</v>
      </c>
      <c r="S22" s="76">
        <v>651.64144500000009</v>
      </c>
      <c r="T22" s="76">
        <v>620.28480150000007</v>
      </c>
      <c r="U22" s="76">
        <v>588.92815799999994</v>
      </c>
      <c r="V22" s="76">
        <v>571.62166424999998</v>
      </c>
      <c r="W22" s="76">
        <v>626.15539350000006</v>
      </c>
      <c r="X22" s="76">
        <v>678.79579949999993</v>
      </c>
      <c r="Y22" s="77">
        <v>732.69842100000005</v>
      </c>
    </row>
    <row r="23" spans="2:72">
      <c r="B23" s="38">
        <f t="shared" si="1"/>
        <v>2900</v>
      </c>
      <c r="C23" s="43">
        <v>6.718</v>
      </c>
      <c r="D23" s="38">
        <f>746*60*BSFC!C23/(2*PI()*BSFC!B23)</f>
        <v>16.502593844229295</v>
      </c>
      <c r="E23" s="38">
        <f t="shared" si="0"/>
        <v>7.4596298685189781</v>
      </c>
      <c r="F23" s="38">
        <f>(2*PI()*B23*'Specification &amp; Data'!B$15*3.6)/('Specification &amp; Data'!G$7*'Specification &amp; Data'!G$10*60)</f>
        <v>30.979799555752525</v>
      </c>
      <c r="G23" s="38">
        <f>(2*PI()*B23*'Specification &amp; Data'!B$15*3.6)/('Specification &amp; Data'!G$8*'Specification &amp; Data'!G$10*60)</f>
        <v>42.245181212389802</v>
      </c>
      <c r="H23" s="38">
        <f>2*PI()*B23*'Specification &amp; Data'!B$15*3.6/('Specification &amp; Data'!G$9*'Specification &amp; Data'!G$10*60)</f>
        <v>55.327559910420199</v>
      </c>
      <c r="K23" s="62">
        <v>4</v>
      </c>
      <c r="L23" s="75">
        <v>1046.5</v>
      </c>
      <c r="M23" s="76">
        <v>741.90530775000002</v>
      </c>
      <c r="N23" s="76">
        <v>770.04351599999995</v>
      </c>
      <c r="O23" s="76">
        <v>824.23018400000001</v>
      </c>
      <c r="P23" s="76">
        <v>776.62339300000019</v>
      </c>
      <c r="Q23" s="76">
        <v>756.83180300000004</v>
      </c>
      <c r="R23" s="76">
        <v>717.30149399999993</v>
      </c>
      <c r="S23" s="76">
        <v>699.29700750000006</v>
      </c>
      <c r="T23" s="76">
        <v>679.80910725000024</v>
      </c>
      <c r="U23" s="76">
        <v>660.32120700000007</v>
      </c>
      <c r="V23" s="76">
        <v>654.57674099999997</v>
      </c>
      <c r="W23" s="76">
        <v>694.73210625000002</v>
      </c>
      <c r="X23" s="76">
        <v>736.71629849999999</v>
      </c>
      <c r="Y23" s="77">
        <v>777.48127275000002</v>
      </c>
    </row>
    <row r="24" spans="2:72">
      <c r="B24" s="38">
        <f t="shared" si="1"/>
        <v>3000</v>
      </c>
      <c r="C24" s="43">
        <v>7.17</v>
      </c>
      <c r="D24" s="38">
        <f>746*60*BSFC!C24/(2*PI()*BSFC!B24)</f>
        <v>17.025822854175832</v>
      </c>
      <c r="E24" s="38">
        <f t="shared" si="0"/>
        <v>7.696143884892086</v>
      </c>
      <c r="F24" s="38">
        <f>(2*PI()*B24*'Specification &amp; Data'!B$15*3.6)/('Specification &amp; Data'!G$7*'Specification &amp; Data'!G$10*60)</f>
        <v>32.048068505950887</v>
      </c>
      <c r="G24" s="38">
        <f>(2*PI()*B24*'Specification &amp; Data'!B$15*3.6)/('Specification &amp; Data'!G$8*'Specification &amp; Data'!G$10*60)</f>
        <v>43.701911599023937</v>
      </c>
      <c r="H24" s="38">
        <f>2*PI()*B24*'Specification &amp; Data'!B$15*3.6/('Specification &amp; Data'!G$9*'Specification &amp; Data'!G$10*60)</f>
        <v>57.235406803882967</v>
      </c>
      <c r="K24" s="62">
        <v>3</v>
      </c>
      <c r="L24" s="75">
        <v>1089.4000000000001</v>
      </c>
      <c r="M24" s="76">
        <v>883.70676300000002</v>
      </c>
      <c r="N24" s="76">
        <v>899.42299349999996</v>
      </c>
      <c r="O24" s="76">
        <v>862.21869000000004</v>
      </c>
      <c r="P24" s="76">
        <v>826.75529300000028</v>
      </c>
      <c r="Q24" s="76">
        <v>806.02508350000016</v>
      </c>
      <c r="R24" s="76">
        <v>754.57172700000012</v>
      </c>
      <c r="S24" s="76">
        <v>746.95257000000004</v>
      </c>
      <c r="T24" s="76">
        <v>739.33341300000006</v>
      </c>
      <c r="U24" s="76">
        <v>731.71425599999998</v>
      </c>
      <c r="V24" s="76">
        <v>724.095099</v>
      </c>
      <c r="W24" s="76">
        <v>763.30881900000008</v>
      </c>
      <c r="X24" s="76">
        <v>779.9862354375</v>
      </c>
      <c r="Y24" s="77">
        <v>811.6878542500001</v>
      </c>
    </row>
    <row r="25" spans="2:72">
      <c r="B25" s="38">
        <f t="shared" si="1"/>
        <v>3100</v>
      </c>
      <c r="C25" s="43">
        <v>7.5720000000000001</v>
      </c>
      <c r="D25" s="38">
        <f>746*60*BSFC!C25/(2*PI()*BSFC!B25)</f>
        <v>17.400395552951736</v>
      </c>
      <c r="E25" s="38">
        <f t="shared" si="0"/>
        <v>7.865461127871896</v>
      </c>
      <c r="F25" s="38">
        <f>(2*PI()*B25*'Specification &amp; Data'!B$15*3.6)/('Specification &amp; Data'!G$7*'Specification &amp; Data'!G$10*60)</f>
        <v>33.116337456149253</v>
      </c>
      <c r="G25" s="38">
        <f>(2*PI()*B25*'Specification &amp; Data'!B$15*3.6)/('Specification &amp; Data'!G$8*'Specification &amp; Data'!G$10*60)</f>
        <v>45.158641985658072</v>
      </c>
      <c r="H25" s="38">
        <f>2*PI()*B25*'Specification &amp; Data'!B$15*3.6/('Specification &amp; Data'!G$9*'Specification &amp; Data'!G$10*60)</f>
        <v>59.143253697345742</v>
      </c>
      <c r="K25" s="62">
        <v>2</v>
      </c>
      <c r="L25" s="75">
        <v>1114.33083223379</v>
      </c>
      <c r="M25" s="76">
        <v>995.51124182499996</v>
      </c>
      <c r="N25" s="76">
        <v>973.49813099999994</v>
      </c>
      <c r="O25" s="76">
        <v>928.55602200000101</v>
      </c>
      <c r="P25" s="76">
        <v>906.88719300000105</v>
      </c>
      <c r="Q25" s="76">
        <v>855.21836400000018</v>
      </c>
      <c r="R25" s="76">
        <v>833.54953499999999</v>
      </c>
      <c r="S25" s="76">
        <v>845.65189799999973</v>
      </c>
      <c r="T25" s="76">
        <v>828.30575099999987</v>
      </c>
      <c r="U25" s="76">
        <v>810.95960400000001</v>
      </c>
      <c r="V25" s="76">
        <v>793.61345700000015</v>
      </c>
      <c r="W25" s="76">
        <v>811.39196775000028</v>
      </c>
      <c r="X25" s="76">
        <v>823.25617237500001</v>
      </c>
      <c r="Y25" s="77">
        <v>839.06324774999996</v>
      </c>
    </row>
    <row r="26" spans="2:72">
      <c r="B26" s="38">
        <f t="shared" si="1"/>
        <v>3200</v>
      </c>
      <c r="C26" s="43">
        <v>8.0340000000000007</v>
      </c>
      <c r="D26" s="38">
        <f>746*60*BSFC!C26/(2*PI()*BSFC!B26)</f>
        <v>17.885128244044019</v>
      </c>
      <c r="E26" s="38">
        <f t="shared" si="0"/>
        <v>8.0845737410071958</v>
      </c>
      <c r="F26" s="38">
        <f>(2*PI()*B26*'Specification &amp; Data'!B$15*3.6)/('Specification &amp; Data'!G$7*'Specification &amp; Data'!G$10*60)</f>
        <v>34.184606406347626</v>
      </c>
      <c r="G26" s="38">
        <f>(2*PI()*B26*'Specification &amp; Data'!B$15*3.6)/('Specification &amp; Data'!G$8*'Specification &amp; Data'!G$10*60)</f>
        <v>46.615372372292214</v>
      </c>
      <c r="H26" s="38">
        <f>2*PI()*B26*'Specification &amp; Data'!B$15*3.6/('Specification &amp; Data'!G$9*'Specification &amp; Data'!G$10*60)</f>
        <v>61.051100590808517</v>
      </c>
      <c r="K26" s="62">
        <v>1</v>
      </c>
      <c r="L26" s="75">
        <v>1242.2207836175501</v>
      </c>
      <c r="M26" s="76">
        <v>1167.3096734999999</v>
      </c>
      <c r="N26" s="76">
        <v>1097.1272429999999</v>
      </c>
      <c r="O26" s="76">
        <v>1024.893354</v>
      </c>
      <c r="P26" s="76">
        <v>1050.5262436666601</v>
      </c>
      <c r="Q26" s="76">
        <v>966.15913333333356</v>
      </c>
      <c r="R26" s="76">
        <v>951.79202299999974</v>
      </c>
      <c r="S26" s="76">
        <v>944.35122599999977</v>
      </c>
      <c r="T26" s="76">
        <v>917.2780889999998</v>
      </c>
      <c r="U26" s="76">
        <v>890.20495199999982</v>
      </c>
      <c r="V26" s="76">
        <v>863.13181500000007</v>
      </c>
      <c r="W26" s="76">
        <v>859.47511650000047</v>
      </c>
      <c r="X26" s="76">
        <v>851.8755472500003</v>
      </c>
      <c r="Y26" s="77">
        <v>846.90455850000001</v>
      </c>
    </row>
    <row r="27" spans="2:72">
      <c r="B27" s="38">
        <f t="shared" si="1"/>
        <v>3300</v>
      </c>
      <c r="C27" s="43">
        <v>8.4960000000000004</v>
      </c>
      <c r="D27" s="38">
        <f>746*60*BSFC!C27/(2*PI()*BSFC!B27)</f>
        <v>18.340483196282221</v>
      </c>
      <c r="E27" s="38">
        <f t="shared" si="0"/>
        <v>8.2904068018312636</v>
      </c>
      <c r="F27" s="38">
        <f>(2*PI()*B27*'Specification &amp; Data'!B$15*3.6)/('Specification &amp; Data'!G$7*'Specification &amp; Data'!G$10*60)</f>
        <v>35.252875356545985</v>
      </c>
      <c r="G27" s="38">
        <f>(2*PI()*B27*'Specification &amp; Data'!B$15*3.6)/('Specification &amp; Data'!G$8*'Specification &amp; Data'!G$10*60)</f>
        <v>48.072102758926341</v>
      </c>
      <c r="H27" s="38">
        <f>2*PI()*B27*'Specification &amp; Data'!B$15*3.6/('Specification &amp; Data'!G$9*'Specification &amp; Data'!G$10*60)</f>
        <v>62.958947484271278</v>
      </c>
      <c r="K27" s="62">
        <v>0</v>
      </c>
      <c r="L27" s="75">
        <v>1570.85301</v>
      </c>
      <c r="M27" s="76">
        <v>1518.6450649999999</v>
      </c>
      <c r="N27" s="76">
        <v>1348.43712</v>
      </c>
      <c r="O27" s="76">
        <v>1257.2291749999999</v>
      </c>
      <c r="P27" s="76">
        <v>1246.0212300000001</v>
      </c>
      <c r="Q27" s="76">
        <v>1112.0777849999999</v>
      </c>
      <c r="R27" s="76">
        <v>1068.1343400000001</v>
      </c>
      <c r="S27" s="76">
        <v>1024.1908950000002</v>
      </c>
      <c r="T27" s="76">
        <v>987.1404269999997</v>
      </c>
      <c r="U27" s="76">
        <v>950.34029999999973</v>
      </c>
      <c r="V27" s="76">
        <v>913.5401730000001</v>
      </c>
      <c r="W27" s="76">
        <v>907.55826525000055</v>
      </c>
      <c r="X27" s="76">
        <v>880.49492212500047</v>
      </c>
      <c r="Y27" s="77">
        <v>862.48586925000097</v>
      </c>
    </row>
    <row r="28" spans="2:72">
      <c r="B28" s="38">
        <f t="shared" si="1"/>
        <v>3400</v>
      </c>
      <c r="C28" s="43">
        <v>8.9580000000000002</v>
      </c>
      <c r="D28" s="38">
        <f>746*60*BSFC!C28/(2*PI()*BSFC!B28)</f>
        <v>18.76905256309465</v>
      </c>
      <c r="E28" s="38">
        <f t="shared" si="0"/>
        <v>8.4841320355480345</v>
      </c>
      <c r="F28" s="38">
        <f>(2*PI()*B28*'Specification &amp; Data'!B$15*3.6)/('Specification &amp; Data'!G$7*'Specification &amp; Data'!G$10*60)</f>
        <v>36.321144306744344</v>
      </c>
      <c r="G28" s="38">
        <f>(2*PI()*B28*'Specification &amp; Data'!B$15*3.6)/('Specification &amp; Data'!G$8*'Specification &amp; Data'!G$10*60)</f>
        <v>49.528833145560462</v>
      </c>
      <c r="H28" s="38">
        <f>2*PI()*B28*'Specification &amp; Data'!B$15*3.6/('Specification &amp; Data'!G$9*'Specification &amp; Data'!G$10*60)</f>
        <v>64.866794377734024</v>
      </c>
      <c r="K28" s="78" t="s">
        <v>96</v>
      </c>
      <c r="L28" s="79">
        <v>500</v>
      </c>
      <c r="M28" s="80">
        <v>1000</v>
      </c>
      <c r="N28" s="80">
        <v>1500</v>
      </c>
      <c r="O28" s="80">
        <v>2000</v>
      </c>
      <c r="P28" s="80">
        <v>2500</v>
      </c>
      <c r="Q28" s="80">
        <v>3000</v>
      </c>
      <c r="R28" s="80">
        <v>3500</v>
      </c>
      <c r="S28" s="80">
        <v>4000</v>
      </c>
      <c r="T28" s="80">
        <v>4500</v>
      </c>
      <c r="U28" s="80">
        <v>5000</v>
      </c>
      <c r="V28" s="80">
        <v>5500</v>
      </c>
      <c r="W28" s="80">
        <v>6000</v>
      </c>
      <c r="X28" s="80">
        <v>6500</v>
      </c>
      <c r="Y28" s="81">
        <v>7000</v>
      </c>
    </row>
    <row r="29" spans="2:72">
      <c r="B29" s="38">
        <f t="shared" si="1"/>
        <v>3500</v>
      </c>
      <c r="C29" s="43">
        <v>9.2200000000000006</v>
      </c>
      <c r="D29" s="38">
        <f>746*60*BSFC!C29/(2*PI()*BSFC!B29)</f>
        <v>18.766059380215324</v>
      </c>
      <c r="E29" s="38">
        <f t="shared" si="0"/>
        <v>8.4827790339157261</v>
      </c>
      <c r="F29" s="38">
        <f>(2*PI()*B29*'Specification &amp; Data'!B$15*3.6)/('Specification &amp; Data'!G$7*'Specification &amp; Data'!G$10*60)</f>
        <v>37.389413256942703</v>
      </c>
      <c r="G29" s="38">
        <f>(2*PI()*B29*'Specification &amp; Data'!B$15*3.6)/('Specification &amp; Data'!G$8*'Specification &amp; Data'!G$10*60)</f>
        <v>50.985563532194597</v>
      </c>
      <c r="H29" s="38">
        <f>2*PI()*B29*'Specification &amp; Data'!B$15*3.6/('Specification &amp; Data'!G$9*'Specification &amp; Data'!G$10*60)</f>
        <v>66.774641271196799</v>
      </c>
    </row>
    <row r="30" spans="2:72">
      <c r="B30" s="38">
        <f t="shared" si="1"/>
        <v>3600</v>
      </c>
      <c r="C30" s="43">
        <v>9.6359999999999992</v>
      </c>
      <c r="D30" s="38">
        <f>746*60*BSFC!C30/(2*PI()*BSFC!B30)</f>
        <v>19.067971759976562</v>
      </c>
      <c r="E30" s="38">
        <f t="shared" si="0"/>
        <v>8.6192517985611516</v>
      </c>
      <c r="F30" s="38">
        <f>(2*PI()*B30*'Specification &amp; Data'!B$15*3.6)/('Specification &amp; Data'!G$7*'Specification &amp; Data'!G$10*60)</f>
        <v>38.457682207141076</v>
      </c>
      <c r="G30" s="38">
        <f>(2*PI()*B30*'Specification &amp; Data'!B$15*3.6)/('Specification &amp; Data'!G$8*'Specification &amp; Data'!G$10*60)</f>
        <v>52.442293918828732</v>
      </c>
      <c r="H30" s="38">
        <f>2*PI()*B30*'Specification &amp; Data'!B$15*3.6/('Specification &amp; Data'!G$9*'Specification &amp; Data'!G$10*60)</f>
        <v>68.682488164659574</v>
      </c>
    </row>
    <row r="31" spans="2:72">
      <c r="B31" s="38">
        <f t="shared" si="1"/>
        <v>3700</v>
      </c>
      <c r="C31" s="43">
        <v>9.8520000000000003</v>
      </c>
      <c r="D31" s="38">
        <f>746*60*BSFC!C31/(2*PI()*BSFC!B31)</f>
        <v>18.968495619059176</v>
      </c>
      <c r="E31" s="38">
        <f t="shared" si="0"/>
        <v>8.5742858253937388</v>
      </c>
      <c r="F31" s="38">
        <f>(2*PI()*B31*'Specification &amp; Data'!B$15*3.6)/('Specification &amp; Data'!G$7*'Specification &amp; Data'!G$10*60)</f>
        <v>39.525951157339435</v>
      </c>
      <c r="G31" s="38">
        <f>(2*PI()*B31*'Specification &amp; Data'!B$15*3.6)/('Specification &amp; Data'!G$8*'Specification &amp; Data'!G$10*60)</f>
        <v>53.899024305462866</v>
      </c>
      <c r="H31" s="38">
        <f>2*PI()*B31*'Specification &amp; Data'!B$15*3.6/('Specification &amp; Data'!G$9*'Specification &amp; Data'!G$10*60)</f>
        <v>70.590335058122335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</row>
    <row r="32" spans="2:72">
      <c r="B32" s="38">
        <f t="shared" si="1"/>
        <v>3800</v>
      </c>
      <c r="C32" s="43">
        <v>10.068</v>
      </c>
      <c r="D32" s="38">
        <f>746*60*BSFC!C32/(2*PI()*BSFC!B32)</f>
        <v>18.874255064505867</v>
      </c>
      <c r="E32" s="38">
        <f t="shared" si="0"/>
        <v>8.5316864823930327</v>
      </c>
      <c r="F32" s="38">
        <f>(2*PI()*B32*'Specification &amp; Data'!B$15*3.6)/('Specification &amp; Data'!G$7*'Specification &amp; Data'!G$10*60)</f>
        <v>40.594220107537801</v>
      </c>
      <c r="G32" s="38">
        <f>(2*PI()*B32*'Specification &amp; Data'!B$15*3.6)/('Specification &amp; Data'!G$8*'Specification &amp; Data'!G$10*60)</f>
        <v>55.355754692096994</v>
      </c>
      <c r="H32" s="38">
        <f>2*PI()*B32*'Specification &amp; Data'!B$15*3.6/('Specification &amp; Data'!G$9*'Specification &amp; Data'!G$10*60)</f>
        <v>72.498181951585096</v>
      </c>
      <c r="K32" s="38"/>
      <c r="L32" s="38"/>
    </row>
    <row r="33" spans="2:8">
      <c r="B33" s="38">
        <f t="shared" si="1"/>
        <v>3900</v>
      </c>
      <c r="C33" s="43">
        <v>10.284000000000001</v>
      </c>
      <c r="D33" s="38">
        <f>746*60*BSFC!C33/(2*PI()*BSFC!B33)</f>
        <v>18.78484735890401</v>
      </c>
      <c r="E33" s="38">
        <f t="shared" si="0"/>
        <v>8.4912717210846704</v>
      </c>
      <c r="F33" s="38">
        <f>(2*PI()*B33*'Specification &amp; Data'!B$15*3.6)/('Specification &amp; Data'!G$7*'Specification &amp; Data'!G$10*60)</f>
        <v>41.66248905773616</v>
      </c>
      <c r="G33" s="38">
        <f>(2*PI()*B33*'Specification &amp; Data'!B$15*3.6)/('Specification &amp; Data'!G$8*'Specification &amp; Data'!G$10*60)</f>
        <v>56.812485078731122</v>
      </c>
      <c r="H33" s="38">
        <f>2*PI()*B33*'Specification &amp; Data'!B$15*3.6/('Specification &amp; Data'!G$9*'Specification &amp; Data'!G$10*60)</f>
        <v>74.406028845047857</v>
      </c>
    </row>
    <row r="34" spans="2:8">
      <c r="B34" s="38">
        <f t="shared" si="1"/>
        <v>4000</v>
      </c>
      <c r="C34" s="43">
        <v>10.86</v>
      </c>
      <c r="D34" s="38">
        <f>746*60*BSFC!C34/(2*PI()*BSFC!B34)</f>
        <v>19.341049811333633</v>
      </c>
      <c r="E34" s="38">
        <f t="shared" si="0"/>
        <v>8.7426906474820143</v>
      </c>
      <c r="F34" s="38">
        <f>(2*PI()*B34*'Specification &amp; Data'!B$15*3.6)/('Specification &amp; Data'!G$7*'Specification &amp; Data'!G$10*60)</f>
        <v>42.730758007934512</v>
      </c>
      <c r="G34" s="38">
        <f>(2*PI()*B34*'Specification &amp; Data'!B$15*3.6)/('Specification &amp; Data'!G$8*'Specification &amp; Data'!G$10*60)</f>
        <v>58.269215465365242</v>
      </c>
      <c r="H34" s="38">
        <f>2*PI()*B34*'Specification &amp; Data'!B$15*3.6/('Specification &amp; Data'!G$9*'Specification &amp; Data'!G$10*60)</f>
        <v>76.313875738510617</v>
      </c>
    </row>
    <row r="35" spans="2:8">
      <c r="B35" s="38">
        <f t="shared" si="1"/>
        <v>4100</v>
      </c>
      <c r="C35" s="43">
        <v>11.45</v>
      </c>
      <c r="D35" s="38">
        <f>746*60*BSFC!C35/(2*PI()*BSFC!B35)</f>
        <v>19.894445523044521</v>
      </c>
      <c r="E35" s="38">
        <f t="shared" si="0"/>
        <v>8.9928408492718024</v>
      </c>
      <c r="F35" s="38">
        <f>(2*PI()*B35*'Specification &amp; Data'!B$15*3.6)/('Specification &amp; Data'!G$7*'Specification &amp; Data'!G$10*60)</f>
        <v>43.799026958132892</v>
      </c>
      <c r="G35" s="38">
        <f>(2*PI()*B35*'Specification &amp; Data'!B$15*3.6)/('Specification &amp; Data'!G$8*'Specification &amp; Data'!G$10*60)</f>
        <v>59.725945851999391</v>
      </c>
      <c r="H35" s="38">
        <f>2*PI()*B35*'Specification &amp; Data'!B$15*3.6/('Specification &amp; Data'!G$9*'Specification &amp; Data'!G$10*60)</f>
        <v>78.221722631973407</v>
      </c>
    </row>
    <row r="36" spans="2:8">
      <c r="B36" s="38">
        <f t="shared" si="1"/>
        <v>4200</v>
      </c>
      <c r="C36" s="43">
        <v>12.04</v>
      </c>
      <c r="D36" s="38">
        <f>746*60*BSFC!C36/(2*PI()*BSFC!B36)</f>
        <v>20.421489058007271</v>
      </c>
      <c r="E36" s="38">
        <f t="shared" si="0"/>
        <v>9.2310791366906457</v>
      </c>
      <c r="F36" s="38">
        <f>(2*PI()*B36*'Specification &amp; Data'!B$15*3.6)/('Specification &amp; Data'!G$7*'Specification &amp; Data'!G$10*60)</f>
        <v>44.867295908331251</v>
      </c>
      <c r="G36" s="38">
        <f>(2*PI()*B36*'Specification &amp; Data'!B$15*3.6)/('Specification &amp; Data'!G$8*'Specification &amp; Data'!G$10*60)</f>
        <v>61.182676238633519</v>
      </c>
      <c r="H36" s="38">
        <f>2*PI()*B36*'Specification &amp; Data'!B$15*3.6/('Specification &amp; Data'!G$9*'Specification &amp; Data'!G$10*60)</f>
        <v>80.129569525436168</v>
      </c>
    </row>
    <row r="37" spans="2:8">
      <c r="B37" s="38">
        <f t="shared" si="1"/>
        <v>4300</v>
      </c>
      <c r="C37" s="43">
        <v>12.63</v>
      </c>
      <c r="D37" s="38">
        <f>746*60*BSFC!C37/(2*PI()*BSFC!B37)</f>
        <v>20.924018940181064</v>
      </c>
      <c r="E37" s="38">
        <f t="shared" si="0"/>
        <v>9.4582365735318721</v>
      </c>
      <c r="F37" s="38">
        <f>(2*PI()*B37*'Specification &amp; Data'!B$15*3.6)/('Specification &amp; Data'!G$7*'Specification &amp; Data'!G$10*60)</f>
        <v>45.935564858529617</v>
      </c>
      <c r="G37" s="38">
        <f>(2*PI()*B37*'Specification &amp; Data'!B$15*3.6)/('Specification &amp; Data'!G$8*'Specification &amp; Data'!G$10*60)</f>
        <v>62.639406625267654</v>
      </c>
      <c r="H37" s="38">
        <f>2*PI()*B37*'Specification &amp; Data'!B$15*3.6/('Specification &amp; Data'!G$9*'Specification &amp; Data'!G$10*60)</f>
        <v>82.037416418898928</v>
      </c>
    </row>
    <row r="38" spans="2:8">
      <c r="B38" s="38">
        <f t="shared" si="1"/>
        <v>4400</v>
      </c>
      <c r="C38" s="43">
        <v>13.22</v>
      </c>
      <c r="D38" s="38">
        <f>746*60*BSFC!C38/(2*PI()*BSFC!B38)</f>
        <v>21.403706554983312</v>
      </c>
      <c r="E38" s="38">
        <f t="shared" si="0"/>
        <v>9.6750686723348611</v>
      </c>
      <c r="F38" s="38">
        <f>(2*PI()*B38*'Specification &amp; Data'!B$15*3.6)/('Specification &amp; Data'!G$7*'Specification &amp; Data'!G$10*60)</f>
        <v>47.003833808727975</v>
      </c>
      <c r="G38" s="38">
        <f>(2*PI()*B38*'Specification &amp; Data'!B$15*3.6)/('Specification &amp; Data'!G$8*'Specification &amp; Data'!G$10*60)</f>
        <v>64.096137011901789</v>
      </c>
      <c r="H38" s="38">
        <f>2*PI()*B38*'Specification &amp; Data'!B$15*3.6/('Specification &amp; Data'!G$9*'Specification &amp; Data'!G$10*60)</f>
        <v>83.945263312361689</v>
      </c>
    </row>
    <row r="39" spans="2:8">
      <c r="B39" s="38">
        <f t="shared" si="1"/>
        <v>4500</v>
      </c>
      <c r="C39" s="43">
        <v>13.81</v>
      </c>
      <c r="D39" s="38">
        <f>746*60*BSFC!C39/(2*PI()*BSFC!B39)</f>
        <v>21.862074720238795</v>
      </c>
      <c r="E39" s="38">
        <f t="shared" si="0"/>
        <v>9.8822637889688245</v>
      </c>
      <c r="F39" s="38">
        <f>(2*PI()*B39*'Specification &amp; Data'!B$15*3.6)/('Specification &amp; Data'!G$7*'Specification &amp; Data'!G$10*60)</f>
        <v>48.072102758926341</v>
      </c>
      <c r="G39" s="38">
        <f>(2*PI()*B39*'Specification &amp; Data'!B$15*3.6)/('Specification &amp; Data'!G$8*'Specification &amp; Data'!G$10*60)</f>
        <v>65.552867398535909</v>
      </c>
      <c r="H39" s="38">
        <f>2*PI()*B39*'Specification &amp; Data'!B$15*3.6/('Specification &amp; Data'!G$9*'Specification &amp; Data'!G$10*60)</f>
        <v>85.85311020582445</v>
      </c>
    </row>
    <row r="40" spans="2:8">
      <c r="B40" s="38">
        <f t="shared" si="1"/>
        <v>4600</v>
      </c>
      <c r="C40" s="43">
        <v>14.1</v>
      </c>
      <c r="D40" s="38">
        <f>746*60*BSFC!C40/(2*PI()*BSFC!B40)</f>
        <v>21.835919796605353</v>
      </c>
      <c r="E40" s="38">
        <f t="shared" si="0"/>
        <v>9.8704410384735688</v>
      </c>
      <c r="F40" s="38">
        <f>(2*PI()*B40*'Specification &amp; Data'!B$15*3.6)/('Specification &amp; Data'!G$7*'Specification &amp; Data'!G$10*60)</f>
        <v>49.1403717091247</v>
      </c>
      <c r="G40" s="38">
        <f>(2*PI()*B40*'Specification &amp; Data'!B$15*3.6)/('Specification &amp; Data'!G$8*'Specification &amp; Data'!G$10*60)</f>
        <v>67.009597785170044</v>
      </c>
      <c r="H40" s="38">
        <f>2*PI()*B40*'Specification &amp; Data'!B$15*3.6/('Specification &amp; Data'!G$9*'Specification &amp; Data'!G$10*60)</f>
        <v>87.760957099287225</v>
      </c>
    </row>
    <row r="41" spans="2:8">
      <c r="B41" s="38">
        <f t="shared" si="1"/>
        <v>4700</v>
      </c>
      <c r="C41" s="43">
        <v>14.39</v>
      </c>
      <c r="D41" s="38">
        <f>746*60*BSFC!C41/(2*PI()*BSFC!B41)</f>
        <v>21.810877848445674</v>
      </c>
      <c r="E41" s="38">
        <f t="shared" si="0"/>
        <v>9.8591213837440712</v>
      </c>
      <c r="F41" s="38">
        <f>(2*PI()*B41*'Specification &amp; Data'!B$15*3.6)/('Specification &amp; Data'!G$7*'Specification &amp; Data'!G$10*60)</f>
        <v>50.208640659323059</v>
      </c>
      <c r="G41" s="38">
        <f>(2*PI()*B41*'Specification &amp; Data'!B$15*3.6)/('Specification &amp; Data'!G$8*'Specification &amp; Data'!G$10*60)</f>
        <v>68.466328171804179</v>
      </c>
      <c r="H41" s="38">
        <f>2*PI()*B41*'Specification &amp; Data'!B$15*3.6/('Specification &amp; Data'!G$9*'Specification &amp; Data'!G$10*60)</f>
        <v>89.668803992749986</v>
      </c>
    </row>
    <row r="42" spans="2:8">
      <c r="B42" s="38">
        <f t="shared" si="1"/>
        <v>4800</v>
      </c>
      <c r="C42" s="43">
        <v>14.68</v>
      </c>
      <c r="D42" s="38">
        <f>746*60*BSFC!C42/(2*PI()*BSFC!B42)</f>
        <v>21.786879314792643</v>
      </c>
      <c r="E42" s="38">
        <f t="shared" si="0"/>
        <v>9.8482733812949643</v>
      </c>
      <c r="F42" s="38">
        <f>(2*PI()*B42*'Specification &amp; Data'!B$15*3.6)/('Specification &amp; Data'!G$7*'Specification &amp; Data'!G$10*60)</f>
        <v>51.276909609521425</v>
      </c>
      <c r="G42" s="38">
        <f>(2*PI()*B42*'Specification &amp; Data'!B$15*3.6)/('Specification &amp; Data'!G$8*'Specification &amp; Data'!G$10*60)</f>
        <v>69.923058558438299</v>
      </c>
      <c r="H42" s="38">
        <f>2*PI()*B42*'Specification &amp; Data'!B$15*3.6/('Specification &amp; Data'!G$9*'Specification &amp; Data'!G$10*60)</f>
        <v>91.576650886212747</v>
      </c>
    </row>
    <row r="43" spans="2:8">
      <c r="B43" s="38">
        <f t="shared" si="1"/>
        <v>4900</v>
      </c>
      <c r="C43" s="43">
        <v>14.97</v>
      </c>
      <c r="D43" s="38">
        <f>746*60*BSFC!C43/(2*PI()*BSFC!B43)</f>
        <v>21.763860313125459</v>
      </c>
      <c r="E43" s="38">
        <f t="shared" si="0"/>
        <v>9.8378681544560287</v>
      </c>
      <c r="F43" s="38">
        <f>(2*PI()*B43*'Specification &amp; Data'!B$15*3.6)/('Specification &amp; Data'!G$7*'Specification &amp; Data'!G$10*60)</f>
        <v>52.345178559719784</v>
      </c>
      <c r="G43" s="38">
        <f>(2*PI()*B43*'Specification &amp; Data'!B$15*3.6)/('Specification &amp; Data'!G$8*'Specification &amp; Data'!G$10*60)</f>
        <v>71.379788945072434</v>
      </c>
      <c r="H43" s="38">
        <f>2*PI()*B43*'Specification &amp; Data'!B$15*3.6/('Specification &amp; Data'!G$9*'Specification &amp; Data'!G$10*60)</f>
        <v>93.484497779675507</v>
      </c>
    </row>
    <row r="44" spans="2:8">
      <c r="B44" s="38">
        <f t="shared" si="1"/>
        <v>5000</v>
      </c>
      <c r="C44" s="43">
        <v>15.26</v>
      </c>
      <c r="D44" s="38">
        <f>746*60*BSFC!C44/(2*PI()*BSFC!B44)</f>
        <v>21.741762071524953</v>
      </c>
      <c r="E44" s="38">
        <f t="shared" si="0"/>
        <v>9.8278791366906475</v>
      </c>
      <c r="F44" s="38">
        <f>(2*PI()*B44*'Specification &amp; Data'!B$15*3.6)/('Specification &amp; Data'!G$7*'Specification &amp; Data'!G$10*60)</f>
        <v>53.413447509918157</v>
      </c>
      <c r="G44" s="38">
        <f>(2*PI()*B44*'Specification &amp; Data'!B$15*3.6)/('Specification &amp; Data'!G$8*'Specification &amp; Data'!G$10*60)</f>
        <v>72.836519331706569</v>
      </c>
      <c r="H44" s="38">
        <f>2*PI()*B44*'Specification &amp; Data'!B$15*3.6/('Specification &amp; Data'!G$9*'Specification &amp; Data'!G$10*60)</f>
        <v>95.392344673138282</v>
      </c>
    </row>
    <row r="45" spans="2:8">
      <c r="B45" s="38">
        <f t="shared" si="1"/>
        <v>5100</v>
      </c>
      <c r="C45" s="43">
        <v>15.59</v>
      </c>
      <c r="D45" s="38">
        <f>746*60*BSFC!C45/(2*PI()*BSFC!B45)</f>
        <v>21.776403174715007</v>
      </c>
      <c r="E45" s="38">
        <f t="shared" si="0"/>
        <v>9.8435378755818856</v>
      </c>
      <c r="F45" s="38">
        <f>(2*PI()*B45*'Specification &amp; Data'!B$15*3.6)/('Specification &amp; Data'!G$7*'Specification &amp; Data'!G$10*60)</f>
        <v>54.481716460116523</v>
      </c>
      <c r="G45" s="38">
        <f>(2*PI()*B45*'Specification &amp; Data'!B$15*3.6)/('Specification &amp; Data'!G$8*'Specification &amp; Data'!G$10*60)</f>
        <v>74.293249718340704</v>
      </c>
      <c r="H45" s="38">
        <f>2*PI()*B45*'Specification &amp; Data'!B$15*3.6/('Specification &amp; Data'!G$9*'Specification &amp; Data'!G$10*60)</f>
        <v>97.300191566601058</v>
      </c>
    </row>
    <row r="46" spans="2:8">
      <c r="B46" s="38">
        <f t="shared" si="1"/>
        <v>5200</v>
      </c>
      <c r="C46" s="43">
        <v>15.92</v>
      </c>
      <c r="D46" s="38">
        <f>746*60*BSFC!C46/(2*PI()*BSFC!B46)</f>
        <v>21.809711927782367</v>
      </c>
      <c r="E46" s="38">
        <f t="shared" si="0"/>
        <v>9.8585943552850033</v>
      </c>
      <c r="F46" s="38">
        <f>(2*PI()*B46*'Specification &amp; Data'!B$15*3.6)/('Specification &amp; Data'!G$7*'Specification &amp; Data'!G$10*60)</f>
        <v>55.549985410314875</v>
      </c>
      <c r="G46" s="38">
        <f>(2*PI()*B46*'Specification &amp; Data'!B$15*3.6)/('Specification &amp; Data'!G$8*'Specification &amp; Data'!G$10*60)</f>
        <v>75.749980104974824</v>
      </c>
      <c r="H46" s="38">
        <f>2*PI()*B46*'Specification &amp; Data'!B$15*3.6/('Specification &amp; Data'!G$9*'Specification &amp; Data'!G$10*60)</f>
        <v>99.208038460063804</v>
      </c>
    </row>
    <row r="47" spans="2:8">
      <c r="B47" s="38">
        <f t="shared" si="1"/>
        <v>5300</v>
      </c>
      <c r="C47" s="43">
        <v>16.25</v>
      </c>
      <c r="D47" s="38">
        <f>746*60*BSFC!C47/(2*PI()*BSFC!B47)</f>
        <v>21.841763746771711</v>
      </c>
      <c r="E47" s="38">
        <f t="shared" si="0"/>
        <v>9.8730826659427162</v>
      </c>
      <c r="F47" s="38">
        <f>(2*PI()*B47*'Specification &amp; Data'!B$15*3.6)/('Specification &amp; Data'!G$7*'Specification &amp; Data'!G$10*60)</f>
        <v>56.618254360513248</v>
      </c>
      <c r="G47" s="38">
        <f>(2*PI()*B47*'Specification &amp; Data'!B$15*3.6)/('Specification &amp; Data'!G$8*'Specification &amp; Data'!G$10*60)</f>
        <v>77.206710491608973</v>
      </c>
      <c r="H47" s="38">
        <f>2*PI()*B47*'Specification &amp; Data'!B$15*3.6/('Specification &amp; Data'!G$9*'Specification &amp; Data'!G$10*60)</f>
        <v>101.11588535352659</v>
      </c>
    </row>
    <row r="48" spans="2:8">
      <c r="B48" s="38">
        <f t="shared" si="1"/>
        <v>5400</v>
      </c>
      <c r="C48" s="43">
        <v>16.579999999999998</v>
      </c>
      <c r="D48" s="38">
        <f>746*60*BSFC!C48/(2*PI()*BSFC!B48)</f>
        <v>21.87262846135404</v>
      </c>
      <c r="E48" s="38">
        <f t="shared" si="0"/>
        <v>9.8870343725019971</v>
      </c>
      <c r="F48" s="38">
        <f>(2*PI()*B48*'Specification &amp; Data'!B$15*3.6)/('Specification &amp; Data'!G$7*'Specification &amp; Data'!G$10*60)</f>
        <v>57.686523310711607</v>
      </c>
      <c r="G48" s="38">
        <f>(2*PI()*B48*'Specification &amp; Data'!B$15*3.6)/('Specification &amp; Data'!G$8*'Specification &amp; Data'!G$10*60)</f>
        <v>78.663440878243094</v>
      </c>
      <c r="H48" s="38">
        <f>2*PI()*B48*'Specification &amp; Data'!B$15*3.6/('Specification &amp; Data'!G$9*'Specification &amp; Data'!G$10*60)</f>
        <v>103.02373224698935</v>
      </c>
    </row>
    <row r="49" spans="2:8">
      <c r="B49" s="38">
        <f t="shared" si="1"/>
        <v>5500</v>
      </c>
      <c r="C49" s="43">
        <v>16.940000000000001</v>
      </c>
      <c r="D49" s="38">
        <f>746*60*BSFC!C49/(2*PI()*BSFC!B49)</f>
        <v>21.941227778603167</v>
      </c>
      <c r="E49" s="38">
        <f t="shared" si="0"/>
        <v>9.9180431654676262</v>
      </c>
      <c r="F49" s="38">
        <f>(2*PI()*B49*'Specification &amp; Data'!B$15*3.6)/('Specification &amp; Data'!G$7*'Specification &amp; Data'!G$10*60)</f>
        <v>58.754792260909966</v>
      </c>
      <c r="G49" s="38">
        <f>(2*PI()*B49*'Specification &amp; Data'!B$15*3.6)/('Specification &amp; Data'!G$8*'Specification &amp; Data'!G$10*60)</f>
        <v>80.120171264877214</v>
      </c>
      <c r="H49" s="38">
        <f>2*PI()*B49*'Specification &amp; Data'!B$15*3.6/('Specification &amp; Data'!G$9*'Specification &amp; Data'!G$10*60)</f>
        <v>104.9315791404521</v>
      </c>
    </row>
    <row r="50" spans="2:8">
      <c r="B50" s="38">
        <f t="shared" si="1"/>
        <v>5600</v>
      </c>
      <c r="C50" s="43">
        <v>17.045000000000002</v>
      </c>
      <c r="D50" s="38">
        <f>746*60*BSFC!C50/(2*PI()*BSFC!B50)</f>
        <v>21.682990925689413</v>
      </c>
      <c r="E50" s="38">
        <f t="shared" si="0"/>
        <v>9.8013129496402893</v>
      </c>
      <c r="F50" s="38">
        <f>(2*PI()*B50*'Specification &amp; Data'!B$15*3.6)/('Specification &amp; Data'!G$7*'Specification &amp; Data'!G$10*60)</f>
        <v>59.823061211108325</v>
      </c>
      <c r="G50" s="38">
        <f>(2*PI()*B50*'Specification &amp; Data'!B$15*3.6)/('Specification &amp; Data'!G$8*'Specification &amp; Data'!G$10*60)</f>
        <v>81.576901651511349</v>
      </c>
      <c r="H50" s="38">
        <f>2*PI()*B50*'Specification &amp; Data'!B$15*3.6/('Specification &amp; Data'!G$9*'Specification &amp; Data'!G$10*60)</f>
        <v>106.83942603391488</v>
      </c>
    </row>
    <row r="51" spans="2:8">
      <c r="B51" s="38">
        <f t="shared" si="1"/>
        <v>5700</v>
      </c>
      <c r="C51" s="43">
        <v>17.11</v>
      </c>
      <c r="D51" s="38">
        <f>746*60*BSFC!C51/(2*PI()*BSFC!B51)</f>
        <v>21.383823609700396</v>
      </c>
      <c r="E51" s="38">
        <f t="shared" si="0"/>
        <v>9.6660810299129114</v>
      </c>
      <c r="F51" s="38">
        <f>(2*PI()*B51*'Specification &amp; Data'!B$15*3.6)/('Specification &amp; Data'!G$7*'Specification &amp; Data'!G$10*60)</f>
        <v>60.891330161306691</v>
      </c>
      <c r="G51" s="38">
        <f>(2*PI()*B51*'Specification &amp; Data'!B$15*3.6)/('Specification &amp; Data'!G$8*'Specification &amp; Data'!G$10*60)</f>
        <v>83.033632038145484</v>
      </c>
      <c r="H51" s="38">
        <f>2*PI()*B51*'Specification &amp; Data'!B$15*3.6/('Specification &amp; Data'!G$9*'Specification &amp; Data'!G$10*60)</f>
        <v>108.74727292737764</v>
      </c>
    </row>
    <row r="52" spans="2:8">
      <c r="B52" s="38">
        <f t="shared" si="1"/>
        <v>5800</v>
      </c>
      <c r="C52" s="43">
        <v>17.175000000000001</v>
      </c>
      <c r="D52" s="38">
        <f>746*60*BSFC!C52/(2*PI()*BSFC!B52)</f>
        <v>21.094972408055831</v>
      </c>
      <c r="E52" s="38">
        <f t="shared" si="0"/>
        <v>9.5355122798313072</v>
      </c>
      <c r="F52" s="38">
        <f>(2*PI()*B52*'Specification &amp; Data'!B$15*3.6)/('Specification &amp; Data'!G$7*'Specification &amp; Data'!G$10*60)</f>
        <v>61.95959911150505</v>
      </c>
      <c r="G52" s="38">
        <f>(2*PI()*B52*'Specification &amp; Data'!B$15*3.6)/('Specification &amp; Data'!G$8*'Specification &amp; Data'!G$10*60)</f>
        <v>84.490362424779605</v>
      </c>
      <c r="H52" s="38">
        <f>2*PI()*B52*'Specification &amp; Data'!B$15*3.6/('Specification &amp; Data'!G$9*'Specification &amp; Data'!G$10*60)</f>
        <v>110.6551198208404</v>
      </c>
    </row>
    <row r="53" spans="2:8">
      <c r="B53" s="38">
        <f t="shared" si="1"/>
        <v>5900</v>
      </c>
      <c r="C53" s="43">
        <v>17.239999999999998</v>
      </c>
      <c r="D53" s="38">
        <f>746*60*BSFC!C53/(2*PI()*BSFC!B53)</f>
        <v>20.815912772568705</v>
      </c>
      <c r="E53" s="38">
        <f t="shared" si="0"/>
        <v>9.4093695890745011</v>
      </c>
      <c r="F53" s="38">
        <f>(2*PI()*B53*'Specification &amp; Data'!B$15*3.6)/('Specification &amp; Data'!G$7*'Specification &amp; Data'!G$10*60)</f>
        <v>63.027868061703423</v>
      </c>
      <c r="G53" s="38">
        <f>(2*PI()*B53*'Specification &amp; Data'!B$15*3.6)/('Specification &amp; Data'!G$8*'Specification &amp; Data'!G$10*60)</f>
        <v>85.947092811413754</v>
      </c>
      <c r="H53" s="38">
        <f>2*PI()*B53*'Specification &amp; Data'!B$15*3.6/('Specification &amp; Data'!G$9*'Specification &amp; Data'!G$10*60)</f>
        <v>112.56296671430317</v>
      </c>
    </row>
    <row r="54" spans="2:8">
      <c r="B54" s="38">
        <f t="shared" si="1"/>
        <v>6000</v>
      </c>
      <c r="C54" s="43">
        <v>17.32</v>
      </c>
      <c r="D54" s="38">
        <f>746*60*BSFC!C54/(2*PI()*BSFC!B54)</f>
        <v>20.563964563063141</v>
      </c>
      <c r="E54" s="38">
        <f t="shared" si="0"/>
        <v>9.2954820143884884</v>
      </c>
      <c r="F54" s="38">
        <f>(2*PI()*B54*'Specification &amp; Data'!B$15*3.6)/('Specification &amp; Data'!G$7*'Specification &amp; Data'!G$10*60)</f>
        <v>64.096137011901774</v>
      </c>
      <c r="G54" s="38">
        <f>(2*PI()*B54*'Specification &amp; Data'!B$15*3.6)/('Specification &amp; Data'!G$8*'Specification &amp; Data'!G$10*60)</f>
        <v>87.403823198047874</v>
      </c>
      <c r="H54" s="38">
        <f>2*PI()*B54*'Specification &amp; Data'!B$15*3.6/('Specification &amp; Data'!G$9*'Specification &amp; Data'!G$10*60)</f>
        <v>114.47081360776593</v>
      </c>
    </row>
    <row r="55" spans="2:8">
      <c r="B55" s="38">
        <f t="shared" si="1"/>
        <v>6100</v>
      </c>
      <c r="C55" s="43">
        <v>17.37</v>
      </c>
      <c r="D55" s="38">
        <f>746*60*BSFC!C55/(2*PI()*BSFC!B55)</f>
        <v>20.285241990330903</v>
      </c>
      <c r="E55" s="38">
        <f t="shared" si="0"/>
        <v>9.1694916853402528</v>
      </c>
      <c r="F55" s="38">
        <f>(2*PI()*B55*'Specification &amp; Data'!B$15*3.6)/('Specification &amp; Data'!G$7*'Specification &amp; Data'!G$10*60)</f>
        <v>65.164405962100147</v>
      </c>
      <c r="G55" s="38">
        <f>(2*PI()*B55*'Specification &amp; Data'!B$15*3.6)/('Specification &amp; Data'!G$8*'Specification &amp; Data'!G$10*60)</f>
        <v>88.860553584682009</v>
      </c>
      <c r="H55" s="38">
        <f>2*PI()*B55*'Specification &amp; Data'!B$15*3.6/('Specification &amp; Data'!G$9*'Specification &amp; Data'!G$10*60)</f>
        <v>116.37866050122871</v>
      </c>
    </row>
    <row r="56" spans="2:8">
      <c r="B56" s="38">
        <f t="shared" si="1"/>
        <v>6200</v>
      </c>
      <c r="C56" s="43">
        <v>17.434999999999999</v>
      </c>
      <c r="D56" s="38">
        <f>746*60*BSFC!C56/(2*PI()*BSFC!B56)</f>
        <v>20.032745408459686</v>
      </c>
      <c r="E56" s="38">
        <f t="shared" si="0"/>
        <v>9.0553562311441169</v>
      </c>
      <c r="F56" s="38">
        <f>(2*PI()*B56*'Specification &amp; Data'!B$15*3.6)/('Specification &amp; Data'!G$7*'Specification &amp; Data'!G$10*60)</f>
        <v>66.232674912298506</v>
      </c>
      <c r="G56" s="38">
        <f>(2*PI()*B56*'Specification &amp; Data'!B$15*3.6)/('Specification &amp; Data'!G$8*'Specification &amp; Data'!G$10*60)</f>
        <v>90.317283971316144</v>
      </c>
      <c r="H56" s="38">
        <f>2*PI()*B56*'Specification &amp; Data'!B$15*3.6/('Specification &amp; Data'!G$9*'Specification &amp; Data'!G$10*60)</f>
        <v>118.28650739469148</v>
      </c>
    </row>
    <row r="57" spans="2:8">
      <c r="B57" s="38">
        <f t="shared" si="1"/>
        <v>6300</v>
      </c>
      <c r="C57" s="43">
        <v>17.5</v>
      </c>
      <c r="D57" s="38">
        <f>746*60*BSFC!C57/(2*PI()*BSFC!B57)</f>
        <v>19.788264591092322</v>
      </c>
      <c r="E57" s="38">
        <f t="shared" si="0"/>
        <v>8.944844124700241</v>
      </c>
      <c r="F57" s="38">
        <f>(2*PI()*B57*'Specification &amp; Data'!B$15*3.6)/('Specification &amp; Data'!G$7*'Specification &amp; Data'!G$10*60)</f>
        <v>67.300943862496879</v>
      </c>
      <c r="G57" s="38">
        <f>(2*PI()*B57*'Specification &amp; Data'!B$15*3.6)/('Specification &amp; Data'!G$8*'Specification &amp; Data'!G$10*60)</f>
        <v>91.774014357950293</v>
      </c>
      <c r="H57" s="38">
        <f>2*PI()*B57*'Specification &amp; Data'!B$15*3.6/('Specification &amp; Data'!G$9*'Specification &amp; Data'!G$10*60)</f>
        <v>120.19435428815426</v>
      </c>
    </row>
    <row r="58" spans="2:8">
      <c r="B58" s="38">
        <f t="shared" si="1"/>
        <v>6400</v>
      </c>
      <c r="C58" s="43">
        <v>17.8</v>
      </c>
      <c r="D58" s="38">
        <f>746*60*BSFC!C58/(2*PI()*BSFC!B58)</f>
        <v>19.812999921831185</v>
      </c>
      <c r="E58" s="38">
        <f t="shared" si="0"/>
        <v>8.9560251798561143</v>
      </c>
      <c r="F58" s="38">
        <f>(2*PI()*B58*'Specification &amp; Data'!B$15*3.6)/('Specification &amp; Data'!G$7*'Specification &amp; Data'!G$10*60)</f>
        <v>68.369212812695253</v>
      </c>
      <c r="G58" s="38">
        <f>(2*PI()*B58*'Specification &amp; Data'!B$15*3.6)/('Specification &amp; Data'!G$8*'Specification &amp; Data'!G$10*60)</f>
        <v>93.230744744584428</v>
      </c>
      <c r="H58" s="38">
        <f>2*PI()*B58*'Specification &amp; Data'!B$15*3.6/('Specification &amp; Data'!G$9*'Specification &amp; Data'!G$10*60)</f>
        <v>122.10220118161703</v>
      </c>
    </row>
    <row r="59" spans="2:8">
      <c r="B59" s="38">
        <f t="shared" si="1"/>
        <v>6500</v>
      </c>
      <c r="C59" s="43">
        <v>18</v>
      </c>
      <c r="D59" s="38">
        <f>746*60*BSFC!C59/(2*PI()*BSFC!B59)</f>
        <v>19.727377623119729</v>
      </c>
      <c r="E59" s="38">
        <f t="shared" si="0"/>
        <v>8.9173215273934705</v>
      </c>
      <c r="F59" s="38">
        <f>(2*PI()*B59*'Specification &amp; Data'!B$15*3.6)/('Specification &amp; Data'!G$7*'Specification &amp; Data'!G$10*60)</f>
        <v>69.437481762893611</v>
      </c>
      <c r="G59" s="38">
        <f>(2*PI()*B59*'Specification &amp; Data'!B$15*3.6)/('Specification &amp; Data'!G$8*'Specification &amp; Data'!G$10*60)</f>
        <v>94.687475131218548</v>
      </c>
      <c r="H59" s="38">
        <f>2*PI()*B59*'Specification &amp; Data'!B$15*3.6/('Specification &amp; Data'!G$9*'Specification &amp; Data'!G$10*60)</f>
        <v>124.01004807507978</v>
      </c>
    </row>
    <row r="60" spans="2:8">
      <c r="B60" s="38">
        <f t="shared" si="1"/>
        <v>6600</v>
      </c>
      <c r="C60" s="43">
        <v>16.8</v>
      </c>
      <c r="D60" s="38">
        <f>746*60*BSFC!C60/(2*PI()*BSFC!B60)</f>
        <v>18.133246098019143</v>
      </c>
      <c r="E60" s="38">
        <f t="shared" si="0"/>
        <v>8.1967298888162183</v>
      </c>
      <c r="F60" s="38">
        <f>(2*PI()*B60*'Specification &amp; Data'!B$15*3.6)/('Specification &amp; Data'!G$7*'Specification &amp; Data'!G$10*60)</f>
        <v>70.50575071309197</v>
      </c>
      <c r="G60" s="38">
        <f>(2*PI()*B60*'Specification &amp; Data'!B$15*3.6)/('Specification &amp; Data'!G$8*'Specification &amp; Data'!G$10*60)</f>
        <v>96.144205517852683</v>
      </c>
      <c r="H60" s="38">
        <f>2*PI()*B60*'Specification &amp; Data'!B$15*3.6/('Specification &amp; Data'!G$9*'Specification &amp; Data'!G$10*60)</f>
        <v>125.91789496854256</v>
      </c>
    </row>
    <row r="61" spans="2:8">
      <c r="B61" s="38">
        <f t="shared" si="1"/>
        <v>6700</v>
      </c>
      <c r="C61" s="43">
        <v>14</v>
      </c>
      <c r="D61" s="38">
        <f>746*60*BSFC!C61/(2*PI()*BSFC!B61)</f>
        <v>14.88550052822467</v>
      </c>
      <c r="E61" s="38">
        <f t="shared" si="0"/>
        <v>6.7286588639536129</v>
      </c>
      <c r="F61" s="38">
        <f>(2*PI()*B61*'Specification &amp; Data'!B$15*3.6)/('Specification &amp; Data'!G$7*'Specification &amp; Data'!G$10*60)</f>
        <v>71.574019663290329</v>
      </c>
      <c r="G61" s="38">
        <f>(2*PI()*B61*'Specification &amp; Data'!B$15*3.6)/('Specification &amp; Data'!G$8*'Specification &amp; Data'!G$10*60)</f>
        <v>97.600935904486803</v>
      </c>
      <c r="H61" s="38">
        <f>2*PI()*B61*'Specification &amp; Data'!B$15*3.6/('Specification &amp; Data'!G$9*'Specification &amp; Data'!G$10*60)</f>
        <v>127.82574186200532</v>
      </c>
    </row>
    <row r="62" spans="2:8">
      <c r="B62" s="38">
        <f t="shared" si="1"/>
        <v>6800</v>
      </c>
      <c r="C62" s="43">
        <v>13.483333333333301</v>
      </c>
      <c r="D62" s="38">
        <f>746*60*BSFC!C62/(2*PI()*BSFC!B62)</f>
        <v>14.125328871347337</v>
      </c>
      <c r="E62" s="38">
        <f t="shared" si="0"/>
        <v>6.3850402031315969</v>
      </c>
      <c r="F62" s="38">
        <f>(2*PI()*B62*'Specification &amp; Data'!B$15*3.6)/('Specification &amp; Data'!G$7*'Specification &amp; Data'!G$10*60)</f>
        <v>72.642288613488688</v>
      </c>
      <c r="G62" s="38">
        <f>(2*PI()*B62*'Specification &amp; Data'!B$15*3.6)/('Specification &amp; Data'!G$8*'Specification &amp; Data'!G$10*60)</f>
        <v>99.057666291120924</v>
      </c>
      <c r="H62" s="38">
        <f>2*PI()*B62*'Specification &amp; Data'!B$15*3.6/('Specification &amp; Data'!G$9*'Specification &amp; Data'!G$10*60)</f>
        <v>129.73358875546805</v>
      </c>
    </row>
    <row r="63" spans="2:8">
      <c r="B63" s="38">
        <f t="shared" si="1"/>
        <v>6900</v>
      </c>
      <c r="C63" s="43">
        <v>12.966666666666701</v>
      </c>
      <c r="D63" s="38">
        <f>746*60*BSFC!C63/(2*PI()*BSFC!B63)</f>
        <v>13.387191175539014</v>
      </c>
      <c r="E63" s="38">
        <f t="shared" si="0"/>
        <v>6.0513815034928733</v>
      </c>
      <c r="F63" s="38">
        <f>(2*PI()*B63*'Specification &amp; Data'!B$15*3.6)/('Specification &amp; Data'!G$7*'Specification &amp; Data'!G$10*60)</f>
        <v>73.710557563687047</v>
      </c>
      <c r="G63" s="38">
        <f>(2*PI()*B63*'Specification &amp; Data'!B$15*3.6)/('Specification &amp; Data'!G$8*'Specification &amp; Data'!G$10*60)</f>
        <v>100.51439667775507</v>
      </c>
      <c r="H63" s="38">
        <f>2*PI()*B63*'Specification &amp; Data'!B$15*3.6/('Specification &amp; Data'!G$9*'Specification &amp; Data'!G$10*60)</f>
        <v>131.64143564893084</v>
      </c>
    </row>
    <row r="64" spans="2:8">
      <c r="B64" s="38">
        <f t="shared" si="1"/>
        <v>7000</v>
      </c>
      <c r="C64" s="43">
        <v>12.45</v>
      </c>
      <c r="D64" s="38">
        <f>746*60*BSFC!C64/(2*PI()*BSFC!B64)</f>
        <v>12.670143128182255</v>
      </c>
      <c r="E64" s="38">
        <f t="shared" si="0"/>
        <v>5.7272559095580684</v>
      </c>
      <c r="F64" s="38">
        <f>(2*PI()*B64*'Specification &amp; Data'!B$15*3.6)/('Specification &amp; Data'!G$7*'Specification &amp; Data'!G$10*60)</f>
        <v>74.778826513885406</v>
      </c>
      <c r="G64" s="38">
        <f>(2*PI()*B64*'Specification &amp; Data'!B$15*3.6)/('Specification &amp; Data'!G$8*'Specification &amp; Data'!G$10*60)</f>
        <v>101.97112706438919</v>
      </c>
      <c r="H64" s="38">
        <f>2*PI()*B64*'Specification &amp; Data'!B$15*3.6/('Specification &amp; Data'!G$9*'Specification &amp; Data'!G$10*60)</f>
        <v>133.5492825423936</v>
      </c>
    </row>
    <row r="65" spans="2:2">
      <c r="B65" s="38"/>
    </row>
    <row r="66" spans="2:2">
      <c r="B66" s="38"/>
    </row>
    <row r="67" spans="2:2">
      <c r="B67" s="38"/>
    </row>
    <row r="68" spans="2:2">
      <c r="B68" s="38"/>
    </row>
    <row r="69" spans="2:2">
      <c r="B69" s="38"/>
    </row>
    <row r="70" spans="2:2">
      <c r="B70" s="38"/>
    </row>
    <row r="71" spans="2:2">
      <c r="B71" s="38"/>
    </row>
    <row r="72" spans="2:2">
      <c r="B72" s="38"/>
    </row>
    <row r="73" spans="2:2">
      <c r="B73" s="38"/>
    </row>
    <row r="74" spans="2:2">
      <c r="B74" s="38"/>
    </row>
    <row r="75" spans="2:2">
      <c r="B75" s="38"/>
    </row>
    <row r="76" spans="2:2">
      <c r="B76" s="38"/>
    </row>
    <row r="77" spans="2:2">
      <c r="B77" s="38"/>
    </row>
    <row r="78" spans="2:2">
      <c r="B78" s="38"/>
    </row>
    <row r="79" spans="2:2">
      <c r="B79" s="38"/>
    </row>
    <row r="80" spans="2:2">
      <c r="B80" s="38"/>
    </row>
    <row r="81" spans="2:2">
      <c r="B81" s="38"/>
    </row>
    <row r="82" spans="2:2">
      <c r="B82" s="38"/>
    </row>
    <row r="83" spans="2:2">
      <c r="B83" s="38"/>
    </row>
    <row r="84" spans="2:2">
      <c r="B84" s="38"/>
    </row>
    <row r="85" spans="2:2">
      <c r="B85" s="38"/>
    </row>
    <row r="86" spans="2:2">
      <c r="B86" s="38"/>
    </row>
    <row r="87" spans="2:2">
      <c r="B87" s="38"/>
    </row>
  </sheetData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dimension ref="B1:P319"/>
  <sheetViews>
    <sheetView tabSelected="1" zoomScale="80" zoomScaleNormal="80" workbookViewId="0">
      <selection activeCell="L5" sqref="L5"/>
    </sheetView>
  </sheetViews>
  <sheetFormatPr defaultRowHeight="15"/>
  <cols>
    <col min="1" max="1" width="9.140625" style="15"/>
    <col min="2" max="5" width="12" style="15" customWidth="1"/>
    <col min="6" max="6" width="12.7109375" style="15" bestFit="1" customWidth="1"/>
    <col min="7" max="7" width="12" style="15" customWidth="1"/>
    <col min="8" max="8" width="12.85546875" style="15" bestFit="1" customWidth="1"/>
    <col min="9" max="9" width="12" style="15" customWidth="1"/>
    <col min="10" max="10" width="14.85546875" style="15" bestFit="1" customWidth="1"/>
    <col min="11" max="11" width="24.85546875" style="15" bestFit="1" customWidth="1"/>
    <col min="12" max="12" width="14.5703125" style="15" bestFit="1" customWidth="1"/>
    <col min="13" max="13" width="25.140625" style="15" bestFit="1" customWidth="1"/>
    <col min="14" max="14" width="9.140625" style="15"/>
    <col min="15" max="15" width="72.7109375" style="15" bestFit="1" customWidth="1"/>
    <col min="16" max="16" width="11.140625" style="15" customWidth="1"/>
    <col min="17" max="16384" width="9.140625" style="15"/>
  </cols>
  <sheetData>
    <row r="1" spans="2:16" ht="20.25">
      <c r="B1" s="82" t="s">
        <v>193</v>
      </c>
    </row>
    <row r="2" spans="2:16">
      <c r="B2"/>
      <c r="C2"/>
      <c r="D2"/>
      <c r="E2"/>
      <c r="F2"/>
      <c r="G2"/>
      <c r="H2"/>
      <c r="I2"/>
      <c r="J2"/>
      <c r="K2"/>
      <c r="L2"/>
      <c r="M2"/>
      <c r="O2"/>
      <c r="P2"/>
    </row>
    <row r="3" spans="2:16">
      <c r="B3" s="41" t="s">
        <v>135</v>
      </c>
      <c r="C3" s="39" t="s">
        <v>96</v>
      </c>
      <c r="D3" s="39" t="s">
        <v>129</v>
      </c>
      <c r="E3" s="39" t="s">
        <v>130</v>
      </c>
      <c r="F3" s="39" t="s">
        <v>131</v>
      </c>
      <c r="G3" s="39" t="s">
        <v>132</v>
      </c>
      <c r="H3" s="40" t="s">
        <v>178</v>
      </c>
      <c r="I3" s="40" t="s">
        <v>179</v>
      </c>
      <c r="J3" s="40" t="s">
        <v>180</v>
      </c>
      <c r="K3" s="40" t="s">
        <v>181</v>
      </c>
      <c r="L3" s="39" t="s">
        <v>182</v>
      </c>
      <c r="M3" s="39" t="s">
        <v>183</v>
      </c>
      <c r="O3" s="40" t="s">
        <v>184</v>
      </c>
      <c r="P3" s="15">
        <f>SUM(J4:J318)</f>
        <v>503.0326916716138</v>
      </c>
    </row>
    <row r="4" spans="2:16">
      <c r="B4" s="48">
        <v>0</v>
      </c>
      <c r="C4" s="42">
        <v>1000</v>
      </c>
      <c r="D4" s="42">
        <v>0.68</v>
      </c>
      <c r="E4" s="3">
        <f>D4*746/1000</f>
        <v>0.50728000000000006</v>
      </c>
      <c r="F4" s="4">
        <f t="shared" ref="F4:F67" si="0">E4*60*1000/(2*PI()*C4)</f>
        <v>4.8441671718994019</v>
      </c>
      <c r="G4" s="50">
        <v>709.89369999999997</v>
      </c>
      <c r="H4" s="15">
        <v>0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O4" s="39" t="s">
        <v>185</v>
      </c>
      <c r="P4" s="46">
        <f>SUM(L4:L318)</f>
        <v>0.3898503360455014</v>
      </c>
    </row>
    <row r="5" spans="2:16">
      <c r="B5" s="48">
        <f>B4+1</f>
        <v>1</v>
      </c>
      <c r="C5" s="42">
        <v>1200</v>
      </c>
      <c r="D5" s="42">
        <v>1.03</v>
      </c>
      <c r="E5" s="3">
        <f t="shared" ref="E5:E68" si="1">D5*746/1000</f>
        <v>0.76837999999999995</v>
      </c>
      <c r="F5" s="4">
        <f t="shared" si="0"/>
        <v>6.1145737586475271</v>
      </c>
      <c r="G5" s="50">
        <v>738.17380000000003</v>
      </c>
      <c r="H5" s="15">
        <f t="shared" ref="H5:H68" si="2">((B5-B4)/3600)*E5</f>
        <v>2.1343888888888888E-4</v>
      </c>
      <c r="I5" s="15">
        <f>E5*G5/3600</f>
        <v>0.15755499567888889</v>
      </c>
      <c r="J5" s="15">
        <f>H5*G5</f>
        <v>0.15755499567888889</v>
      </c>
      <c r="K5" s="15">
        <f>K4+J5</f>
        <v>0.15755499567888889</v>
      </c>
      <c r="L5" s="15">
        <f>J5/1000*0.775</f>
        <v>1.2210512165113888E-4</v>
      </c>
      <c r="M5" s="15">
        <f>M4+L5</f>
        <v>1.2210512165113888E-4</v>
      </c>
      <c r="O5" s="39" t="s">
        <v>187</v>
      </c>
      <c r="P5" s="37">
        <f>29/P4</f>
        <v>74.387520847526631</v>
      </c>
    </row>
    <row r="6" spans="2:16">
      <c r="B6" s="48">
        <f t="shared" ref="B6:B69" si="3">B5+1</f>
        <v>2</v>
      </c>
      <c r="C6" s="42">
        <v>1400</v>
      </c>
      <c r="D6" s="42">
        <v>1.39</v>
      </c>
      <c r="E6" s="3">
        <f t="shared" si="1"/>
        <v>1.0369399999999998</v>
      </c>
      <c r="F6" s="4">
        <f t="shared" si="0"/>
        <v>7.0728911438447115</v>
      </c>
      <c r="G6" s="50">
        <v>698.97720000000004</v>
      </c>
      <c r="H6" s="38">
        <f t="shared" si="2"/>
        <v>2.8803888888888883E-4</v>
      </c>
      <c r="I6" s="38">
        <f t="shared" ref="I6:I69" si="4">E6*G6/3600</f>
        <v>0.20133261604666661</v>
      </c>
      <c r="J6" s="38">
        <f t="shared" ref="J6:J69" si="5">H6*G6</f>
        <v>0.20133261604666663</v>
      </c>
      <c r="K6" s="38">
        <f t="shared" ref="K6:K69" si="6">K5+J6</f>
        <v>0.3588876117255555</v>
      </c>
      <c r="L6" s="38">
        <f t="shared" ref="L6:L69" si="7">J6/1000*0.775</f>
        <v>1.5603277743616664E-4</v>
      </c>
      <c r="M6" s="38">
        <f t="shared" ref="M6:M69" si="8">M5+L6</f>
        <v>2.781378990873055E-4</v>
      </c>
      <c r="O6" s="39" t="s">
        <v>186</v>
      </c>
      <c r="P6" s="37">
        <f>P5*0.3145</f>
        <v>23.394875306547124</v>
      </c>
    </row>
    <row r="7" spans="2:16">
      <c r="B7" s="48">
        <f t="shared" si="3"/>
        <v>3</v>
      </c>
      <c r="C7" s="42">
        <v>1900</v>
      </c>
      <c r="D7" s="42">
        <v>2.92</v>
      </c>
      <c r="E7" s="3">
        <f t="shared" si="1"/>
        <v>2.1783200000000003</v>
      </c>
      <c r="F7" s="4">
        <f t="shared" si="0"/>
        <v>10.948117756924342</v>
      </c>
      <c r="G7" s="50">
        <v>671.42499999999995</v>
      </c>
      <c r="H7" s="38">
        <f t="shared" si="2"/>
        <v>6.0508888888888897E-4</v>
      </c>
      <c r="I7" s="38">
        <f t="shared" si="4"/>
        <v>0.40627180722222223</v>
      </c>
      <c r="J7" s="38">
        <f t="shared" si="5"/>
        <v>0.40627180722222223</v>
      </c>
      <c r="K7" s="38">
        <f t="shared" si="6"/>
        <v>0.76515941894777773</v>
      </c>
      <c r="L7" s="38">
        <f t="shared" si="7"/>
        <v>3.1486065059722223E-4</v>
      </c>
      <c r="M7" s="38">
        <f t="shared" si="8"/>
        <v>5.9299854968452768E-4</v>
      </c>
      <c r="O7" s="52" t="s">
        <v>188</v>
      </c>
      <c r="P7" s="53">
        <f>P6/29</f>
        <v>0.80671983815679738</v>
      </c>
    </row>
    <row r="8" spans="2:16">
      <c r="B8" s="48">
        <f t="shared" si="3"/>
        <v>4</v>
      </c>
      <c r="C8" s="42">
        <v>2300</v>
      </c>
      <c r="D8" s="42">
        <v>4.24</v>
      </c>
      <c r="E8" s="3">
        <f t="shared" si="1"/>
        <v>3.1630400000000001</v>
      </c>
      <c r="F8" s="4">
        <f t="shared" si="0"/>
        <v>13.132524813844922</v>
      </c>
      <c r="G8" s="50">
        <v>537.86</v>
      </c>
      <c r="H8" s="38">
        <f t="shared" si="2"/>
        <v>8.786222222222222E-4</v>
      </c>
      <c r="I8" s="38">
        <f t="shared" si="4"/>
        <v>0.47257574844444444</v>
      </c>
      <c r="J8" s="38">
        <f t="shared" si="5"/>
        <v>0.47257574844444444</v>
      </c>
      <c r="K8" s="38">
        <f t="shared" si="6"/>
        <v>1.2377351673922221</v>
      </c>
      <c r="L8" s="38">
        <f t="shared" si="7"/>
        <v>3.6624620504444445E-4</v>
      </c>
      <c r="M8" s="38">
        <f t="shared" si="8"/>
        <v>9.5924475472897218E-4</v>
      </c>
    </row>
    <row r="9" spans="2:16">
      <c r="B9" s="48">
        <f t="shared" si="3"/>
        <v>5</v>
      </c>
      <c r="C9" s="42">
        <v>2500</v>
      </c>
      <c r="D9" s="42">
        <v>5.24</v>
      </c>
      <c r="E9" s="3">
        <f t="shared" si="1"/>
        <v>3.9090400000000001</v>
      </c>
      <c r="F9" s="4">
        <f t="shared" si="0"/>
        <v>14.931432929854623</v>
      </c>
      <c r="G9" s="51">
        <v>519.9</v>
      </c>
      <c r="H9" s="38">
        <f t="shared" si="2"/>
        <v>1.0858444444444444E-3</v>
      </c>
      <c r="I9" s="38">
        <f t="shared" si="4"/>
        <v>0.5645305266666667</v>
      </c>
      <c r="J9" s="38">
        <f t="shared" si="5"/>
        <v>0.56453052666666659</v>
      </c>
      <c r="K9" s="38">
        <f t="shared" si="6"/>
        <v>1.8022656940588888</v>
      </c>
      <c r="L9" s="38">
        <f t="shared" si="7"/>
        <v>4.3751115816666663E-4</v>
      </c>
      <c r="M9" s="38">
        <f t="shared" si="8"/>
        <v>1.3967559128956388E-3</v>
      </c>
    </row>
    <row r="10" spans="2:16">
      <c r="B10" s="48">
        <f t="shared" si="3"/>
        <v>6</v>
      </c>
      <c r="C10" s="42">
        <v>2700</v>
      </c>
      <c r="D10" s="42">
        <v>5.93</v>
      </c>
      <c r="E10" s="3">
        <f t="shared" si="1"/>
        <v>4.4237799999999998</v>
      </c>
      <c r="F10" s="4">
        <f t="shared" si="0"/>
        <v>15.645921203356993</v>
      </c>
      <c r="G10" s="51">
        <v>516.02</v>
      </c>
      <c r="H10" s="38">
        <f t="shared" si="2"/>
        <v>1.2288277777777778E-3</v>
      </c>
      <c r="I10" s="38">
        <f t="shared" si="4"/>
        <v>0.63409970988888886</v>
      </c>
      <c r="J10" s="38">
        <f t="shared" si="5"/>
        <v>0.63409970988888886</v>
      </c>
      <c r="K10" s="38">
        <f t="shared" si="6"/>
        <v>2.4363654039477778</v>
      </c>
      <c r="L10" s="38">
        <f t="shared" si="7"/>
        <v>4.9142727516388886E-4</v>
      </c>
      <c r="M10" s="38">
        <f t="shared" si="8"/>
        <v>1.8881831880595277E-3</v>
      </c>
    </row>
    <row r="11" spans="2:16">
      <c r="B11" s="48">
        <f t="shared" si="3"/>
        <v>7</v>
      </c>
      <c r="C11" s="42">
        <v>3000</v>
      </c>
      <c r="D11" s="42">
        <v>7.17</v>
      </c>
      <c r="E11" s="3">
        <f t="shared" si="1"/>
        <v>5.3488199999999999</v>
      </c>
      <c r="F11" s="4">
        <f t="shared" si="0"/>
        <v>17.025822854175832</v>
      </c>
      <c r="G11" s="51">
        <v>504.2</v>
      </c>
      <c r="H11" s="38">
        <f t="shared" si="2"/>
        <v>1.4857833333333332E-3</v>
      </c>
      <c r="I11" s="38">
        <f t="shared" si="4"/>
        <v>0.74913195666666665</v>
      </c>
      <c r="J11" s="38">
        <f t="shared" si="5"/>
        <v>0.74913195666666654</v>
      </c>
      <c r="K11" s="38">
        <f t="shared" si="6"/>
        <v>3.1854973606144443</v>
      </c>
      <c r="L11" s="38">
        <f t="shared" si="7"/>
        <v>5.805772664166666E-4</v>
      </c>
      <c r="M11" s="38">
        <f t="shared" si="8"/>
        <v>2.4687604544761941E-3</v>
      </c>
    </row>
    <row r="12" spans="2:16">
      <c r="B12" s="48">
        <f t="shared" si="3"/>
        <v>8</v>
      </c>
      <c r="C12" s="42">
        <v>3200</v>
      </c>
      <c r="D12" s="42">
        <v>8.0299999999999994</v>
      </c>
      <c r="E12" s="3">
        <f t="shared" si="1"/>
        <v>5.9903799999999991</v>
      </c>
      <c r="F12" s="4">
        <f t="shared" si="0"/>
        <v>17.87622352497802</v>
      </c>
      <c r="G12" s="51">
        <v>498.7</v>
      </c>
      <c r="H12" s="38">
        <f t="shared" si="2"/>
        <v>1.6639944444444442E-3</v>
      </c>
      <c r="I12" s="38">
        <f t="shared" si="4"/>
        <v>0.82983402944444429</v>
      </c>
      <c r="J12" s="38">
        <f t="shared" si="5"/>
        <v>0.82983402944444429</v>
      </c>
      <c r="K12" s="38">
        <f t="shared" si="6"/>
        <v>4.0153313900588889</v>
      </c>
      <c r="L12" s="38">
        <f t="shared" si="7"/>
        <v>6.4312137281944434E-4</v>
      </c>
      <c r="M12" s="38">
        <f t="shared" si="8"/>
        <v>3.1118818272956386E-3</v>
      </c>
    </row>
    <row r="13" spans="2:16">
      <c r="B13" s="48">
        <f t="shared" si="3"/>
        <v>9</v>
      </c>
      <c r="C13" s="42">
        <v>3400</v>
      </c>
      <c r="D13" s="42">
        <v>8.9600000000000009</v>
      </c>
      <c r="E13" s="3">
        <f t="shared" si="1"/>
        <v>6.6841600000000003</v>
      </c>
      <c r="F13" s="4">
        <f t="shared" si="0"/>
        <v>18.773243019125704</v>
      </c>
      <c r="G13" s="51">
        <v>493.2</v>
      </c>
      <c r="H13" s="38">
        <f t="shared" si="2"/>
        <v>1.8567111111111112E-3</v>
      </c>
      <c r="I13" s="38">
        <f t="shared" si="4"/>
        <v>0.91572991999999998</v>
      </c>
      <c r="J13" s="38">
        <f t="shared" si="5"/>
        <v>0.91572992000000009</v>
      </c>
      <c r="K13" s="38">
        <f t="shared" si="6"/>
        <v>4.9310613100588894</v>
      </c>
      <c r="L13" s="38">
        <f t="shared" si="7"/>
        <v>7.0969068800000009E-4</v>
      </c>
      <c r="M13" s="38">
        <f t="shared" si="8"/>
        <v>3.8215725152956387E-3</v>
      </c>
    </row>
    <row r="14" spans="2:16">
      <c r="B14" s="48">
        <f t="shared" si="3"/>
        <v>10</v>
      </c>
      <c r="C14" s="42">
        <v>3600</v>
      </c>
      <c r="D14" s="42">
        <v>9.64</v>
      </c>
      <c r="E14" s="3">
        <f t="shared" si="1"/>
        <v>7.1914400000000009</v>
      </c>
      <c r="F14" s="4">
        <f t="shared" si="0"/>
        <v>19.075887065813003</v>
      </c>
      <c r="G14" s="51">
        <v>487.6</v>
      </c>
      <c r="H14" s="38">
        <f t="shared" si="2"/>
        <v>1.9976222222222225E-3</v>
      </c>
      <c r="I14" s="38">
        <f t="shared" si="4"/>
        <v>0.97404059555555578</v>
      </c>
      <c r="J14" s="38">
        <f t="shared" si="5"/>
        <v>0.97404059555555578</v>
      </c>
      <c r="K14" s="38">
        <f t="shared" si="6"/>
        <v>5.9051019056144449</v>
      </c>
      <c r="L14" s="38">
        <f t="shared" si="7"/>
        <v>7.5488146155555571E-4</v>
      </c>
      <c r="M14" s="38">
        <f t="shared" si="8"/>
        <v>4.5764539768511948E-3</v>
      </c>
    </row>
    <row r="15" spans="2:16">
      <c r="B15" s="48">
        <f t="shared" si="3"/>
        <v>11</v>
      </c>
      <c r="C15" s="42">
        <v>3800</v>
      </c>
      <c r="D15" s="42">
        <v>10.07</v>
      </c>
      <c r="E15" s="3">
        <f t="shared" si="1"/>
        <v>7.5122200000000001</v>
      </c>
      <c r="F15" s="4">
        <f t="shared" si="0"/>
        <v>18.878004419902073</v>
      </c>
      <c r="G15" s="51">
        <v>488.4</v>
      </c>
      <c r="H15" s="38">
        <f t="shared" si="2"/>
        <v>2.086727777777778E-3</v>
      </c>
      <c r="I15" s="38">
        <f t="shared" si="4"/>
        <v>1.0191578466666666</v>
      </c>
      <c r="J15" s="38">
        <f t="shared" si="5"/>
        <v>1.0191578466666666</v>
      </c>
      <c r="K15" s="38">
        <f t="shared" si="6"/>
        <v>6.9242597522811113</v>
      </c>
      <c r="L15" s="38">
        <f t="shared" si="7"/>
        <v>7.8984733116666667E-4</v>
      </c>
      <c r="M15" s="38">
        <f t="shared" si="8"/>
        <v>5.3663013080178616E-3</v>
      </c>
    </row>
    <row r="16" spans="2:16">
      <c r="B16" s="48">
        <f t="shared" si="3"/>
        <v>12</v>
      </c>
      <c r="C16" s="42">
        <v>3900</v>
      </c>
      <c r="D16" s="42">
        <v>10.28</v>
      </c>
      <c r="E16" s="3">
        <f t="shared" si="1"/>
        <v>7.6688799999999988</v>
      </c>
      <c r="F16" s="4">
        <f t="shared" si="0"/>
        <v>18.777540922747292</v>
      </c>
      <c r="G16" s="51">
        <v>488.4</v>
      </c>
      <c r="H16" s="38">
        <f t="shared" si="2"/>
        <v>2.1302444444444442E-3</v>
      </c>
      <c r="I16" s="38">
        <f t="shared" si="4"/>
        <v>1.0404113866666664</v>
      </c>
      <c r="J16" s="38">
        <f t="shared" si="5"/>
        <v>1.0404113866666664</v>
      </c>
      <c r="K16" s="38">
        <f t="shared" si="6"/>
        <v>7.9646711389477778</v>
      </c>
      <c r="L16" s="38">
        <f t="shared" si="7"/>
        <v>8.0631882466666643E-4</v>
      </c>
      <c r="M16" s="38">
        <f t="shared" si="8"/>
        <v>6.1726201326845285E-3</v>
      </c>
    </row>
    <row r="17" spans="2:13">
      <c r="B17" s="48">
        <f t="shared" si="3"/>
        <v>13</v>
      </c>
      <c r="C17" s="42">
        <v>4000</v>
      </c>
      <c r="D17" s="42">
        <v>10.86</v>
      </c>
      <c r="E17" s="3">
        <f t="shared" si="1"/>
        <v>8.1015599999999992</v>
      </c>
      <c r="F17" s="4">
        <f t="shared" si="0"/>
        <v>19.341049811333633</v>
      </c>
      <c r="G17" s="51">
        <v>482.7</v>
      </c>
      <c r="H17" s="38">
        <f t="shared" si="2"/>
        <v>2.2504333333333332E-3</v>
      </c>
      <c r="I17" s="38">
        <f t="shared" si="4"/>
        <v>1.0862841699999999</v>
      </c>
      <c r="J17" s="38">
        <f t="shared" si="5"/>
        <v>1.0862841699999999</v>
      </c>
      <c r="K17" s="38">
        <f t="shared" si="6"/>
        <v>9.0509553089477777</v>
      </c>
      <c r="L17" s="38">
        <f t="shared" si="7"/>
        <v>8.4187023174999993E-4</v>
      </c>
      <c r="M17" s="38">
        <f t="shared" si="8"/>
        <v>7.0144903644345285E-3</v>
      </c>
    </row>
    <row r="18" spans="2:13">
      <c r="B18" s="48">
        <f t="shared" si="3"/>
        <v>14</v>
      </c>
      <c r="C18" s="42">
        <v>4200</v>
      </c>
      <c r="D18" s="42">
        <v>12.04</v>
      </c>
      <c r="E18" s="3">
        <f t="shared" si="1"/>
        <v>8.98184</v>
      </c>
      <c r="F18" s="4">
        <f t="shared" si="0"/>
        <v>20.421489058007275</v>
      </c>
      <c r="G18" s="51">
        <v>479.7</v>
      </c>
      <c r="H18" s="38">
        <f t="shared" si="2"/>
        <v>2.4949555555555556E-3</v>
      </c>
      <c r="I18" s="38">
        <f t="shared" si="4"/>
        <v>1.1968301800000001</v>
      </c>
      <c r="J18" s="38">
        <f t="shared" si="5"/>
        <v>1.1968301800000001</v>
      </c>
      <c r="K18" s="38">
        <f t="shared" si="6"/>
        <v>10.247785488947777</v>
      </c>
      <c r="L18" s="38">
        <f t="shared" si="7"/>
        <v>9.2754338950000004E-4</v>
      </c>
      <c r="M18" s="38">
        <f t="shared" si="8"/>
        <v>7.9420337539345288E-3</v>
      </c>
    </row>
    <row r="19" spans="2:13">
      <c r="B19" s="48">
        <f t="shared" si="3"/>
        <v>15</v>
      </c>
      <c r="C19" s="42">
        <v>4300</v>
      </c>
      <c r="D19" s="42">
        <v>12.63</v>
      </c>
      <c r="E19" s="3">
        <f t="shared" si="1"/>
        <v>9.4219800000000014</v>
      </c>
      <c r="F19" s="4">
        <f t="shared" si="0"/>
        <v>20.924018940181067</v>
      </c>
      <c r="G19" s="51">
        <v>491.4</v>
      </c>
      <c r="H19" s="38">
        <f t="shared" si="2"/>
        <v>2.6172166666666671E-3</v>
      </c>
      <c r="I19" s="38">
        <f t="shared" si="4"/>
        <v>1.2861002700000002</v>
      </c>
      <c r="J19" s="38">
        <f t="shared" si="5"/>
        <v>1.2861002700000002</v>
      </c>
      <c r="K19" s="38">
        <f t="shared" si="6"/>
        <v>11.533885758947777</v>
      </c>
      <c r="L19" s="38">
        <f t="shared" si="7"/>
        <v>9.9672770925000008E-4</v>
      </c>
      <c r="M19" s="38">
        <f t="shared" si="8"/>
        <v>8.9387614631845289E-3</v>
      </c>
    </row>
    <row r="20" spans="2:13">
      <c r="B20" s="48">
        <f t="shared" si="3"/>
        <v>16</v>
      </c>
      <c r="C20" s="42">
        <v>4400</v>
      </c>
      <c r="D20" s="42">
        <v>13.22</v>
      </c>
      <c r="E20" s="3">
        <f t="shared" si="1"/>
        <v>9.8621200000000009</v>
      </c>
      <c r="F20" s="4">
        <f t="shared" si="0"/>
        <v>21.403706554983312</v>
      </c>
      <c r="G20" s="51">
        <v>483.6</v>
      </c>
      <c r="H20" s="38">
        <f t="shared" si="2"/>
        <v>2.7394777777777781E-3</v>
      </c>
      <c r="I20" s="38">
        <f t="shared" si="4"/>
        <v>1.3248114533333335</v>
      </c>
      <c r="J20" s="38">
        <f t="shared" si="5"/>
        <v>1.3248114533333335</v>
      </c>
      <c r="K20" s="38">
        <f t="shared" si="6"/>
        <v>12.858697212281111</v>
      </c>
      <c r="L20" s="38">
        <f t="shared" si="7"/>
        <v>1.0267288763333336E-3</v>
      </c>
      <c r="M20" s="38">
        <f t="shared" si="8"/>
        <v>9.9654903395178622E-3</v>
      </c>
    </row>
    <row r="21" spans="2:13">
      <c r="B21" s="48">
        <f t="shared" si="3"/>
        <v>17</v>
      </c>
      <c r="C21" s="42">
        <v>4500</v>
      </c>
      <c r="D21" s="42">
        <v>13.81</v>
      </c>
      <c r="E21" s="3">
        <f t="shared" si="1"/>
        <v>10.30226</v>
      </c>
      <c r="F21" s="4">
        <f t="shared" si="0"/>
        <v>21.862074720238798</v>
      </c>
      <c r="G21" s="51">
        <v>483.6</v>
      </c>
      <c r="H21" s="38">
        <f t="shared" si="2"/>
        <v>2.8617388888888891E-3</v>
      </c>
      <c r="I21" s="38">
        <f t="shared" si="4"/>
        <v>1.383936926666667</v>
      </c>
      <c r="J21" s="38">
        <f t="shared" si="5"/>
        <v>1.3839369266666668</v>
      </c>
      <c r="K21" s="38">
        <f t="shared" si="6"/>
        <v>14.242634138947778</v>
      </c>
      <c r="L21" s="38">
        <f t="shared" si="7"/>
        <v>1.0725511181666667E-3</v>
      </c>
      <c r="M21" s="38">
        <f t="shared" si="8"/>
        <v>1.1038041457684529E-2</v>
      </c>
    </row>
    <row r="22" spans="2:13">
      <c r="B22" s="48">
        <f t="shared" si="3"/>
        <v>18</v>
      </c>
      <c r="C22" s="42">
        <v>4600</v>
      </c>
      <c r="D22" s="42">
        <v>14.1</v>
      </c>
      <c r="E22" s="3">
        <f t="shared" si="1"/>
        <v>10.518600000000001</v>
      </c>
      <c r="F22" s="4">
        <f t="shared" si="0"/>
        <v>21.835919796605356</v>
      </c>
      <c r="G22" s="51">
        <v>483.6</v>
      </c>
      <c r="H22" s="38">
        <f t="shared" si="2"/>
        <v>2.9218333333333336E-3</v>
      </c>
      <c r="I22" s="38">
        <f t="shared" si="4"/>
        <v>1.4129986000000003</v>
      </c>
      <c r="J22" s="38">
        <f t="shared" si="5"/>
        <v>1.4129986000000001</v>
      </c>
      <c r="K22" s="38">
        <f t="shared" si="6"/>
        <v>15.655632738947778</v>
      </c>
      <c r="L22" s="38">
        <f t="shared" si="7"/>
        <v>1.095073915E-3</v>
      </c>
      <c r="M22" s="38">
        <f t="shared" si="8"/>
        <v>1.2133115372684529E-2</v>
      </c>
    </row>
    <row r="23" spans="2:13">
      <c r="B23" s="48">
        <f t="shared" si="3"/>
        <v>19</v>
      </c>
      <c r="C23" s="42">
        <v>4800</v>
      </c>
      <c r="D23" s="42">
        <v>14.68</v>
      </c>
      <c r="E23" s="3">
        <f t="shared" si="1"/>
        <v>10.951280000000001</v>
      </c>
      <c r="F23" s="4">
        <f t="shared" si="0"/>
        <v>21.786879314792646</v>
      </c>
      <c r="G23" s="51">
        <v>483.6</v>
      </c>
      <c r="H23" s="38">
        <f t="shared" si="2"/>
        <v>3.0420222222222225E-3</v>
      </c>
      <c r="I23" s="38">
        <f t="shared" si="4"/>
        <v>1.471121946666667</v>
      </c>
      <c r="J23" s="38">
        <f t="shared" si="5"/>
        <v>1.471121946666667</v>
      </c>
      <c r="K23" s="38">
        <f t="shared" si="6"/>
        <v>17.126754685614443</v>
      </c>
      <c r="L23" s="38">
        <f t="shared" si="7"/>
        <v>1.1401195086666669E-3</v>
      </c>
      <c r="M23" s="38">
        <f t="shared" si="8"/>
        <v>1.3273234881351195E-2</v>
      </c>
    </row>
    <row r="24" spans="2:13">
      <c r="B24" s="48">
        <f t="shared" si="3"/>
        <v>20</v>
      </c>
      <c r="C24" s="42">
        <v>4900</v>
      </c>
      <c r="D24" s="42">
        <v>14.97</v>
      </c>
      <c r="E24" s="3">
        <f t="shared" si="1"/>
        <v>11.167620000000001</v>
      </c>
      <c r="F24" s="4">
        <f t="shared" si="0"/>
        <v>21.763860313125459</v>
      </c>
      <c r="G24" s="51">
        <v>483.6</v>
      </c>
      <c r="H24" s="38">
        <f t="shared" si="2"/>
        <v>3.102116666666667E-3</v>
      </c>
      <c r="I24" s="38">
        <f t="shared" si="4"/>
        <v>1.5001836200000003</v>
      </c>
      <c r="J24" s="38">
        <f t="shared" si="5"/>
        <v>1.5001836200000003</v>
      </c>
      <c r="K24" s="38">
        <f t="shared" si="6"/>
        <v>18.626938305614445</v>
      </c>
      <c r="L24" s="38">
        <f t="shared" si="7"/>
        <v>1.1626423055000003E-3</v>
      </c>
      <c r="M24" s="38">
        <f t="shared" si="8"/>
        <v>1.4435877186851196E-2</v>
      </c>
    </row>
    <row r="25" spans="2:13">
      <c r="B25" s="48">
        <f t="shared" si="3"/>
        <v>21</v>
      </c>
      <c r="C25" s="42">
        <v>5000</v>
      </c>
      <c r="D25" s="42">
        <v>15.26</v>
      </c>
      <c r="E25" s="3">
        <f t="shared" si="1"/>
        <v>11.383959999999998</v>
      </c>
      <c r="F25" s="4">
        <f t="shared" si="0"/>
        <v>21.741762071524949</v>
      </c>
      <c r="G25" s="51">
        <v>470.6</v>
      </c>
      <c r="H25" s="38">
        <f t="shared" si="2"/>
        <v>3.1622111111111106E-3</v>
      </c>
      <c r="I25" s="38">
        <f t="shared" si="4"/>
        <v>1.4881365488888887</v>
      </c>
      <c r="J25" s="38">
        <f t="shared" si="5"/>
        <v>1.4881365488888887</v>
      </c>
      <c r="K25" s="38">
        <f t="shared" si="6"/>
        <v>20.115074854503334</v>
      </c>
      <c r="L25" s="38">
        <f t="shared" si="7"/>
        <v>1.1533058253888888E-3</v>
      </c>
      <c r="M25" s="38">
        <f t="shared" si="8"/>
        <v>1.5589183012240085E-2</v>
      </c>
    </row>
    <row r="26" spans="2:13">
      <c r="B26" s="48">
        <f t="shared" si="3"/>
        <v>22</v>
      </c>
      <c r="C26" s="42">
        <v>5200</v>
      </c>
      <c r="D26" s="42">
        <v>15.92</v>
      </c>
      <c r="E26" s="3">
        <f t="shared" si="1"/>
        <v>11.87632</v>
      </c>
      <c r="F26" s="4">
        <f t="shared" si="0"/>
        <v>21.80971192778237</v>
      </c>
      <c r="G26" s="51">
        <v>470.6</v>
      </c>
      <c r="H26" s="38">
        <f t="shared" si="2"/>
        <v>3.2989777777777778E-3</v>
      </c>
      <c r="I26" s="38">
        <f t="shared" si="4"/>
        <v>1.5524989422222224</v>
      </c>
      <c r="J26" s="38">
        <f t="shared" si="5"/>
        <v>1.5524989422222222</v>
      </c>
      <c r="K26" s="38">
        <f t="shared" si="6"/>
        <v>21.667573796725556</v>
      </c>
      <c r="L26" s="38">
        <f t="shared" si="7"/>
        <v>1.2031866802222223E-3</v>
      </c>
      <c r="M26" s="38">
        <f t="shared" si="8"/>
        <v>1.6792369692462308E-2</v>
      </c>
    </row>
    <row r="27" spans="2:13">
      <c r="B27" s="48">
        <f t="shared" si="3"/>
        <v>23</v>
      </c>
      <c r="C27" s="42">
        <v>5300</v>
      </c>
      <c r="D27" s="42">
        <v>16.25</v>
      </c>
      <c r="E27" s="3">
        <f t="shared" si="1"/>
        <v>12.1225</v>
      </c>
      <c r="F27" s="4">
        <f t="shared" si="0"/>
        <v>21.841763746771711</v>
      </c>
      <c r="G27" s="51">
        <v>470.6</v>
      </c>
      <c r="H27" s="38">
        <f t="shared" si="2"/>
        <v>3.3673611111111113E-3</v>
      </c>
      <c r="I27" s="38">
        <f t="shared" si="4"/>
        <v>1.5846801388888889</v>
      </c>
      <c r="J27" s="38">
        <f t="shared" si="5"/>
        <v>1.5846801388888891</v>
      </c>
      <c r="K27" s="38">
        <f t="shared" si="6"/>
        <v>23.252253935614444</v>
      </c>
      <c r="L27" s="38">
        <f t="shared" si="7"/>
        <v>1.228127107638889E-3</v>
      </c>
      <c r="M27" s="38">
        <f t="shared" si="8"/>
        <v>1.8020496800101198E-2</v>
      </c>
    </row>
    <row r="28" spans="2:13">
      <c r="B28" s="48">
        <f t="shared" si="3"/>
        <v>24</v>
      </c>
      <c r="C28" s="42">
        <v>5400</v>
      </c>
      <c r="D28" s="42">
        <v>16.579999999999998</v>
      </c>
      <c r="E28" s="3">
        <f t="shared" si="1"/>
        <v>12.368679999999998</v>
      </c>
      <c r="F28" s="4">
        <f t="shared" si="0"/>
        <v>21.87262846135404</v>
      </c>
      <c r="G28" s="51">
        <v>470.6</v>
      </c>
      <c r="H28" s="38">
        <f t="shared" si="2"/>
        <v>3.4357444444444436E-3</v>
      </c>
      <c r="I28" s="38">
        <f t="shared" si="4"/>
        <v>1.6168613355555554</v>
      </c>
      <c r="J28" s="38">
        <f t="shared" si="5"/>
        <v>1.6168613355555552</v>
      </c>
      <c r="K28" s="38">
        <f t="shared" si="6"/>
        <v>24.869115271169999</v>
      </c>
      <c r="L28" s="38">
        <f t="shared" si="7"/>
        <v>1.2530675350555553E-3</v>
      </c>
      <c r="M28" s="38">
        <f t="shared" si="8"/>
        <v>1.9273564335156753E-2</v>
      </c>
    </row>
    <row r="29" spans="2:13">
      <c r="B29" s="48">
        <f t="shared" si="3"/>
        <v>25</v>
      </c>
      <c r="C29" s="42">
        <v>5500</v>
      </c>
      <c r="D29" s="42">
        <v>16.940000000000001</v>
      </c>
      <c r="E29" s="3">
        <f t="shared" si="1"/>
        <v>12.637240000000002</v>
      </c>
      <c r="F29" s="4">
        <f t="shared" si="0"/>
        <v>21.941227778603171</v>
      </c>
      <c r="G29" s="51">
        <v>443.8</v>
      </c>
      <c r="H29" s="38">
        <f t="shared" si="2"/>
        <v>3.5103444444444451E-3</v>
      </c>
      <c r="I29" s="38">
        <f t="shared" si="4"/>
        <v>1.5578908644444447</v>
      </c>
      <c r="J29" s="38">
        <f t="shared" si="5"/>
        <v>1.5578908644444447</v>
      </c>
      <c r="K29" s="38">
        <f t="shared" si="6"/>
        <v>26.427006135614445</v>
      </c>
      <c r="L29" s="38">
        <f t="shared" si="7"/>
        <v>1.2073654199444446E-3</v>
      </c>
      <c r="M29" s="38">
        <f t="shared" si="8"/>
        <v>2.0480929755101199E-2</v>
      </c>
    </row>
    <row r="30" spans="2:13">
      <c r="B30" s="48">
        <f t="shared" si="3"/>
        <v>26</v>
      </c>
      <c r="C30" s="42">
        <v>5600</v>
      </c>
      <c r="D30" s="42">
        <v>17.05</v>
      </c>
      <c r="E30" s="3">
        <f t="shared" si="1"/>
        <v>12.7193</v>
      </c>
      <c r="F30" s="4">
        <f t="shared" si="0"/>
        <v>21.689351439307977</v>
      </c>
      <c r="G30" s="51">
        <v>443.8</v>
      </c>
      <c r="H30" s="38">
        <f t="shared" si="2"/>
        <v>3.533138888888889E-3</v>
      </c>
      <c r="I30" s="38">
        <f t="shared" si="4"/>
        <v>1.5680070388888889</v>
      </c>
      <c r="J30" s="38">
        <f t="shared" si="5"/>
        <v>1.5680070388888889</v>
      </c>
      <c r="K30" s="38">
        <f t="shared" si="6"/>
        <v>27.995013174503335</v>
      </c>
      <c r="L30" s="38">
        <f t="shared" si="7"/>
        <v>1.2152054551388891E-3</v>
      </c>
      <c r="M30" s="38">
        <f t="shared" si="8"/>
        <v>2.1696135210240088E-2</v>
      </c>
    </row>
    <row r="31" spans="2:13">
      <c r="B31" s="48">
        <f t="shared" si="3"/>
        <v>27</v>
      </c>
      <c r="C31" s="42">
        <v>5700</v>
      </c>
      <c r="D31" s="42">
        <v>17.11</v>
      </c>
      <c r="E31" s="3">
        <f t="shared" si="1"/>
        <v>12.764059999999999</v>
      </c>
      <c r="F31" s="4">
        <f t="shared" si="0"/>
        <v>21.383823609700396</v>
      </c>
      <c r="G31" s="51">
        <v>443.8</v>
      </c>
      <c r="H31" s="38">
        <f t="shared" si="2"/>
        <v>3.5455722222222218E-3</v>
      </c>
      <c r="I31" s="38">
        <f t="shared" si="4"/>
        <v>1.5735249522222221</v>
      </c>
      <c r="J31" s="38">
        <f t="shared" si="5"/>
        <v>1.5735249522222221</v>
      </c>
      <c r="K31" s="38">
        <f t="shared" si="6"/>
        <v>29.568538126725556</v>
      </c>
      <c r="L31" s="38">
        <f t="shared" si="7"/>
        <v>1.2194818379722221E-3</v>
      </c>
      <c r="M31" s="38">
        <f t="shared" si="8"/>
        <v>2.2915617048212308E-2</v>
      </c>
    </row>
    <row r="32" spans="2:13">
      <c r="B32" s="48">
        <f t="shared" si="3"/>
        <v>28</v>
      </c>
      <c r="C32" s="42">
        <v>5800</v>
      </c>
      <c r="D32" s="42">
        <v>17.18</v>
      </c>
      <c r="E32" s="3">
        <f t="shared" si="1"/>
        <v>12.816280000000001</v>
      </c>
      <c r="F32" s="4">
        <f t="shared" si="0"/>
        <v>21.101113593618585</v>
      </c>
      <c r="G32" s="51">
        <v>443.8</v>
      </c>
      <c r="H32" s="38">
        <f t="shared" si="2"/>
        <v>3.560077777777778E-3</v>
      </c>
      <c r="I32" s="38">
        <f t="shared" si="4"/>
        <v>1.5799625177777779</v>
      </c>
      <c r="J32" s="38">
        <f t="shared" si="5"/>
        <v>1.5799625177777779</v>
      </c>
      <c r="K32" s="38">
        <f t="shared" si="6"/>
        <v>31.148500644503333</v>
      </c>
      <c r="L32" s="38">
        <f t="shared" si="7"/>
        <v>1.2244709512777778E-3</v>
      </c>
      <c r="M32" s="38">
        <f t="shared" si="8"/>
        <v>2.4140087999490085E-2</v>
      </c>
    </row>
    <row r="33" spans="2:13">
      <c r="B33" s="48">
        <f t="shared" si="3"/>
        <v>29</v>
      </c>
      <c r="C33" s="42">
        <v>5900</v>
      </c>
      <c r="D33" s="42">
        <v>17.239999999999998</v>
      </c>
      <c r="E33" s="3">
        <f t="shared" si="1"/>
        <v>12.861039999999999</v>
      </c>
      <c r="F33" s="4">
        <f t="shared" si="0"/>
        <v>20.815912772568705</v>
      </c>
      <c r="G33" s="51">
        <v>469.1</v>
      </c>
      <c r="H33" s="38">
        <f t="shared" si="2"/>
        <v>3.5725111111111108E-3</v>
      </c>
      <c r="I33" s="38">
        <f t="shared" si="4"/>
        <v>1.6758649622222221</v>
      </c>
      <c r="J33" s="38">
        <f t="shared" si="5"/>
        <v>1.6758649622222221</v>
      </c>
      <c r="K33" s="38">
        <f t="shared" si="6"/>
        <v>32.824365606725557</v>
      </c>
      <c r="L33" s="38">
        <f t="shared" si="7"/>
        <v>1.2987953457222221E-3</v>
      </c>
      <c r="M33" s="38">
        <f t="shared" si="8"/>
        <v>2.5438883345212309E-2</v>
      </c>
    </row>
    <row r="34" spans="2:13">
      <c r="B34" s="48">
        <f t="shared" si="3"/>
        <v>30</v>
      </c>
      <c r="C34" s="42">
        <v>6000</v>
      </c>
      <c r="D34" s="42">
        <v>17.32</v>
      </c>
      <c r="E34" s="3">
        <f t="shared" si="1"/>
        <v>12.920719999999999</v>
      </c>
      <c r="F34" s="4">
        <f t="shared" si="0"/>
        <v>20.563964563063138</v>
      </c>
      <c r="G34" s="51">
        <v>469.1</v>
      </c>
      <c r="H34" s="38">
        <f t="shared" si="2"/>
        <v>3.5890888888888885E-3</v>
      </c>
      <c r="I34" s="38">
        <f t="shared" si="4"/>
        <v>1.6836415977777779</v>
      </c>
      <c r="J34" s="38">
        <f t="shared" si="5"/>
        <v>1.6836415977777777</v>
      </c>
      <c r="K34" s="38">
        <f t="shared" si="6"/>
        <v>34.508007204503336</v>
      </c>
      <c r="L34" s="38">
        <f t="shared" si="7"/>
        <v>1.3048222382777777E-3</v>
      </c>
      <c r="M34" s="38">
        <f t="shared" si="8"/>
        <v>2.6743705583490086E-2</v>
      </c>
    </row>
    <row r="35" spans="2:13">
      <c r="B35" s="48">
        <f t="shared" si="3"/>
        <v>31</v>
      </c>
      <c r="C35" s="42">
        <v>6100</v>
      </c>
      <c r="D35" s="42">
        <v>17.37</v>
      </c>
      <c r="E35" s="3">
        <f t="shared" si="1"/>
        <v>12.958020000000001</v>
      </c>
      <c r="F35" s="4">
        <f t="shared" si="0"/>
        <v>20.285241990330903</v>
      </c>
      <c r="G35" s="51">
        <v>469.1</v>
      </c>
      <c r="H35" s="38">
        <f t="shared" si="2"/>
        <v>3.5994500000000001E-3</v>
      </c>
      <c r="I35" s="38">
        <f t="shared" si="4"/>
        <v>1.6885019950000002</v>
      </c>
      <c r="J35" s="38">
        <f t="shared" si="5"/>
        <v>1.6885019950000002</v>
      </c>
      <c r="K35" s="38">
        <f t="shared" si="6"/>
        <v>36.196509199503339</v>
      </c>
      <c r="L35" s="38">
        <f t="shared" si="7"/>
        <v>1.3085890461250001E-3</v>
      </c>
      <c r="M35" s="38">
        <f t="shared" si="8"/>
        <v>2.8052294629615084E-2</v>
      </c>
    </row>
    <row r="36" spans="2:13">
      <c r="B36" s="48">
        <f t="shared" si="3"/>
        <v>32</v>
      </c>
      <c r="C36" s="42">
        <v>6200</v>
      </c>
      <c r="D36" s="42">
        <v>17.440000000000001</v>
      </c>
      <c r="E36" s="3">
        <f t="shared" si="1"/>
        <v>13.010240000000001</v>
      </c>
      <c r="F36" s="4">
        <f t="shared" si="0"/>
        <v>20.038490388502264</v>
      </c>
      <c r="G36" s="51">
        <v>469.1</v>
      </c>
      <c r="H36" s="38">
        <f t="shared" si="2"/>
        <v>3.6139555555555558E-3</v>
      </c>
      <c r="I36" s="38">
        <f t="shared" si="4"/>
        <v>1.6953065511111114</v>
      </c>
      <c r="J36" s="38">
        <f t="shared" si="5"/>
        <v>1.6953065511111114</v>
      </c>
      <c r="K36" s="38">
        <f t="shared" si="6"/>
        <v>37.891815750614448</v>
      </c>
      <c r="L36" s="38">
        <f t="shared" si="7"/>
        <v>1.3138625771111113E-3</v>
      </c>
      <c r="M36" s="38">
        <f t="shared" si="8"/>
        <v>2.9366157206726196E-2</v>
      </c>
    </row>
    <row r="37" spans="2:13">
      <c r="B37" s="48">
        <f t="shared" si="3"/>
        <v>33</v>
      </c>
      <c r="C37" s="42">
        <v>4800</v>
      </c>
      <c r="D37" s="42">
        <v>14.68</v>
      </c>
      <c r="E37" s="3">
        <f t="shared" si="1"/>
        <v>10.951280000000001</v>
      </c>
      <c r="F37" s="4">
        <f t="shared" si="0"/>
        <v>21.786879314792646</v>
      </c>
      <c r="G37" s="51">
        <v>483</v>
      </c>
      <c r="H37" s="38">
        <f t="shared" si="2"/>
        <v>3.0420222222222225E-3</v>
      </c>
      <c r="I37" s="38">
        <f t="shared" si="4"/>
        <v>1.4692967333333333</v>
      </c>
      <c r="J37" s="38">
        <f t="shared" si="5"/>
        <v>1.4692967333333335</v>
      </c>
      <c r="K37" s="38">
        <f t="shared" si="6"/>
        <v>39.361112483947778</v>
      </c>
      <c r="L37" s="38">
        <f t="shared" si="7"/>
        <v>1.1387049683333336E-3</v>
      </c>
      <c r="M37" s="38">
        <f t="shared" si="8"/>
        <v>3.050486217505953E-2</v>
      </c>
    </row>
    <row r="38" spans="2:13">
      <c r="B38" s="48">
        <f t="shared" si="3"/>
        <v>34</v>
      </c>
      <c r="C38" s="42">
        <v>4900</v>
      </c>
      <c r="D38" s="42">
        <v>14.97</v>
      </c>
      <c r="E38" s="3">
        <f t="shared" si="1"/>
        <v>11.167620000000001</v>
      </c>
      <c r="F38" s="4">
        <f t="shared" si="0"/>
        <v>21.763860313125459</v>
      </c>
      <c r="G38" s="51">
        <v>483</v>
      </c>
      <c r="H38" s="38">
        <f t="shared" si="2"/>
        <v>3.102116666666667E-3</v>
      </c>
      <c r="I38" s="38">
        <f t="shared" si="4"/>
        <v>1.49832235</v>
      </c>
      <c r="J38" s="38">
        <f t="shared" si="5"/>
        <v>1.4983223500000002</v>
      </c>
      <c r="K38" s="38">
        <f t="shared" si="6"/>
        <v>40.85943483394778</v>
      </c>
      <c r="L38" s="38">
        <f t="shared" si="7"/>
        <v>1.1611998212500002E-3</v>
      </c>
      <c r="M38" s="38">
        <f t="shared" si="8"/>
        <v>3.166606199630953E-2</v>
      </c>
    </row>
    <row r="39" spans="2:13">
      <c r="B39" s="48">
        <f t="shared" si="3"/>
        <v>35</v>
      </c>
      <c r="C39" s="42">
        <v>5000</v>
      </c>
      <c r="D39" s="42">
        <v>15.26</v>
      </c>
      <c r="E39" s="3">
        <f t="shared" si="1"/>
        <v>11.383959999999998</v>
      </c>
      <c r="F39" s="4">
        <f t="shared" si="0"/>
        <v>21.741762071524949</v>
      </c>
      <c r="G39" s="51">
        <v>470.5</v>
      </c>
      <c r="H39" s="38">
        <f t="shared" si="2"/>
        <v>3.1622111111111106E-3</v>
      </c>
      <c r="I39" s="38">
        <f t="shared" si="4"/>
        <v>1.4878203277777775</v>
      </c>
      <c r="J39" s="38">
        <f t="shared" si="5"/>
        <v>1.4878203277777775</v>
      </c>
      <c r="K39" s="38">
        <f t="shared" si="6"/>
        <v>42.347255161725556</v>
      </c>
      <c r="L39" s="38">
        <f t="shared" si="7"/>
        <v>1.1530607540277775E-3</v>
      </c>
      <c r="M39" s="38">
        <f t="shared" si="8"/>
        <v>3.2819122750337305E-2</v>
      </c>
    </row>
    <row r="40" spans="2:13">
      <c r="B40" s="48">
        <f t="shared" si="3"/>
        <v>36</v>
      </c>
      <c r="C40" s="42">
        <v>5100</v>
      </c>
      <c r="D40" s="42">
        <v>15.59</v>
      </c>
      <c r="E40" s="3">
        <f t="shared" si="1"/>
        <v>11.630139999999999</v>
      </c>
      <c r="F40" s="4">
        <f t="shared" si="0"/>
        <v>21.776403174715004</v>
      </c>
      <c r="G40" s="51">
        <v>470.5</v>
      </c>
      <c r="H40" s="38">
        <f t="shared" si="2"/>
        <v>3.2305944444444442E-3</v>
      </c>
      <c r="I40" s="38">
        <f t="shared" si="4"/>
        <v>1.5199946861111109</v>
      </c>
      <c r="J40" s="38">
        <f t="shared" si="5"/>
        <v>1.5199946861111109</v>
      </c>
      <c r="K40" s="38">
        <f t="shared" si="6"/>
        <v>43.867249847836668</v>
      </c>
      <c r="L40" s="38">
        <f t="shared" si="7"/>
        <v>1.177995881736111E-3</v>
      </c>
      <c r="M40" s="38">
        <f t="shared" si="8"/>
        <v>3.3997118632073414E-2</v>
      </c>
    </row>
    <row r="41" spans="2:13">
      <c r="B41" s="48">
        <f t="shared" si="3"/>
        <v>37</v>
      </c>
      <c r="C41" s="42">
        <v>5100</v>
      </c>
      <c r="D41" s="42">
        <v>15.59</v>
      </c>
      <c r="E41" s="3">
        <f t="shared" si="1"/>
        <v>11.630139999999999</v>
      </c>
      <c r="F41" s="4">
        <f t="shared" si="0"/>
        <v>21.776403174715004</v>
      </c>
      <c r="G41" s="51">
        <v>470.5</v>
      </c>
      <c r="H41" s="38">
        <f t="shared" si="2"/>
        <v>3.2305944444444442E-3</v>
      </c>
      <c r="I41" s="38">
        <f t="shared" si="4"/>
        <v>1.5199946861111109</v>
      </c>
      <c r="J41" s="38">
        <f t="shared" si="5"/>
        <v>1.5199946861111109</v>
      </c>
      <c r="K41" s="38">
        <f t="shared" si="6"/>
        <v>45.387244533947779</v>
      </c>
      <c r="L41" s="38">
        <f t="shared" si="7"/>
        <v>1.177995881736111E-3</v>
      </c>
      <c r="M41" s="38">
        <f t="shared" si="8"/>
        <v>3.5175114513809523E-2</v>
      </c>
    </row>
    <row r="42" spans="2:13">
      <c r="B42" s="48">
        <f t="shared" si="3"/>
        <v>38</v>
      </c>
      <c r="C42" s="42">
        <v>5200</v>
      </c>
      <c r="D42" s="42">
        <v>15.92</v>
      </c>
      <c r="E42" s="3">
        <f t="shared" si="1"/>
        <v>11.87632</v>
      </c>
      <c r="F42" s="4">
        <f t="shared" si="0"/>
        <v>21.80971192778237</v>
      </c>
      <c r="G42" s="51">
        <v>470.5</v>
      </c>
      <c r="H42" s="38">
        <f t="shared" si="2"/>
        <v>3.2989777777777778E-3</v>
      </c>
      <c r="I42" s="38">
        <f t="shared" si="4"/>
        <v>1.5521690444444443</v>
      </c>
      <c r="J42" s="38">
        <f t="shared" si="5"/>
        <v>1.5521690444444445</v>
      </c>
      <c r="K42" s="38">
        <f t="shared" si="6"/>
        <v>46.939413578392227</v>
      </c>
      <c r="L42" s="38">
        <f t="shared" si="7"/>
        <v>1.2029310094444443E-3</v>
      </c>
      <c r="M42" s="38">
        <f t="shared" si="8"/>
        <v>3.6378045523253966E-2</v>
      </c>
    </row>
    <row r="43" spans="2:13">
      <c r="B43" s="48">
        <f t="shared" si="3"/>
        <v>39</v>
      </c>
      <c r="C43" s="42">
        <v>5200</v>
      </c>
      <c r="D43" s="42">
        <v>15.92</v>
      </c>
      <c r="E43" s="3">
        <f t="shared" si="1"/>
        <v>11.87632</v>
      </c>
      <c r="F43" s="4">
        <f t="shared" si="0"/>
        <v>21.80971192778237</v>
      </c>
      <c r="G43" s="51">
        <v>470.5</v>
      </c>
      <c r="H43" s="38">
        <f t="shared" si="2"/>
        <v>3.2989777777777778E-3</v>
      </c>
      <c r="I43" s="38">
        <f t="shared" si="4"/>
        <v>1.5521690444444443</v>
      </c>
      <c r="J43" s="38">
        <f t="shared" si="5"/>
        <v>1.5521690444444445</v>
      </c>
      <c r="K43" s="38">
        <f t="shared" si="6"/>
        <v>48.491582622836674</v>
      </c>
      <c r="L43" s="38">
        <f t="shared" si="7"/>
        <v>1.2029310094444443E-3</v>
      </c>
      <c r="M43" s="38">
        <f t="shared" si="8"/>
        <v>3.7580976532698408E-2</v>
      </c>
    </row>
    <row r="44" spans="2:13">
      <c r="B44" s="48">
        <f t="shared" si="3"/>
        <v>40</v>
      </c>
      <c r="C44" s="42">
        <v>5300</v>
      </c>
      <c r="D44" s="42">
        <v>16.25</v>
      </c>
      <c r="E44" s="3">
        <f t="shared" si="1"/>
        <v>12.1225</v>
      </c>
      <c r="F44" s="4">
        <f t="shared" si="0"/>
        <v>21.841763746771711</v>
      </c>
      <c r="G44" s="51">
        <v>470.5</v>
      </c>
      <c r="H44" s="38">
        <f t="shared" si="2"/>
        <v>3.3673611111111113E-3</v>
      </c>
      <c r="I44" s="38">
        <f t="shared" si="4"/>
        <v>1.5843434027777779</v>
      </c>
      <c r="J44" s="38">
        <f t="shared" si="5"/>
        <v>1.5843434027777779</v>
      </c>
      <c r="K44" s="38">
        <f t="shared" si="6"/>
        <v>50.07592602561445</v>
      </c>
      <c r="L44" s="38">
        <f t="shared" si="7"/>
        <v>1.2278661371527778E-3</v>
      </c>
      <c r="M44" s="38">
        <f t="shared" si="8"/>
        <v>3.8808842669851185E-2</v>
      </c>
    </row>
    <row r="45" spans="2:13">
      <c r="B45" s="48">
        <f t="shared" si="3"/>
        <v>41</v>
      </c>
      <c r="C45" s="42">
        <v>5300</v>
      </c>
      <c r="D45" s="42">
        <v>16.25</v>
      </c>
      <c r="E45" s="3">
        <f t="shared" si="1"/>
        <v>12.1225</v>
      </c>
      <c r="F45" s="4">
        <f t="shared" si="0"/>
        <v>21.841763746771711</v>
      </c>
      <c r="G45" s="51">
        <v>470.5</v>
      </c>
      <c r="H45" s="38">
        <f t="shared" si="2"/>
        <v>3.3673611111111113E-3</v>
      </c>
      <c r="I45" s="38">
        <f t="shared" si="4"/>
        <v>1.5843434027777779</v>
      </c>
      <c r="J45" s="38">
        <f t="shared" si="5"/>
        <v>1.5843434027777779</v>
      </c>
      <c r="K45" s="38">
        <f t="shared" si="6"/>
        <v>51.660269428392226</v>
      </c>
      <c r="L45" s="38">
        <f t="shared" si="7"/>
        <v>1.2278661371527778E-3</v>
      </c>
      <c r="M45" s="38">
        <f t="shared" si="8"/>
        <v>4.0036708807003961E-2</v>
      </c>
    </row>
    <row r="46" spans="2:13">
      <c r="B46" s="48">
        <f t="shared" si="3"/>
        <v>42</v>
      </c>
      <c r="C46" s="42">
        <v>5400</v>
      </c>
      <c r="D46" s="42">
        <v>16.579999999999998</v>
      </c>
      <c r="E46" s="3">
        <f t="shared" si="1"/>
        <v>12.368679999999998</v>
      </c>
      <c r="F46" s="4">
        <f t="shared" si="0"/>
        <v>21.87262846135404</v>
      </c>
      <c r="G46" s="51">
        <v>470.5</v>
      </c>
      <c r="H46" s="38">
        <f t="shared" si="2"/>
        <v>3.4357444444444436E-3</v>
      </c>
      <c r="I46" s="38">
        <f t="shared" si="4"/>
        <v>1.6165177611111108</v>
      </c>
      <c r="J46" s="38">
        <f t="shared" si="5"/>
        <v>1.6165177611111108</v>
      </c>
      <c r="K46" s="38">
        <f t="shared" si="6"/>
        <v>53.276787189503338</v>
      </c>
      <c r="L46" s="38">
        <f t="shared" si="7"/>
        <v>1.2528012648611109E-3</v>
      </c>
      <c r="M46" s="38">
        <f t="shared" si="8"/>
        <v>4.1289510071865071E-2</v>
      </c>
    </row>
    <row r="47" spans="2:13">
      <c r="B47" s="48">
        <f t="shared" si="3"/>
        <v>43</v>
      </c>
      <c r="C47" s="42">
        <v>5400</v>
      </c>
      <c r="D47" s="42">
        <v>16.579999999999998</v>
      </c>
      <c r="E47" s="3">
        <f t="shared" si="1"/>
        <v>12.368679999999998</v>
      </c>
      <c r="F47" s="4">
        <f t="shared" si="0"/>
        <v>21.87262846135404</v>
      </c>
      <c r="G47" s="51">
        <v>470.5</v>
      </c>
      <c r="H47" s="38">
        <f t="shared" si="2"/>
        <v>3.4357444444444436E-3</v>
      </c>
      <c r="I47" s="38">
        <f t="shared" si="4"/>
        <v>1.6165177611111108</v>
      </c>
      <c r="J47" s="38">
        <f t="shared" si="5"/>
        <v>1.6165177611111108</v>
      </c>
      <c r="K47" s="38">
        <f t="shared" si="6"/>
        <v>54.89330495061445</v>
      </c>
      <c r="L47" s="38">
        <f t="shared" si="7"/>
        <v>1.2528012648611109E-3</v>
      </c>
      <c r="M47" s="38">
        <f t="shared" si="8"/>
        <v>4.2542311336726181E-2</v>
      </c>
    </row>
    <row r="48" spans="2:13">
      <c r="B48" s="48">
        <f t="shared" si="3"/>
        <v>44</v>
      </c>
      <c r="C48" s="42">
        <v>5500</v>
      </c>
      <c r="D48" s="42">
        <v>16.940000000000001</v>
      </c>
      <c r="E48" s="3">
        <f t="shared" si="1"/>
        <v>12.637240000000002</v>
      </c>
      <c r="F48" s="4">
        <f t="shared" si="0"/>
        <v>21.941227778603171</v>
      </c>
      <c r="G48" s="51">
        <v>443.8</v>
      </c>
      <c r="H48" s="38">
        <f t="shared" si="2"/>
        <v>3.5103444444444451E-3</v>
      </c>
      <c r="I48" s="38">
        <f t="shared" si="4"/>
        <v>1.5578908644444447</v>
      </c>
      <c r="J48" s="38">
        <f t="shared" si="5"/>
        <v>1.5578908644444447</v>
      </c>
      <c r="K48" s="38">
        <f t="shared" si="6"/>
        <v>56.451195815058895</v>
      </c>
      <c r="L48" s="38">
        <f t="shared" si="7"/>
        <v>1.2073654199444446E-3</v>
      </c>
      <c r="M48" s="38">
        <f t="shared" si="8"/>
        <v>4.3749676756670623E-2</v>
      </c>
    </row>
    <row r="49" spans="2:13">
      <c r="B49" s="48">
        <f t="shared" si="3"/>
        <v>45</v>
      </c>
      <c r="C49" s="42">
        <v>5500</v>
      </c>
      <c r="D49" s="42">
        <v>16.940000000000001</v>
      </c>
      <c r="E49" s="3">
        <f t="shared" si="1"/>
        <v>12.637240000000002</v>
      </c>
      <c r="F49" s="4">
        <f t="shared" si="0"/>
        <v>21.941227778603171</v>
      </c>
      <c r="G49" s="51">
        <v>443.8</v>
      </c>
      <c r="H49" s="38">
        <f t="shared" si="2"/>
        <v>3.5103444444444451E-3</v>
      </c>
      <c r="I49" s="38">
        <f t="shared" si="4"/>
        <v>1.5578908644444447</v>
      </c>
      <c r="J49" s="38">
        <f t="shared" si="5"/>
        <v>1.5578908644444447</v>
      </c>
      <c r="K49" s="38">
        <f t="shared" si="6"/>
        <v>58.009086679503341</v>
      </c>
      <c r="L49" s="38">
        <f t="shared" si="7"/>
        <v>1.2073654199444446E-3</v>
      </c>
      <c r="M49" s="38">
        <f t="shared" si="8"/>
        <v>4.4957042176615065E-2</v>
      </c>
    </row>
    <row r="50" spans="2:13">
      <c r="B50" s="48">
        <f t="shared" si="3"/>
        <v>46</v>
      </c>
      <c r="C50" s="42">
        <v>5600</v>
      </c>
      <c r="D50" s="42">
        <v>17.05</v>
      </c>
      <c r="E50" s="3">
        <f t="shared" si="1"/>
        <v>12.7193</v>
      </c>
      <c r="F50" s="4">
        <f t="shared" si="0"/>
        <v>21.689351439307977</v>
      </c>
      <c r="G50" s="51">
        <v>443.8</v>
      </c>
      <c r="H50" s="38">
        <f t="shared" si="2"/>
        <v>3.533138888888889E-3</v>
      </c>
      <c r="I50" s="38">
        <f t="shared" si="4"/>
        <v>1.5680070388888889</v>
      </c>
      <c r="J50" s="38">
        <f t="shared" si="5"/>
        <v>1.5680070388888889</v>
      </c>
      <c r="K50" s="38">
        <f t="shared" si="6"/>
        <v>59.577093718392227</v>
      </c>
      <c r="L50" s="38">
        <f t="shared" si="7"/>
        <v>1.2152054551388891E-3</v>
      </c>
      <c r="M50" s="38">
        <f t="shared" si="8"/>
        <v>4.6172247631753954E-2</v>
      </c>
    </row>
    <row r="51" spans="2:13">
      <c r="B51" s="48">
        <f t="shared" si="3"/>
        <v>47</v>
      </c>
      <c r="C51" s="42">
        <v>5700</v>
      </c>
      <c r="D51" s="42">
        <v>17.11</v>
      </c>
      <c r="E51" s="3">
        <f t="shared" si="1"/>
        <v>12.764059999999999</v>
      </c>
      <c r="F51" s="4">
        <f t="shared" si="0"/>
        <v>21.383823609700396</v>
      </c>
      <c r="G51" s="51">
        <v>443.8</v>
      </c>
      <c r="H51" s="38">
        <f t="shared" si="2"/>
        <v>3.5455722222222218E-3</v>
      </c>
      <c r="I51" s="38">
        <f t="shared" si="4"/>
        <v>1.5735249522222221</v>
      </c>
      <c r="J51" s="38">
        <f t="shared" si="5"/>
        <v>1.5735249522222221</v>
      </c>
      <c r="K51" s="38">
        <f t="shared" si="6"/>
        <v>61.150618670614449</v>
      </c>
      <c r="L51" s="38">
        <f t="shared" si="7"/>
        <v>1.2194818379722221E-3</v>
      </c>
      <c r="M51" s="38">
        <f t="shared" si="8"/>
        <v>4.7391729469726175E-2</v>
      </c>
    </row>
    <row r="52" spans="2:13">
      <c r="B52" s="48">
        <f t="shared" si="3"/>
        <v>48</v>
      </c>
      <c r="C52" s="42">
        <v>5700</v>
      </c>
      <c r="D52" s="42">
        <v>17.11</v>
      </c>
      <c r="E52" s="3">
        <f t="shared" si="1"/>
        <v>12.764059999999999</v>
      </c>
      <c r="F52" s="4">
        <f t="shared" si="0"/>
        <v>21.383823609700396</v>
      </c>
      <c r="G52" s="51">
        <v>443.8</v>
      </c>
      <c r="H52" s="38">
        <f t="shared" si="2"/>
        <v>3.5455722222222218E-3</v>
      </c>
      <c r="I52" s="38">
        <f t="shared" si="4"/>
        <v>1.5735249522222221</v>
      </c>
      <c r="J52" s="38">
        <f t="shared" si="5"/>
        <v>1.5735249522222221</v>
      </c>
      <c r="K52" s="38">
        <f t="shared" si="6"/>
        <v>62.724143622836671</v>
      </c>
      <c r="L52" s="38">
        <f t="shared" si="7"/>
        <v>1.2194818379722221E-3</v>
      </c>
      <c r="M52" s="38">
        <f t="shared" si="8"/>
        <v>4.8611211307698396E-2</v>
      </c>
    </row>
    <row r="53" spans="2:13">
      <c r="B53" s="48">
        <f t="shared" si="3"/>
        <v>49</v>
      </c>
      <c r="C53" s="42">
        <v>5800</v>
      </c>
      <c r="D53" s="42">
        <v>17.18</v>
      </c>
      <c r="E53" s="3">
        <f t="shared" si="1"/>
        <v>12.816280000000001</v>
      </c>
      <c r="F53" s="4">
        <f t="shared" si="0"/>
        <v>21.101113593618585</v>
      </c>
      <c r="G53" s="51">
        <v>443.8</v>
      </c>
      <c r="H53" s="38">
        <f t="shared" si="2"/>
        <v>3.560077777777778E-3</v>
      </c>
      <c r="I53" s="38">
        <f t="shared" si="4"/>
        <v>1.5799625177777779</v>
      </c>
      <c r="J53" s="38">
        <f t="shared" si="5"/>
        <v>1.5799625177777779</v>
      </c>
      <c r="K53" s="38">
        <f t="shared" si="6"/>
        <v>64.304106140614451</v>
      </c>
      <c r="L53" s="38">
        <f t="shared" si="7"/>
        <v>1.2244709512777778E-3</v>
      </c>
      <c r="M53" s="38">
        <f t="shared" si="8"/>
        <v>4.9835682258976173E-2</v>
      </c>
    </row>
    <row r="54" spans="2:13">
      <c r="B54" s="48">
        <f t="shared" si="3"/>
        <v>50</v>
      </c>
      <c r="C54" s="42">
        <v>5800</v>
      </c>
      <c r="D54" s="42">
        <v>17.18</v>
      </c>
      <c r="E54" s="3">
        <f t="shared" si="1"/>
        <v>12.816280000000001</v>
      </c>
      <c r="F54" s="4">
        <f t="shared" si="0"/>
        <v>21.101113593618585</v>
      </c>
      <c r="G54" s="51">
        <v>443.8</v>
      </c>
      <c r="H54" s="38">
        <f t="shared" si="2"/>
        <v>3.560077777777778E-3</v>
      </c>
      <c r="I54" s="38">
        <f t="shared" si="4"/>
        <v>1.5799625177777779</v>
      </c>
      <c r="J54" s="38">
        <f t="shared" si="5"/>
        <v>1.5799625177777779</v>
      </c>
      <c r="K54" s="38">
        <f t="shared" si="6"/>
        <v>65.884068658392223</v>
      </c>
      <c r="L54" s="38">
        <f t="shared" si="7"/>
        <v>1.2244709512777778E-3</v>
      </c>
      <c r="M54" s="38">
        <f t="shared" si="8"/>
        <v>5.106015321025395E-2</v>
      </c>
    </row>
    <row r="55" spans="2:13">
      <c r="B55" s="48">
        <f t="shared" si="3"/>
        <v>51</v>
      </c>
      <c r="C55" s="42">
        <v>5900</v>
      </c>
      <c r="D55" s="42">
        <v>17.239999999999998</v>
      </c>
      <c r="E55" s="3">
        <f t="shared" si="1"/>
        <v>12.861039999999999</v>
      </c>
      <c r="F55" s="4">
        <f t="shared" si="0"/>
        <v>20.815912772568705</v>
      </c>
      <c r="G55" s="51">
        <v>477</v>
      </c>
      <c r="H55" s="38">
        <f t="shared" si="2"/>
        <v>3.5725111111111108E-3</v>
      </c>
      <c r="I55" s="38">
        <f t="shared" si="4"/>
        <v>1.7040877999999997</v>
      </c>
      <c r="J55" s="38">
        <f t="shared" si="5"/>
        <v>1.7040877999999999</v>
      </c>
      <c r="K55" s="38">
        <f t="shared" si="6"/>
        <v>67.58815645839222</v>
      </c>
      <c r="L55" s="38">
        <f t="shared" si="7"/>
        <v>1.3206680450000001E-3</v>
      </c>
      <c r="M55" s="38">
        <f t="shared" si="8"/>
        <v>5.2380821255253951E-2</v>
      </c>
    </row>
    <row r="56" spans="2:13">
      <c r="B56" s="48">
        <f t="shared" si="3"/>
        <v>52</v>
      </c>
      <c r="C56" s="42">
        <v>5900</v>
      </c>
      <c r="D56" s="42">
        <v>17.239999999999998</v>
      </c>
      <c r="E56" s="3">
        <f t="shared" si="1"/>
        <v>12.861039999999999</v>
      </c>
      <c r="F56" s="4">
        <f t="shared" si="0"/>
        <v>20.815912772568705</v>
      </c>
      <c r="G56" s="51">
        <v>477</v>
      </c>
      <c r="H56" s="38">
        <f t="shared" si="2"/>
        <v>3.5725111111111108E-3</v>
      </c>
      <c r="I56" s="38">
        <f t="shared" si="4"/>
        <v>1.7040877999999997</v>
      </c>
      <c r="J56" s="38">
        <f t="shared" si="5"/>
        <v>1.7040877999999999</v>
      </c>
      <c r="K56" s="38">
        <f t="shared" si="6"/>
        <v>69.292244258392216</v>
      </c>
      <c r="L56" s="38">
        <f t="shared" si="7"/>
        <v>1.3206680450000001E-3</v>
      </c>
      <c r="M56" s="38">
        <f t="shared" si="8"/>
        <v>5.3701489300253952E-2</v>
      </c>
    </row>
    <row r="57" spans="2:13">
      <c r="B57" s="48">
        <f t="shared" si="3"/>
        <v>53</v>
      </c>
      <c r="C57" s="42">
        <v>6000</v>
      </c>
      <c r="D57" s="42">
        <v>17.32</v>
      </c>
      <c r="E57" s="3">
        <f t="shared" si="1"/>
        <v>12.920719999999999</v>
      </c>
      <c r="F57" s="4">
        <f t="shared" si="0"/>
        <v>20.563964563063138</v>
      </c>
      <c r="G57" s="51">
        <v>469.1</v>
      </c>
      <c r="H57" s="38">
        <f t="shared" si="2"/>
        <v>3.5890888888888885E-3</v>
      </c>
      <c r="I57" s="38">
        <f t="shared" si="4"/>
        <v>1.6836415977777779</v>
      </c>
      <c r="J57" s="38">
        <f t="shared" si="5"/>
        <v>1.6836415977777777</v>
      </c>
      <c r="K57" s="38">
        <f t="shared" si="6"/>
        <v>70.975885856169995</v>
      </c>
      <c r="L57" s="38">
        <f t="shared" si="7"/>
        <v>1.3048222382777777E-3</v>
      </c>
      <c r="M57" s="38">
        <f t="shared" si="8"/>
        <v>5.5006311538531728E-2</v>
      </c>
    </row>
    <row r="58" spans="2:13">
      <c r="B58" s="48">
        <f t="shared" si="3"/>
        <v>54</v>
      </c>
      <c r="C58" s="42">
        <v>6000</v>
      </c>
      <c r="D58" s="42">
        <v>17.32</v>
      </c>
      <c r="E58" s="3">
        <f t="shared" si="1"/>
        <v>12.920719999999999</v>
      </c>
      <c r="F58" s="4">
        <f t="shared" si="0"/>
        <v>20.563964563063138</v>
      </c>
      <c r="G58" s="51">
        <v>469.1</v>
      </c>
      <c r="H58" s="38">
        <f t="shared" si="2"/>
        <v>3.5890888888888885E-3</v>
      </c>
      <c r="I58" s="38">
        <f t="shared" si="4"/>
        <v>1.6836415977777779</v>
      </c>
      <c r="J58" s="38">
        <f t="shared" si="5"/>
        <v>1.6836415977777777</v>
      </c>
      <c r="K58" s="38">
        <f t="shared" si="6"/>
        <v>72.659527453947774</v>
      </c>
      <c r="L58" s="38">
        <f t="shared" si="7"/>
        <v>1.3048222382777777E-3</v>
      </c>
      <c r="M58" s="38">
        <f t="shared" si="8"/>
        <v>5.6311133776809505E-2</v>
      </c>
    </row>
    <row r="59" spans="2:13">
      <c r="B59" s="48">
        <f t="shared" si="3"/>
        <v>55</v>
      </c>
      <c r="C59" s="42">
        <v>6100</v>
      </c>
      <c r="D59" s="42">
        <v>17.37</v>
      </c>
      <c r="E59" s="3">
        <f t="shared" si="1"/>
        <v>12.958020000000001</v>
      </c>
      <c r="F59" s="4">
        <f t="shared" si="0"/>
        <v>20.285241990330903</v>
      </c>
      <c r="G59" s="51">
        <v>469.1</v>
      </c>
      <c r="H59" s="38">
        <f t="shared" si="2"/>
        <v>3.5994500000000001E-3</v>
      </c>
      <c r="I59" s="38">
        <f t="shared" si="4"/>
        <v>1.6885019950000002</v>
      </c>
      <c r="J59" s="38">
        <f t="shared" si="5"/>
        <v>1.6885019950000002</v>
      </c>
      <c r="K59" s="38">
        <f t="shared" si="6"/>
        <v>74.34802944894777</v>
      </c>
      <c r="L59" s="38">
        <f t="shared" si="7"/>
        <v>1.3085890461250001E-3</v>
      </c>
      <c r="M59" s="38">
        <f t="shared" si="8"/>
        <v>5.7619722822934503E-2</v>
      </c>
    </row>
    <row r="60" spans="2:13">
      <c r="B60" s="48">
        <f t="shared" si="3"/>
        <v>56</v>
      </c>
      <c r="C60" s="42">
        <v>6200</v>
      </c>
      <c r="D60" s="42">
        <v>17.440000000000001</v>
      </c>
      <c r="E60" s="3">
        <f t="shared" si="1"/>
        <v>13.010240000000001</v>
      </c>
      <c r="F60" s="4">
        <f t="shared" si="0"/>
        <v>20.038490388502264</v>
      </c>
      <c r="G60" s="51">
        <v>469.1</v>
      </c>
      <c r="H60" s="38">
        <f t="shared" si="2"/>
        <v>3.6139555555555558E-3</v>
      </c>
      <c r="I60" s="38">
        <f t="shared" si="4"/>
        <v>1.6953065511111114</v>
      </c>
      <c r="J60" s="38">
        <f t="shared" si="5"/>
        <v>1.6953065511111114</v>
      </c>
      <c r="K60" s="38">
        <f t="shared" si="6"/>
        <v>76.043336000058886</v>
      </c>
      <c r="L60" s="38">
        <f t="shared" si="7"/>
        <v>1.3138625771111113E-3</v>
      </c>
      <c r="M60" s="38">
        <f t="shared" si="8"/>
        <v>5.8933585400045618E-2</v>
      </c>
    </row>
    <row r="61" spans="2:13">
      <c r="B61" s="48">
        <f t="shared" si="3"/>
        <v>57</v>
      </c>
      <c r="C61" s="42">
        <v>6200</v>
      </c>
      <c r="D61" s="42">
        <v>17.440000000000001</v>
      </c>
      <c r="E61" s="3">
        <f t="shared" si="1"/>
        <v>13.010240000000001</v>
      </c>
      <c r="F61" s="4">
        <f t="shared" si="0"/>
        <v>20.038490388502264</v>
      </c>
      <c r="G61" s="51">
        <v>469.1</v>
      </c>
      <c r="H61" s="38">
        <f t="shared" si="2"/>
        <v>3.6139555555555558E-3</v>
      </c>
      <c r="I61" s="38">
        <f t="shared" si="4"/>
        <v>1.6953065511111114</v>
      </c>
      <c r="J61" s="38">
        <f t="shared" si="5"/>
        <v>1.6953065511111114</v>
      </c>
      <c r="K61" s="38">
        <f t="shared" si="6"/>
        <v>77.738642551170003</v>
      </c>
      <c r="L61" s="38">
        <f t="shared" si="7"/>
        <v>1.3138625771111113E-3</v>
      </c>
      <c r="M61" s="38">
        <f t="shared" si="8"/>
        <v>6.0247447977156726E-2</v>
      </c>
    </row>
    <row r="62" spans="2:13">
      <c r="B62" s="48">
        <f t="shared" si="3"/>
        <v>58</v>
      </c>
      <c r="C62" s="42">
        <v>6300</v>
      </c>
      <c r="D62" s="42">
        <v>17.5</v>
      </c>
      <c r="E62" s="3">
        <f t="shared" si="1"/>
        <v>13.055</v>
      </c>
      <c r="F62" s="4">
        <f t="shared" si="0"/>
        <v>19.788264591092322</v>
      </c>
      <c r="G62" s="51">
        <v>469.1</v>
      </c>
      <c r="H62" s="38">
        <f t="shared" si="2"/>
        <v>3.6263888888888886E-3</v>
      </c>
      <c r="I62" s="38">
        <f t="shared" si="4"/>
        <v>1.7011390277777778</v>
      </c>
      <c r="J62" s="38">
        <f t="shared" si="5"/>
        <v>1.7011390277777778</v>
      </c>
      <c r="K62" s="38">
        <f t="shared" si="6"/>
        <v>79.439781578947787</v>
      </c>
      <c r="L62" s="38">
        <f t="shared" si="7"/>
        <v>1.3183827465277779E-3</v>
      </c>
      <c r="M62" s="38">
        <f t="shared" si="8"/>
        <v>6.1565830723684503E-2</v>
      </c>
    </row>
    <row r="63" spans="2:13">
      <c r="B63" s="48">
        <f t="shared" si="3"/>
        <v>59</v>
      </c>
      <c r="C63" s="42">
        <v>6300</v>
      </c>
      <c r="D63" s="42">
        <v>17.5</v>
      </c>
      <c r="E63" s="3">
        <f t="shared" si="1"/>
        <v>13.055</v>
      </c>
      <c r="F63" s="4">
        <f t="shared" si="0"/>
        <v>19.788264591092322</v>
      </c>
      <c r="G63" s="51">
        <v>469.1</v>
      </c>
      <c r="H63" s="38">
        <f t="shared" si="2"/>
        <v>3.6263888888888886E-3</v>
      </c>
      <c r="I63" s="38">
        <f t="shared" si="4"/>
        <v>1.7011390277777778</v>
      </c>
      <c r="J63" s="38">
        <f t="shared" si="5"/>
        <v>1.7011390277777778</v>
      </c>
      <c r="K63" s="38">
        <f t="shared" si="6"/>
        <v>81.140920606725558</v>
      </c>
      <c r="L63" s="38">
        <f t="shared" si="7"/>
        <v>1.3183827465277779E-3</v>
      </c>
      <c r="M63" s="38">
        <f t="shared" si="8"/>
        <v>6.288421347021228E-2</v>
      </c>
    </row>
    <row r="64" spans="2:13">
      <c r="B64" s="48">
        <f t="shared" si="3"/>
        <v>60</v>
      </c>
      <c r="C64" s="42">
        <v>6400</v>
      </c>
      <c r="D64" s="42">
        <v>17.8</v>
      </c>
      <c r="E64" s="3">
        <f t="shared" si="1"/>
        <v>13.2788</v>
      </c>
      <c r="F64" s="4">
        <f t="shared" si="0"/>
        <v>19.812999921831189</v>
      </c>
      <c r="G64" s="51">
        <v>469.1</v>
      </c>
      <c r="H64" s="38">
        <f t="shared" si="2"/>
        <v>3.6885555555555556E-3</v>
      </c>
      <c r="I64" s="38">
        <f t="shared" si="4"/>
        <v>1.7303014111111112</v>
      </c>
      <c r="J64" s="38">
        <f t="shared" si="5"/>
        <v>1.7303014111111112</v>
      </c>
      <c r="K64" s="38">
        <f t="shared" si="6"/>
        <v>82.871222017836672</v>
      </c>
      <c r="L64" s="38">
        <f t="shared" si="7"/>
        <v>1.3409835936111112E-3</v>
      </c>
      <c r="M64" s="38">
        <f t="shared" si="8"/>
        <v>6.4225197063823389E-2</v>
      </c>
    </row>
    <row r="65" spans="2:13">
      <c r="B65" s="49">
        <f t="shared" si="3"/>
        <v>61</v>
      </c>
      <c r="C65" s="47">
        <v>6500</v>
      </c>
      <c r="D65" s="47">
        <v>18</v>
      </c>
      <c r="E65" s="3">
        <f t="shared" si="1"/>
        <v>13.428000000000001</v>
      </c>
      <c r="F65" s="4">
        <f t="shared" si="0"/>
        <v>19.727377623119732</v>
      </c>
      <c r="G65" s="51">
        <v>469.1</v>
      </c>
      <c r="H65" s="38">
        <f t="shared" si="2"/>
        <v>3.7300000000000002E-3</v>
      </c>
      <c r="I65" s="38">
        <f t="shared" si="4"/>
        <v>1.749743</v>
      </c>
      <c r="J65" s="38">
        <f t="shared" si="5"/>
        <v>1.7497430000000003</v>
      </c>
      <c r="K65" s="38">
        <f t="shared" si="6"/>
        <v>84.620965017836667</v>
      </c>
      <c r="L65" s="38">
        <f t="shared" si="7"/>
        <v>1.3560508250000003E-3</v>
      </c>
      <c r="M65" s="38">
        <f t="shared" si="8"/>
        <v>6.5581247888823385E-2</v>
      </c>
    </row>
    <row r="66" spans="2:13">
      <c r="B66" s="49">
        <f t="shared" si="3"/>
        <v>62</v>
      </c>
      <c r="C66" s="47">
        <v>6500</v>
      </c>
      <c r="D66" s="47">
        <v>18</v>
      </c>
      <c r="E66" s="3">
        <f t="shared" si="1"/>
        <v>13.428000000000001</v>
      </c>
      <c r="F66" s="4">
        <f t="shared" si="0"/>
        <v>19.727377623119732</v>
      </c>
      <c r="G66" s="51">
        <v>504.4</v>
      </c>
      <c r="H66" s="38">
        <f t="shared" si="2"/>
        <v>3.7300000000000002E-3</v>
      </c>
      <c r="I66" s="38">
        <f t="shared" si="4"/>
        <v>1.8814120000000001</v>
      </c>
      <c r="J66" s="38">
        <f t="shared" si="5"/>
        <v>1.8814120000000001</v>
      </c>
      <c r="K66" s="38">
        <f t="shared" si="6"/>
        <v>86.502377017836665</v>
      </c>
      <c r="L66" s="38">
        <f t="shared" si="7"/>
        <v>1.4580943000000002E-3</v>
      </c>
      <c r="M66" s="38">
        <f t="shared" si="8"/>
        <v>6.7039342188823389E-2</v>
      </c>
    </row>
    <row r="67" spans="2:13">
      <c r="B67" s="49">
        <f t="shared" si="3"/>
        <v>63</v>
      </c>
      <c r="C67" s="47">
        <v>6600</v>
      </c>
      <c r="D67" s="47">
        <v>16.8</v>
      </c>
      <c r="E67" s="3">
        <f t="shared" si="1"/>
        <v>12.532800000000002</v>
      </c>
      <c r="F67" s="4">
        <f t="shared" si="0"/>
        <v>18.133246098019146</v>
      </c>
      <c r="G67" s="51">
        <v>504.4</v>
      </c>
      <c r="H67" s="38">
        <f t="shared" si="2"/>
        <v>3.4813333333333337E-3</v>
      </c>
      <c r="I67" s="38">
        <f t="shared" si="4"/>
        <v>1.7559845333333335</v>
      </c>
      <c r="J67" s="38">
        <f t="shared" si="5"/>
        <v>1.7559845333333335</v>
      </c>
      <c r="K67" s="38">
        <f t="shared" si="6"/>
        <v>88.258361551169997</v>
      </c>
      <c r="L67" s="38">
        <f t="shared" si="7"/>
        <v>1.3608880133333336E-3</v>
      </c>
      <c r="M67" s="38">
        <f t="shared" si="8"/>
        <v>6.8400230202156728E-2</v>
      </c>
    </row>
    <row r="68" spans="2:13">
      <c r="B68" s="49">
        <f t="shared" si="3"/>
        <v>64</v>
      </c>
      <c r="C68" s="47">
        <v>6600</v>
      </c>
      <c r="D68" s="47">
        <v>16.8</v>
      </c>
      <c r="E68" s="3">
        <f t="shared" si="1"/>
        <v>12.532800000000002</v>
      </c>
      <c r="F68" s="4">
        <f t="shared" ref="F68:F131" si="9">E68*60*1000/(2*PI()*C68)</f>
        <v>18.133246098019146</v>
      </c>
      <c r="G68" s="51">
        <v>504.4</v>
      </c>
      <c r="H68" s="38">
        <f t="shared" si="2"/>
        <v>3.4813333333333337E-3</v>
      </c>
      <c r="I68" s="38">
        <f t="shared" si="4"/>
        <v>1.7559845333333335</v>
      </c>
      <c r="J68" s="38">
        <f t="shared" si="5"/>
        <v>1.7559845333333335</v>
      </c>
      <c r="K68" s="38">
        <f t="shared" si="6"/>
        <v>90.01434608450333</v>
      </c>
      <c r="L68" s="38">
        <f t="shared" si="7"/>
        <v>1.3608880133333336E-3</v>
      </c>
      <c r="M68" s="38">
        <f t="shared" si="8"/>
        <v>6.9761118215490067E-2</v>
      </c>
    </row>
    <row r="69" spans="2:13">
      <c r="B69" s="48">
        <f t="shared" si="3"/>
        <v>65</v>
      </c>
      <c r="C69" s="47">
        <v>6600</v>
      </c>
      <c r="D69" s="47">
        <v>16.8</v>
      </c>
      <c r="E69" s="3">
        <f t="shared" ref="E69:E132" si="10">D69*746/1000</f>
        <v>12.532800000000002</v>
      </c>
      <c r="F69" s="4">
        <f t="shared" si="9"/>
        <v>18.133246098019146</v>
      </c>
      <c r="G69" s="51">
        <v>470.5</v>
      </c>
      <c r="H69" s="38">
        <f t="shared" ref="H69:H132" si="11">((B69-B68)/3600)*E69</f>
        <v>3.4813333333333337E-3</v>
      </c>
      <c r="I69" s="38">
        <f t="shared" si="4"/>
        <v>1.6379673333333336</v>
      </c>
      <c r="J69" s="38">
        <f t="shared" si="5"/>
        <v>1.6379673333333336</v>
      </c>
      <c r="K69" s="38">
        <f t="shared" si="6"/>
        <v>91.652313417836666</v>
      </c>
      <c r="L69" s="38">
        <f t="shared" si="7"/>
        <v>1.2694246833333336E-3</v>
      </c>
      <c r="M69" s="38">
        <f t="shared" si="8"/>
        <v>7.1030542898823407E-2</v>
      </c>
    </row>
    <row r="70" spans="2:13">
      <c r="B70" s="48">
        <f t="shared" ref="B70:B133" si="12">B69+1</f>
        <v>66</v>
      </c>
      <c r="C70" s="47">
        <v>6600</v>
      </c>
      <c r="D70" s="47">
        <v>16.8</v>
      </c>
      <c r="E70" s="3">
        <f t="shared" si="10"/>
        <v>12.532800000000002</v>
      </c>
      <c r="F70" s="4">
        <f t="shared" si="9"/>
        <v>18.133246098019146</v>
      </c>
      <c r="G70" s="51">
        <v>470.5</v>
      </c>
      <c r="H70" s="38">
        <f t="shared" si="11"/>
        <v>3.4813333333333337E-3</v>
      </c>
      <c r="I70" s="38">
        <f t="shared" ref="I70:I133" si="13">E70*G70/3600</f>
        <v>1.6379673333333336</v>
      </c>
      <c r="J70" s="38">
        <f t="shared" ref="J70:J133" si="14">H70*G70</f>
        <v>1.6379673333333336</v>
      </c>
      <c r="K70" s="38">
        <f t="shared" ref="K70:K133" si="15">K69+J70</f>
        <v>93.290280751170002</v>
      </c>
      <c r="L70" s="38">
        <f t="shared" ref="L70:L133" si="16">J70/1000*0.775</f>
        <v>1.2694246833333336E-3</v>
      </c>
      <c r="M70" s="38">
        <f t="shared" ref="M70:M133" si="17">M69+L70</f>
        <v>7.2299967582156746E-2</v>
      </c>
    </row>
    <row r="71" spans="2:13">
      <c r="B71" s="48">
        <f t="shared" si="12"/>
        <v>67</v>
      </c>
      <c r="C71" s="47">
        <v>6600</v>
      </c>
      <c r="D71" s="47">
        <v>16.8</v>
      </c>
      <c r="E71" s="3">
        <f t="shared" si="10"/>
        <v>12.532800000000002</v>
      </c>
      <c r="F71" s="4">
        <f t="shared" si="9"/>
        <v>18.133246098019146</v>
      </c>
      <c r="G71" s="51">
        <v>470.5</v>
      </c>
      <c r="H71" s="38">
        <f t="shared" si="11"/>
        <v>3.4813333333333337E-3</v>
      </c>
      <c r="I71" s="38">
        <f t="shared" si="13"/>
        <v>1.6379673333333336</v>
      </c>
      <c r="J71" s="38">
        <f t="shared" si="14"/>
        <v>1.6379673333333336</v>
      </c>
      <c r="K71" s="38">
        <f t="shared" si="15"/>
        <v>94.928248084503338</v>
      </c>
      <c r="L71" s="38">
        <f t="shared" si="16"/>
        <v>1.2694246833333336E-3</v>
      </c>
      <c r="M71" s="38">
        <f t="shared" si="17"/>
        <v>7.3569392265490086E-2</v>
      </c>
    </row>
    <row r="72" spans="2:13">
      <c r="B72" s="48">
        <f t="shared" si="12"/>
        <v>68</v>
      </c>
      <c r="C72" s="47">
        <v>6600</v>
      </c>
      <c r="D72" s="47">
        <v>16.8</v>
      </c>
      <c r="E72" s="3">
        <f t="shared" si="10"/>
        <v>12.532800000000002</v>
      </c>
      <c r="F72" s="4">
        <f t="shared" si="9"/>
        <v>18.133246098019146</v>
      </c>
      <c r="G72" s="51">
        <v>470.5</v>
      </c>
      <c r="H72" s="38">
        <f t="shared" si="11"/>
        <v>3.4813333333333337E-3</v>
      </c>
      <c r="I72" s="38">
        <f t="shared" si="13"/>
        <v>1.6379673333333336</v>
      </c>
      <c r="J72" s="38">
        <f t="shared" si="14"/>
        <v>1.6379673333333336</v>
      </c>
      <c r="K72" s="38">
        <f t="shared" si="15"/>
        <v>96.566215417836673</v>
      </c>
      <c r="L72" s="38">
        <f t="shared" si="16"/>
        <v>1.2694246833333336E-3</v>
      </c>
      <c r="M72" s="38">
        <f t="shared" si="17"/>
        <v>7.4838816948823425E-2</v>
      </c>
    </row>
    <row r="73" spans="2:13">
      <c r="B73" s="48">
        <f t="shared" si="12"/>
        <v>69</v>
      </c>
      <c r="C73" s="47">
        <v>6600</v>
      </c>
      <c r="D73" s="47">
        <v>16.8</v>
      </c>
      <c r="E73" s="3">
        <f t="shared" si="10"/>
        <v>12.532800000000002</v>
      </c>
      <c r="F73" s="4">
        <f t="shared" si="9"/>
        <v>18.133246098019146</v>
      </c>
      <c r="G73" s="51">
        <v>470.5</v>
      </c>
      <c r="H73" s="38">
        <f t="shared" si="11"/>
        <v>3.4813333333333337E-3</v>
      </c>
      <c r="I73" s="38">
        <f t="shared" si="13"/>
        <v>1.6379673333333336</v>
      </c>
      <c r="J73" s="38">
        <f t="shared" si="14"/>
        <v>1.6379673333333336</v>
      </c>
      <c r="K73" s="38">
        <f t="shared" si="15"/>
        <v>98.204182751170009</v>
      </c>
      <c r="L73" s="38">
        <f t="shared" si="16"/>
        <v>1.2694246833333336E-3</v>
      </c>
      <c r="M73" s="38">
        <f t="shared" si="17"/>
        <v>7.6108241632156765E-2</v>
      </c>
    </row>
    <row r="74" spans="2:13">
      <c r="B74" s="48">
        <f t="shared" si="12"/>
        <v>70</v>
      </c>
      <c r="C74" s="47">
        <v>6600</v>
      </c>
      <c r="D74" s="47">
        <v>16.8</v>
      </c>
      <c r="E74" s="3">
        <f t="shared" si="10"/>
        <v>12.532800000000002</v>
      </c>
      <c r="F74" s="4">
        <f t="shared" si="9"/>
        <v>18.133246098019146</v>
      </c>
      <c r="G74" s="51">
        <v>470.5</v>
      </c>
      <c r="H74" s="38">
        <f t="shared" si="11"/>
        <v>3.4813333333333337E-3</v>
      </c>
      <c r="I74" s="38">
        <f t="shared" si="13"/>
        <v>1.6379673333333336</v>
      </c>
      <c r="J74" s="38">
        <f t="shared" si="14"/>
        <v>1.6379673333333336</v>
      </c>
      <c r="K74" s="38">
        <f t="shared" si="15"/>
        <v>99.842150084503345</v>
      </c>
      <c r="L74" s="38">
        <f t="shared" si="16"/>
        <v>1.2694246833333336E-3</v>
      </c>
      <c r="M74" s="38">
        <f t="shared" si="17"/>
        <v>7.7377666315490104E-2</v>
      </c>
    </row>
    <row r="75" spans="2:13">
      <c r="B75" s="48">
        <f t="shared" si="12"/>
        <v>71</v>
      </c>
      <c r="C75" s="47">
        <v>6600</v>
      </c>
      <c r="D75" s="47">
        <v>16.8</v>
      </c>
      <c r="E75" s="3">
        <f t="shared" si="10"/>
        <v>12.532800000000002</v>
      </c>
      <c r="F75" s="4">
        <f t="shared" si="9"/>
        <v>18.133246098019146</v>
      </c>
      <c r="G75" s="51">
        <v>470.5</v>
      </c>
      <c r="H75" s="38">
        <f t="shared" si="11"/>
        <v>3.4813333333333337E-3</v>
      </c>
      <c r="I75" s="38">
        <f t="shared" si="13"/>
        <v>1.6379673333333336</v>
      </c>
      <c r="J75" s="38">
        <f t="shared" si="14"/>
        <v>1.6379673333333336</v>
      </c>
      <c r="K75" s="38">
        <f t="shared" si="15"/>
        <v>101.48011741783668</v>
      </c>
      <c r="L75" s="38">
        <f t="shared" si="16"/>
        <v>1.2694246833333336E-3</v>
      </c>
      <c r="M75" s="38">
        <f t="shared" si="17"/>
        <v>7.8647090998823443E-2</v>
      </c>
    </row>
    <row r="76" spans="2:13">
      <c r="B76" s="48">
        <f t="shared" si="12"/>
        <v>72</v>
      </c>
      <c r="C76" s="47">
        <v>6600</v>
      </c>
      <c r="D76" s="47">
        <v>16.8</v>
      </c>
      <c r="E76" s="3">
        <f t="shared" si="10"/>
        <v>12.532800000000002</v>
      </c>
      <c r="F76" s="4">
        <f t="shared" si="9"/>
        <v>18.133246098019146</v>
      </c>
      <c r="G76" s="51">
        <v>470.5</v>
      </c>
      <c r="H76" s="38">
        <f t="shared" si="11"/>
        <v>3.4813333333333337E-3</v>
      </c>
      <c r="I76" s="38">
        <f t="shared" si="13"/>
        <v>1.6379673333333336</v>
      </c>
      <c r="J76" s="38">
        <f t="shared" si="14"/>
        <v>1.6379673333333336</v>
      </c>
      <c r="K76" s="38">
        <f t="shared" si="15"/>
        <v>103.11808475117002</v>
      </c>
      <c r="L76" s="38">
        <f t="shared" si="16"/>
        <v>1.2694246833333336E-3</v>
      </c>
      <c r="M76" s="38">
        <f t="shared" si="17"/>
        <v>7.9916515682156783E-2</v>
      </c>
    </row>
    <row r="77" spans="2:13">
      <c r="B77" s="48">
        <f t="shared" si="12"/>
        <v>73</v>
      </c>
      <c r="C77" s="47">
        <v>6600</v>
      </c>
      <c r="D77" s="47">
        <v>16.8</v>
      </c>
      <c r="E77" s="3">
        <f t="shared" si="10"/>
        <v>12.532800000000002</v>
      </c>
      <c r="F77" s="4">
        <f t="shared" si="9"/>
        <v>18.133246098019146</v>
      </c>
      <c r="G77" s="51">
        <v>470.5</v>
      </c>
      <c r="H77" s="38">
        <f t="shared" si="11"/>
        <v>3.4813333333333337E-3</v>
      </c>
      <c r="I77" s="38">
        <f t="shared" si="13"/>
        <v>1.6379673333333336</v>
      </c>
      <c r="J77" s="38">
        <f t="shared" si="14"/>
        <v>1.6379673333333336</v>
      </c>
      <c r="K77" s="38">
        <f t="shared" si="15"/>
        <v>104.75605208450335</v>
      </c>
      <c r="L77" s="38">
        <f t="shared" si="16"/>
        <v>1.2694246833333336E-3</v>
      </c>
      <c r="M77" s="38">
        <f t="shared" si="17"/>
        <v>8.1185940365490122E-2</v>
      </c>
    </row>
    <row r="78" spans="2:13">
      <c r="B78" s="48">
        <f t="shared" si="12"/>
        <v>74</v>
      </c>
      <c r="C78" s="47">
        <v>6600</v>
      </c>
      <c r="D78" s="47">
        <v>16.8</v>
      </c>
      <c r="E78" s="3">
        <f t="shared" si="10"/>
        <v>12.532800000000002</v>
      </c>
      <c r="F78" s="4">
        <f t="shared" si="9"/>
        <v>18.133246098019146</v>
      </c>
      <c r="G78" s="51">
        <v>443.8</v>
      </c>
      <c r="H78" s="38">
        <f t="shared" si="11"/>
        <v>3.4813333333333337E-3</v>
      </c>
      <c r="I78" s="38">
        <f t="shared" si="13"/>
        <v>1.5450157333333334</v>
      </c>
      <c r="J78" s="38">
        <f t="shared" si="14"/>
        <v>1.5450157333333334</v>
      </c>
      <c r="K78" s="38">
        <f t="shared" si="15"/>
        <v>106.30106781783668</v>
      </c>
      <c r="L78" s="38">
        <f t="shared" si="16"/>
        <v>1.1973871933333333E-3</v>
      </c>
      <c r="M78" s="38">
        <f t="shared" si="17"/>
        <v>8.2383327558823452E-2</v>
      </c>
    </row>
    <row r="79" spans="2:13">
      <c r="B79" s="48">
        <f t="shared" si="12"/>
        <v>75</v>
      </c>
      <c r="C79" s="47">
        <v>6600</v>
      </c>
      <c r="D79" s="47">
        <v>16.8</v>
      </c>
      <c r="E79" s="3">
        <f t="shared" si="10"/>
        <v>12.532800000000002</v>
      </c>
      <c r="F79" s="4">
        <f t="shared" si="9"/>
        <v>18.133246098019146</v>
      </c>
      <c r="G79" s="51">
        <v>443.8</v>
      </c>
      <c r="H79" s="38">
        <f t="shared" si="11"/>
        <v>3.4813333333333337E-3</v>
      </c>
      <c r="I79" s="38">
        <f t="shared" si="13"/>
        <v>1.5450157333333334</v>
      </c>
      <c r="J79" s="38">
        <f t="shared" si="14"/>
        <v>1.5450157333333334</v>
      </c>
      <c r="K79" s="38">
        <f t="shared" si="15"/>
        <v>107.84608355117001</v>
      </c>
      <c r="L79" s="38">
        <f t="shared" si="16"/>
        <v>1.1973871933333333E-3</v>
      </c>
      <c r="M79" s="38">
        <f t="shared" si="17"/>
        <v>8.3580714752156782E-2</v>
      </c>
    </row>
    <row r="80" spans="2:13">
      <c r="B80" s="48">
        <f t="shared" si="12"/>
        <v>76</v>
      </c>
      <c r="C80" s="47">
        <v>6600</v>
      </c>
      <c r="D80" s="47">
        <v>16.8</v>
      </c>
      <c r="E80" s="3">
        <f t="shared" si="10"/>
        <v>12.532800000000002</v>
      </c>
      <c r="F80" s="4">
        <f t="shared" si="9"/>
        <v>18.133246098019146</v>
      </c>
      <c r="G80" s="51">
        <v>443.8</v>
      </c>
      <c r="H80" s="38">
        <f t="shared" si="11"/>
        <v>3.4813333333333337E-3</v>
      </c>
      <c r="I80" s="38">
        <f t="shared" si="13"/>
        <v>1.5450157333333334</v>
      </c>
      <c r="J80" s="38">
        <f t="shared" si="14"/>
        <v>1.5450157333333334</v>
      </c>
      <c r="K80" s="38">
        <f t="shared" si="15"/>
        <v>109.39109928450334</v>
      </c>
      <c r="L80" s="38">
        <f t="shared" si="16"/>
        <v>1.1973871933333333E-3</v>
      </c>
      <c r="M80" s="38">
        <f t="shared" si="17"/>
        <v>8.4778101945490111E-2</v>
      </c>
    </row>
    <row r="81" spans="2:13">
      <c r="B81" s="48">
        <f t="shared" si="12"/>
        <v>77</v>
      </c>
      <c r="C81" s="47">
        <v>6600</v>
      </c>
      <c r="D81" s="47">
        <v>16.8</v>
      </c>
      <c r="E81" s="3">
        <f t="shared" si="10"/>
        <v>12.532800000000002</v>
      </c>
      <c r="F81" s="4">
        <f t="shared" si="9"/>
        <v>18.133246098019146</v>
      </c>
      <c r="G81" s="51">
        <v>443.8</v>
      </c>
      <c r="H81" s="38">
        <f t="shared" si="11"/>
        <v>3.4813333333333337E-3</v>
      </c>
      <c r="I81" s="38">
        <f t="shared" si="13"/>
        <v>1.5450157333333334</v>
      </c>
      <c r="J81" s="38">
        <f t="shared" si="14"/>
        <v>1.5450157333333334</v>
      </c>
      <c r="K81" s="38">
        <f t="shared" si="15"/>
        <v>110.93611501783667</v>
      </c>
      <c r="L81" s="38">
        <f t="shared" si="16"/>
        <v>1.1973871933333333E-3</v>
      </c>
      <c r="M81" s="38">
        <f t="shared" si="17"/>
        <v>8.5975489138823441E-2</v>
      </c>
    </row>
    <row r="82" spans="2:13">
      <c r="B82" s="48">
        <f t="shared" si="12"/>
        <v>78</v>
      </c>
      <c r="C82" s="47">
        <v>6600</v>
      </c>
      <c r="D82" s="47">
        <v>16.8</v>
      </c>
      <c r="E82" s="3">
        <f t="shared" si="10"/>
        <v>12.532800000000002</v>
      </c>
      <c r="F82" s="4">
        <f t="shared" si="9"/>
        <v>18.133246098019146</v>
      </c>
      <c r="G82" s="51">
        <v>443.8</v>
      </c>
      <c r="H82" s="38">
        <f t="shared" si="11"/>
        <v>3.4813333333333337E-3</v>
      </c>
      <c r="I82" s="38">
        <f t="shared" si="13"/>
        <v>1.5450157333333334</v>
      </c>
      <c r="J82" s="38">
        <f t="shared" si="14"/>
        <v>1.5450157333333334</v>
      </c>
      <c r="K82" s="38">
        <f t="shared" si="15"/>
        <v>112.48113075117</v>
      </c>
      <c r="L82" s="38">
        <f t="shared" si="16"/>
        <v>1.1973871933333333E-3</v>
      </c>
      <c r="M82" s="38">
        <f t="shared" si="17"/>
        <v>8.7172876332156771E-2</v>
      </c>
    </row>
    <row r="83" spans="2:13">
      <c r="B83" s="48">
        <f t="shared" si="12"/>
        <v>79</v>
      </c>
      <c r="C83" s="47">
        <v>6600</v>
      </c>
      <c r="D83" s="47">
        <v>16.8</v>
      </c>
      <c r="E83" s="3">
        <f t="shared" si="10"/>
        <v>12.532800000000002</v>
      </c>
      <c r="F83" s="4">
        <f t="shared" si="9"/>
        <v>18.133246098019146</v>
      </c>
      <c r="G83" s="51">
        <v>443.8</v>
      </c>
      <c r="H83" s="38">
        <f t="shared" si="11"/>
        <v>3.4813333333333337E-3</v>
      </c>
      <c r="I83" s="38">
        <f t="shared" si="13"/>
        <v>1.5450157333333334</v>
      </c>
      <c r="J83" s="38">
        <f t="shared" si="14"/>
        <v>1.5450157333333334</v>
      </c>
      <c r="K83" s="38">
        <f t="shared" si="15"/>
        <v>114.02614648450333</v>
      </c>
      <c r="L83" s="38">
        <f t="shared" si="16"/>
        <v>1.1973871933333333E-3</v>
      </c>
      <c r="M83" s="38">
        <f t="shared" si="17"/>
        <v>8.83702635254901E-2</v>
      </c>
    </row>
    <row r="84" spans="2:13">
      <c r="B84" s="48">
        <f t="shared" si="12"/>
        <v>80</v>
      </c>
      <c r="C84" s="47">
        <v>6600</v>
      </c>
      <c r="D84" s="47">
        <v>16.8</v>
      </c>
      <c r="E84" s="3">
        <f t="shared" si="10"/>
        <v>12.532800000000002</v>
      </c>
      <c r="F84" s="4">
        <f t="shared" si="9"/>
        <v>18.133246098019146</v>
      </c>
      <c r="G84" s="51">
        <v>443.8</v>
      </c>
      <c r="H84" s="38">
        <f t="shared" si="11"/>
        <v>3.4813333333333337E-3</v>
      </c>
      <c r="I84" s="38">
        <f t="shared" si="13"/>
        <v>1.5450157333333334</v>
      </c>
      <c r="J84" s="38">
        <f t="shared" si="14"/>
        <v>1.5450157333333334</v>
      </c>
      <c r="K84" s="38">
        <f t="shared" si="15"/>
        <v>115.57116221783666</v>
      </c>
      <c r="L84" s="38">
        <f t="shared" si="16"/>
        <v>1.1973871933333333E-3</v>
      </c>
      <c r="M84" s="38">
        <f t="shared" si="17"/>
        <v>8.956765071882343E-2</v>
      </c>
    </row>
    <row r="85" spans="2:13">
      <c r="B85" s="48">
        <f t="shared" si="12"/>
        <v>81</v>
      </c>
      <c r="C85" s="47">
        <v>6600</v>
      </c>
      <c r="D85" s="47">
        <v>16.8</v>
      </c>
      <c r="E85" s="3">
        <f t="shared" si="10"/>
        <v>12.532800000000002</v>
      </c>
      <c r="F85" s="4">
        <f t="shared" si="9"/>
        <v>18.133246098019146</v>
      </c>
      <c r="G85" s="51">
        <v>443.8</v>
      </c>
      <c r="H85" s="38">
        <f t="shared" si="11"/>
        <v>3.4813333333333337E-3</v>
      </c>
      <c r="I85" s="38">
        <f t="shared" si="13"/>
        <v>1.5450157333333334</v>
      </c>
      <c r="J85" s="38">
        <f t="shared" si="14"/>
        <v>1.5450157333333334</v>
      </c>
      <c r="K85" s="38">
        <f t="shared" si="15"/>
        <v>117.11617795116999</v>
      </c>
      <c r="L85" s="38">
        <f t="shared" si="16"/>
        <v>1.1973871933333333E-3</v>
      </c>
      <c r="M85" s="38">
        <f t="shared" si="17"/>
        <v>9.076503791215676E-2</v>
      </c>
    </row>
    <row r="86" spans="2:13">
      <c r="B86" s="48">
        <f t="shared" si="12"/>
        <v>82</v>
      </c>
      <c r="C86" s="47">
        <v>6600</v>
      </c>
      <c r="D86" s="47">
        <v>16.8</v>
      </c>
      <c r="E86" s="3">
        <f t="shared" si="10"/>
        <v>12.532800000000002</v>
      </c>
      <c r="F86" s="4">
        <f t="shared" si="9"/>
        <v>18.133246098019146</v>
      </c>
      <c r="G86" s="51">
        <v>443.8</v>
      </c>
      <c r="H86" s="38">
        <f t="shared" si="11"/>
        <v>3.4813333333333337E-3</v>
      </c>
      <c r="I86" s="38">
        <f t="shared" si="13"/>
        <v>1.5450157333333334</v>
      </c>
      <c r="J86" s="38">
        <f t="shared" si="14"/>
        <v>1.5450157333333334</v>
      </c>
      <c r="K86" s="38">
        <f t="shared" si="15"/>
        <v>118.66119368450332</v>
      </c>
      <c r="L86" s="38">
        <f t="shared" si="16"/>
        <v>1.1973871933333333E-3</v>
      </c>
      <c r="M86" s="38">
        <f t="shared" si="17"/>
        <v>9.1962425105490089E-2</v>
      </c>
    </row>
    <row r="87" spans="2:13">
      <c r="B87" s="48">
        <f t="shared" si="12"/>
        <v>83</v>
      </c>
      <c r="C87" s="47">
        <v>6600</v>
      </c>
      <c r="D87" s="47">
        <v>16.8</v>
      </c>
      <c r="E87" s="3">
        <f t="shared" si="10"/>
        <v>12.532800000000002</v>
      </c>
      <c r="F87" s="4">
        <f t="shared" si="9"/>
        <v>18.133246098019146</v>
      </c>
      <c r="G87" s="51">
        <v>443.8</v>
      </c>
      <c r="H87" s="38">
        <f t="shared" si="11"/>
        <v>3.4813333333333337E-3</v>
      </c>
      <c r="I87" s="38">
        <f t="shared" si="13"/>
        <v>1.5450157333333334</v>
      </c>
      <c r="J87" s="38">
        <f t="shared" si="14"/>
        <v>1.5450157333333334</v>
      </c>
      <c r="K87" s="38">
        <f t="shared" si="15"/>
        <v>120.20620941783665</v>
      </c>
      <c r="L87" s="38">
        <f t="shared" si="16"/>
        <v>1.1973871933333333E-3</v>
      </c>
      <c r="M87" s="38">
        <f t="shared" si="17"/>
        <v>9.3159812298823419E-2</v>
      </c>
    </row>
    <row r="88" spans="2:13">
      <c r="B88" s="48">
        <f t="shared" si="12"/>
        <v>84</v>
      </c>
      <c r="C88" s="47">
        <v>7000</v>
      </c>
      <c r="D88" s="47">
        <v>12.45</v>
      </c>
      <c r="E88" s="3">
        <f t="shared" si="10"/>
        <v>9.2876999999999992</v>
      </c>
      <c r="F88" s="4">
        <f t="shared" si="9"/>
        <v>12.670143128182255</v>
      </c>
      <c r="G88" s="51">
        <v>443.8</v>
      </c>
      <c r="H88" s="38">
        <f t="shared" si="11"/>
        <v>2.5799166666666666E-3</v>
      </c>
      <c r="I88" s="38">
        <f t="shared" si="13"/>
        <v>1.1449670166666668</v>
      </c>
      <c r="J88" s="38">
        <f t="shared" si="14"/>
        <v>1.1449670166666666</v>
      </c>
      <c r="K88" s="38">
        <f t="shared" si="15"/>
        <v>121.35117643450332</v>
      </c>
      <c r="L88" s="38">
        <f t="shared" si="16"/>
        <v>8.8734943791666653E-4</v>
      </c>
      <c r="M88" s="38">
        <f t="shared" si="17"/>
        <v>9.404716173674009E-2</v>
      </c>
    </row>
    <row r="89" spans="2:13">
      <c r="B89" s="48">
        <f t="shared" si="12"/>
        <v>85</v>
      </c>
      <c r="C89" s="47">
        <v>7000</v>
      </c>
      <c r="D89" s="47">
        <v>12.45</v>
      </c>
      <c r="E89" s="3">
        <f t="shared" si="10"/>
        <v>9.2876999999999992</v>
      </c>
      <c r="F89" s="4">
        <f t="shared" si="9"/>
        <v>12.670143128182255</v>
      </c>
      <c r="G89" s="51">
        <v>443.8</v>
      </c>
      <c r="H89" s="38">
        <f t="shared" si="11"/>
        <v>2.5799166666666666E-3</v>
      </c>
      <c r="I89" s="38">
        <f t="shared" si="13"/>
        <v>1.1449670166666668</v>
      </c>
      <c r="J89" s="38">
        <f t="shared" si="14"/>
        <v>1.1449670166666666</v>
      </c>
      <c r="K89" s="38">
        <f t="shared" si="15"/>
        <v>122.49614345116998</v>
      </c>
      <c r="L89" s="38">
        <f t="shared" si="16"/>
        <v>8.8734943791666653E-4</v>
      </c>
      <c r="M89" s="38">
        <f t="shared" si="17"/>
        <v>9.493451117465676E-2</v>
      </c>
    </row>
    <row r="90" spans="2:13">
      <c r="B90" s="48">
        <f t="shared" si="12"/>
        <v>86</v>
      </c>
      <c r="C90" s="47">
        <v>6900</v>
      </c>
      <c r="D90" s="47">
        <v>12.97</v>
      </c>
      <c r="E90" s="3">
        <f t="shared" si="10"/>
        <v>9.6756200000000003</v>
      </c>
      <c r="F90" s="4">
        <f t="shared" si="9"/>
        <v>13.390632612859168</v>
      </c>
      <c r="G90" s="51">
        <v>469.7</v>
      </c>
      <c r="H90" s="38">
        <f t="shared" si="11"/>
        <v>2.6876722222222223E-3</v>
      </c>
      <c r="I90" s="38">
        <f t="shared" si="13"/>
        <v>1.2623996427777777</v>
      </c>
      <c r="J90" s="38">
        <f t="shared" si="14"/>
        <v>1.2623996427777777</v>
      </c>
      <c r="K90" s="38">
        <f t="shared" si="15"/>
        <v>123.75854309394776</v>
      </c>
      <c r="L90" s="38">
        <f t="shared" si="16"/>
        <v>9.7835972315277794E-4</v>
      </c>
      <c r="M90" s="38">
        <f t="shared" si="17"/>
        <v>9.5912870897809532E-2</v>
      </c>
    </row>
    <row r="91" spans="2:13">
      <c r="B91" s="48">
        <f t="shared" si="12"/>
        <v>87</v>
      </c>
      <c r="C91" s="47">
        <v>6900</v>
      </c>
      <c r="D91" s="47">
        <v>12.97</v>
      </c>
      <c r="E91" s="3">
        <f t="shared" si="10"/>
        <v>9.6756200000000003</v>
      </c>
      <c r="F91" s="4">
        <f t="shared" si="9"/>
        <v>13.390632612859168</v>
      </c>
      <c r="G91" s="51">
        <v>469.7</v>
      </c>
      <c r="H91" s="38">
        <f t="shared" si="11"/>
        <v>2.6876722222222223E-3</v>
      </c>
      <c r="I91" s="38">
        <f t="shared" si="13"/>
        <v>1.2623996427777777</v>
      </c>
      <c r="J91" s="38">
        <f t="shared" si="14"/>
        <v>1.2623996427777777</v>
      </c>
      <c r="K91" s="38">
        <f t="shared" si="15"/>
        <v>125.02094273672554</v>
      </c>
      <c r="L91" s="38">
        <f t="shared" si="16"/>
        <v>9.7835972315277794E-4</v>
      </c>
      <c r="M91" s="38">
        <f t="shared" si="17"/>
        <v>9.6891230620962304E-2</v>
      </c>
    </row>
    <row r="92" spans="2:13">
      <c r="B92" s="48">
        <f t="shared" si="12"/>
        <v>88</v>
      </c>
      <c r="C92" s="47">
        <v>6900</v>
      </c>
      <c r="D92" s="47">
        <v>12.97</v>
      </c>
      <c r="E92" s="3">
        <f t="shared" si="10"/>
        <v>9.6756200000000003</v>
      </c>
      <c r="F92" s="4">
        <f t="shared" si="9"/>
        <v>13.390632612859168</v>
      </c>
      <c r="G92" s="51">
        <v>469.1</v>
      </c>
      <c r="H92" s="38">
        <f t="shared" si="11"/>
        <v>2.6876722222222223E-3</v>
      </c>
      <c r="I92" s="38">
        <f t="shared" si="13"/>
        <v>1.2607870394444447</v>
      </c>
      <c r="J92" s="38">
        <f t="shared" si="14"/>
        <v>1.2607870394444445</v>
      </c>
      <c r="K92" s="38">
        <f t="shared" si="15"/>
        <v>126.28172977616998</v>
      </c>
      <c r="L92" s="38">
        <f t="shared" si="16"/>
        <v>9.7710995556944441E-4</v>
      </c>
      <c r="M92" s="38">
        <f t="shared" si="17"/>
        <v>9.7868340576531751E-2</v>
      </c>
    </row>
    <row r="93" spans="2:13">
      <c r="B93" s="48">
        <f t="shared" si="12"/>
        <v>89</v>
      </c>
      <c r="C93" s="47">
        <v>6900</v>
      </c>
      <c r="D93" s="47">
        <v>12.97</v>
      </c>
      <c r="E93" s="3">
        <f t="shared" si="10"/>
        <v>9.6756200000000003</v>
      </c>
      <c r="F93" s="4">
        <f t="shared" si="9"/>
        <v>13.390632612859168</v>
      </c>
      <c r="G93" s="51">
        <v>469.1</v>
      </c>
      <c r="H93" s="38">
        <f t="shared" si="11"/>
        <v>2.6876722222222223E-3</v>
      </c>
      <c r="I93" s="38">
        <f t="shared" si="13"/>
        <v>1.2607870394444447</v>
      </c>
      <c r="J93" s="38">
        <f t="shared" si="14"/>
        <v>1.2607870394444445</v>
      </c>
      <c r="K93" s="38">
        <f t="shared" si="15"/>
        <v>127.54251681561442</v>
      </c>
      <c r="L93" s="38">
        <f t="shared" si="16"/>
        <v>9.7710995556944441E-4</v>
      </c>
      <c r="M93" s="38">
        <f t="shared" si="17"/>
        <v>9.8845450532101198E-2</v>
      </c>
    </row>
    <row r="94" spans="2:13">
      <c r="B94" s="48">
        <f t="shared" si="12"/>
        <v>90</v>
      </c>
      <c r="C94" s="47">
        <v>6900</v>
      </c>
      <c r="D94" s="47">
        <v>12.97</v>
      </c>
      <c r="E94" s="3">
        <f t="shared" si="10"/>
        <v>9.6756200000000003</v>
      </c>
      <c r="F94" s="4">
        <f t="shared" si="9"/>
        <v>13.390632612859168</v>
      </c>
      <c r="G94" s="51">
        <v>469.1</v>
      </c>
      <c r="H94" s="38">
        <f t="shared" si="11"/>
        <v>2.6876722222222223E-3</v>
      </c>
      <c r="I94" s="38">
        <f t="shared" si="13"/>
        <v>1.2607870394444447</v>
      </c>
      <c r="J94" s="38">
        <f t="shared" si="14"/>
        <v>1.2607870394444445</v>
      </c>
      <c r="K94" s="38">
        <f t="shared" si="15"/>
        <v>128.80330385505886</v>
      </c>
      <c r="L94" s="38">
        <f t="shared" si="16"/>
        <v>9.7710995556944441E-4</v>
      </c>
      <c r="M94" s="38">
        <f t="shared" si="17"/>
        <v>9.9822560487670645E-2</v>
      </c>
    </row>
    <row r="95" spans="2:13">
      <c r="B95" s="48">
        <f t="shared" si="12"/>
        <v>91</v>
      </c>
      <c r="C95" s="47">
        <v>6900</v>
      </c>
      <c r="D95" s="47">
        <v>12.97</v>
      </c>
      <c r="E95" s="3">
        <f t="shared" si="10"/>
        <v>9.6756200000000003</v>
      </c>
      <c r="F95" s="4">
        <f t="shared" si="9"/>
        <v>13.390632612859168</v>
      </c>
      <c r="G95" s="51">
        <v>469.1</v>
      </c>
      <c r="H95" s="38">
        <f t="shared" si="11"/>
        <v>2.6876722222222223E-3</v>
      </c>
      <c r="I95" s="38">
        <f t="shared" si="13"/>
        <v>1.2607870394444447</v>
      </c>
      <c r="J95" s="38">
        <f t="shared" si="14"/>
        <v>1.2607870394444445</v>
      </c>
      <c r="K95" s="38">
        <f t="shared" si="15"/>
        <v>130.06409089450329</v>
      </c>
      <c r="L95" s="38">
        <f t="shared" si="16"/>
        <v>9.7710995556944441E-4</v>
      </c>
      <c r="M95" s="38">
        <f t="shared" si="17"/>
        <v>0.10079967044324009</v>
      </c>
    </row>
    <row r="96" spans="2:13">
      <c r="B96" s="48">
        <f t="shared" si="12"/>
        <v>92</v>
      </c>
      <c r="C96" s="47">
        <v>6900</v>
      </c>
      <c r="D96" s="47">
        <v>12.97</v>
      </c>
      <c r="E96" s="3">
        <f t="shared" si="10"/>
        <v>9.6756200000000003</v>
      </c>
      <c r="F96" s="4">
        <f t="shared" si="9"/>
        <v>13.390632612859168</v>
      </c>
      <c r="G96" s="51">
        <v>469.1</v>
      </c>
      <c r="H96" s="38">
        <f t="shared" si="11"/>
        <v>2.6876722222222223E-3</v>
      </c>
      <c r="I96" s="38">
        <f t="shared" si="13"/>
        <v>1.2607870394444447</v>
      </c>
      <c r="J96" s="38">
        <f t="shared" si="14"/>
        <v>1.2607870394444445</v>
      </c>
      <c r="K96" s="38">
        <f t="shared" si="15"/>
        <v>131.32487793394773</v>
      </c>
      <c r="L96" s="38">
        <f t="shared" si="16"/>
        <v>9.7710995556944441E-4</v>
      </c>
      <c r="M96" s="38">
        <f t="shared" si="17"/>
        <v>0.10177678039880954</v>
      </c>
    </row>
    <row r="97" spans="2:13">
      <c r="B97" s="48">
        <f t="shared" si="12"/>
        <v>93</v>
      </c>
      <c r="C97" s="47">
        <v>6800</v>
      </c>
      <c r="D97" s="47">
        <v>13.48</v>
      </c>
      <c r="E97" s="3">
        <f t="shared" si="10"/>
        <v>10.05608</v>
      </c>
      <c r="F97" s="4">
        <f t="shared" si="9"/>
        <v>14.121836824654824</v>
      </c>
      <c r="G97" s="51">
        <v>469.1</v>
      </c>
      <c r="H97" s="38">
        <f t="shared" si="11"/>
        <v>2.7933555555555555E-3</v>
      </c>
      <c r="I97" s="38">
        <f t="shared" si="13"/>
        <v>1.3103630911111113</v>
      </c>
      <c r="J97" s="38">
        <f t="shared" si="14"/>
        <v>1.3103630911111113</v>
      </c>
      <c r="K97" s="38">
        <f t="shared" si="15"/>
        <v>132.63524102505883</v>
      </c>
      <c r="L97" s="38">
        <f t="shared" si="16"/>
        <v>1.0155313956111112E-3</v>
      </c>
      <c r="M97" s="38">
        <f t="shared" si="17"/>
        <v>0.10279231179442065</v>
      </c>
    </row>
    <row r="98" spans="2:13">
      <c r="B98" s="48">
        <f t="shared" si="12"/>
        <v>94</v>
      </c>
      <c r="C98" s="47">
        <v>6800</v>
      </c>
      <c r="D98" s="47">
        <v>13.48</v>
      </c>
      <c r="E98" s="3">
        <f t="shared" si="10"/>
        <v>10.05608</v>
      </c>
      <c r="F98" s="4">
        <f t="shared" si="9"/>
        <v>14.121836824654824</v>
      </c>
      <c r="G98" s="51">
        <v>469.1</v>
      </c>
      <c r="H98" s="38">
        <f t="shared" si="11"/>
        <v>2.7933555555555555E-3</v>
      </c>
      <c r="I98" s="38">
        <f t="shared" si="13"/>
        <v>1.3103630911111113</v>
      </c>
      <c r="J98" s="38">
        <f t="shared" si="14"/>
        <v>1.3103630911111113</v>
      </c>
      <c r="K98" s="38">
        <f t="shared" si="15"/>
        <v>133.94560411616993</v>
      </c>
      <c r="L98" s="38">
        <f t="shared" si="16"/>
        <v>1.0155313956111112E-3</v>
      </c>
      <c r="M98" s="38">
        <f t="shared" si="17"/>
        <v>0.10380784319003176</v>
      </c>
    </row>
    <row r="99" spans="2:13">
      <c r="B99" s="48">
        <f t="shared" si="12"/>
        <v>95</v>
      </c>
      <c r="C99" s="47">
        <v>6800</v>
      </c>
      <c r="D99" s="47">
        <v>13.48</v>
      </c>
      <c r="E99" s="3">
        <f t="shared" si="10"/>
        <v>10.05608</v>
      </c>
      <c r="F99" s="4">
        <f t="shared" si="9"/>
        <v>14.121836824654824</v>
      </c>
      <c r="G99" s="51">
        <v>469.1</v>
      </c>
      <c r="H99" s="38">
        <f t="shared" si="11"/>
        <v>2.7933555555555555E-3</v>
      </c>
      <c r="I99" s="38">
        <f t="shared" si="13"/>
        <v>1.3103630911111113</v>
      </c>
      <c r="J99" s="38">
        <f t="shared" si="14"/>
        <v>1.3103630911111113</v>
      </c>
      <c r="K99" s="38">
        <f t="shared" si="15"/>
        <v>135.25596720728103</v>
      </c>
      <c r="L99" s="38">
        <f t="shared" si="16"/>
        <v>1.0155313956111112E-3</v>
      </c>
      <c r="M99" s="38">
        <f t="shared" si="17"/>
        <v>0.10482337458564288</v>
      </c>
    </row>
    <row r="100" spans="2:13">
      <c r="B100" s="48">
        <f t="shared" si="12"/>
        <v>96</v>
      </c>
      <c r="C100" s="47">
        <v>6800</v>
      </c>
      <c r="D100" s="47">
        <v>13.48</v>
      </c>
      <c r="E100" s="3">
        <f t="shared" si="10"/>
        <v>10.05608</v>
      </c>
      <c r="F100" s="4">
        <f t="shared" si="9"/>
        <v>14.121836824654824</v>
      </c>
      <c r="G100" s="51">
        <v>469.1</v>
      </c>
      <c r="H100" s="38">
        <f t="shared" si="11"/>
        <v>2.7933555555555555E-3</v>
      </c>
      <c r="I100" s="38">
        <f t="shared" si="13"/>
        <v>1.3103630911111113</v>
      </c>
      <c r="J100" s="38">
        <f t="shared" si="14"/>
        <v>1.3103630911111113</v>
      </c>
      <c r="K100" s="38">
        <f t="shared" si="15"/>
        <v>136.56633029839213</v>
      </c>
      <c r="L100" s="38">
        <f t="shared" si="16"/>
        <v>1.0155313956111112E-3</v>
      </c>
      <c r="M100" s="38">
        <f t="shared" si="17"/>
        <v>0.10583890598125399</v>
      </c>
    </row>
    <row r="101" spans="2:13">
      <c r="B101" s="48">
        <f t="shared" si="12"/>
        <v>97</v>
      </c>
      <c r="C101" s="47">
        <v>6800</v>
      </c>
      <c r="D101" s="47">
        <v>13.48</v>
      </c>
      <c r="E101" s="3">
        <f t="shared" si="10"/>
        <v>10.05608</v>
      </c>
      <c r="F101" s="4">
        <f t="shared" si="9"/>
        <v>14.121836824654824</v>
      </c>
      <c r="G101" s="51">
        <v>469.1</v>
      </c>
      <c r="H101" s="38">
        <f t="shared" si="11"/>
        <v>2.7933555555555555E-3</v>
      </c>
      <c r="I101" s="38">
        <f t="shared" si="13"/>
        <v>1.3103630911111113</v>
      </c>
      <c r="J101" s="38">
        <f t="shared" si="14"/>
        <v>1.3103630911111113</v>
      </c>
      <c r="K101" s="38">
        <f t="shared" si="15"/>
        <v>137.87669338950323</v>
      </c>
      <c r="L101" s="38">
        <f t="shared" si="16"/>
        <v>1.0155313956111112E-3</v>
      </c>
      <c r="M101" s="38">
        <f t="shared" si="17"/>
        <v>0.10685443737686511</v>
      </c>
    </row>
    <row r="102" spans="2:13">
      <c r="B102" s="48">
        <f t="shared" si="12"/>
        <v>98</v>
      </c>
      <c r="C102" s="47">
        <v>6800</v>
      </c>
      <c r="D102" s="47">
        <v>13.48</v>
      </c>
      <c r="E102" s="3">
        <f t="shared" si="10"/>
        <v>10.05608</v>
      </c>
      <c r="F102" s="4">
        <f t="shared" si="9"/>
        <v>14.121836824654824</v>
      </c>
      <c r="G102" s="51">
        <v>469.1</v>
      </c>
      <c r="H102" s="38">
        <f t="shared" si="11"/>
        <v>2.7933555555555555E-3</v>
      </c>
      <c r="I102" s="38">
        <f t="shared" si="13"/>
        <v>1.3103630911111113</v>
      </c>
      <c r="J102" s="38">
        <f t="shared" si="14"/>
        <v>1.3103630911111113</v>
      </c>
      <c r="K102" s="38">
        <f t="shared" si="15"/>
        <v>139.18705648061433</v>
      </c>
      <c r="L102" s="38">
        <f t="shared" si="16"/>
        <v>1.0155313956111112E-3</v>
      </c>
      <c r="M102" s="38">
        <f t="shared" si="17"/>
        <v>0.10786996877247622</v>
      </c>
    </row>
    <row r="103" spans="2:13">
      <c r="B103" s="48">
        <f t="shared" si="12"/>
        <v>99</v>
      </c>
      <c r="C103" s="47">
        <v>6700</v>
      </c>
      <c r="D103" s="47">
        <v>14</v>
      </c>
      <c r="E103" s="3">
        <f t="shared" si="10"/>
        <v>10.444000000000001</v>
      </c>
      <c r="F103" s="4">
        <f t="shared" si="9"/>
        <v>14.885500528224673</v>
      </c>
      <c r="G103" s="51">
        <v>504.5</v>
      </c>
      <c r="H103" s="38">
        <f t="shared" si="11"/>
        <v>2.9011111111111113E-3</v>
      </c>
      <c r="I103" s="38">
        <f t="shared" si="13"/>
        <v>1.4636105555555556</v>
      </c>
      <c r="J103" s="38">
        <f t="shared" si="14"/>
        <v>1.4636105555555556</v>
      </c>
      <c r="K103" s="38">
        <f t="shared" si="15"/>
        <v>140.65066703616989</v>
      </c>
      <c r="L103" s="38">
        <f t="shared" si="16"/>
        <v>1.1342981805555557E-3</v>
      </c>
      <c r="M103" s="38">
        <f t="shared" si="17"/>
        <v>0.10900426695303178</v>
      </c>
    </row>
    <row r="104" spans="2:13">
      <c r="B104" s="48">
        <f t="shared" si="12"/>
        <v>100</v>
      </c>
      <c r="C104" s="47">
        <v>6700</v>
      </c>
      <c r="D104" s="47">
        <v>14</v>
      </c>
      <c r="E104" s="3">
        <f t="shared" si="10"/>
        <v>10.444000000000001</v>
      </c>
      <c r="F104" s="4">
        <f t="shared" si="9"/>
        <v>14.885500528224673</v>
      </c>
      <c r="G104" s="51">
        <v>504.5</v>
      </c>
      <c r="H104" s="38">
        <f t="shared" si="11"/>
        <v>2.9011111111111113E-3</v>
      </c>
      <c r="I104" s="38">
        <f t="shared" si="13"/>
        <v>1.4636105555555556</v>
      </c>
      <c r="J104" s="38">
        <f t="shared" si="14"/>
        <v>1.4636105555555556</v>
      </c>
      <c r="K104" s="38">
        <f t="shared" si="15"/>
        <v>142.11427759172545</v>
      </c>
      <c r="L104" s="38">
        <f t="shared" si="16"/>
        <v>1.1342981805555557E-3</v>
      </c>
      <c r="M104" s="38">
        <f t="shared" si="17"/>
        <v>0.11013856513358734</v>
      </c>
    </row>
    <row r="105" spans="2:13">
      <c r="B105" s="48">
        <f t="shared" si="12"/>
        <v>101</v>
      </c>
      <c r="C105" s="47">
        <v>6700</v>
      </c>
      <c r="D105" s="47">
        <v>14</v>
      </c>
      <c r="E105" s="3">
        <f t="shared" si="10"/>
        <v>10.444000000000001</v>
      </c>
      <c r="F105" s="4">
        <f t="shared" si="9"/>
        <v>14.885500528224673</v>
      </c>
      <c r="G105" s="51">
        <v>504.5</v>
      </c>
      <c r="H105" s="38">
        <f t="shared" si="11"/>
        <v>2.9011111111111113E-3</v>
      </c>
      <c r="I105" s="38">
        <f t="shared" si="13"/>
        <v>1.4636105555555556</v>
      </c>
      <c r="J105" s="38">
        <f t="shared" si="14"/>
        <v>1.4636105555555556</v>
      </c>
      <c r="K105" s="38">
        <f t="shared" si="15"/>
        <v>143.57788814728102</v>
      </c>
      <c r="L105" s="38">
        <f t="shared" si="16"/>
        <v>1.1342981805555557E-3</v>
      </c>
      <c r="M105" s="38">
        <f t="shared" si="17"/>
        <v>0.11127286331414291</v>
      </c>
    </row>
    <row r="106" spans="2:13">
      <c r="B106" s="48">
        <f t="shared" si="12"/>
        <v>102</v>
      </c>
      <c r="C106" s="47">
        <v>6700</v>
      </c>
      <c r="D106" s="47">
        <v>14</v>
      </c>
      <c r="E106" s="3">
        <f t="shared" si="10"/>
        <v>10.444000000000001</v>
      </c>
      <c r="F106" s="4">
        <f t="shared" si="9"/>
        <v>14.885500528224673</v>
      </c>
      <c r="G106" s="51">
        <v>504.5</v>
      </c>
      <c r="H106" s="38">
        <f t="shared" si="11"/>
        <v>2.9011111111111113E-3</v>
      </c>
      <c r="I106" s="38">
        <f t="shared" si="13"/>
        <v>1.4636105555555556</v>
      </c>
      <c r="J106" s="38">
        <f t="shared" si="14"/>
        <v>1.4636105555555556</v>
      </c>
      <c r="K106" s="38">
        <f t="shared" si="15"/>
        <v>145.04149870283658</v>
      </c>
      <c r="L106" s="38">
        <f t="shared" si="16"/>
        <v>1.1342981805555557E-3</v>
      </c>
      <c r="M106" s="38">
        <f t="shared" si="17"/>
        <v>0.11240716149469847</v>
      </c>
    </row>
    <row r="107" spans="2:13">
      <c r="B107" s="48">
        <f t="shared" si="12"/>
        <v>103</v>
      </c>
      <c r="C107" s="47">
        <v>6700</v>
      </c>
      <c r="D107" s="47">
        <v>14</v>
      </c>
      <c r="E107" s="3">
        <f t="shared" si="10"/>
        <v>10.444000000000001</v>
      </c>
      <c r="F107" s="4">
        <f t="shared" si="9"/>
        <v>14.885500528224673</v>
      </c>
      <c r="G107" s="51">
        <v>504.5</v>
      </c>
      <c r="H107" s="38">
        <f t="shared" si="11"/>
        <v>2.9011111111111113E-3</v>
      </c>
      <c r="I107" s="38">
        <f t="shared" si="13"/>
        <v>1.4636105555555556</v>
      </c>
      <c r="J107" s="38">
        <f t="shared" si="14"/>
        <v>1.4636105555555556</v>
      </c>
      <c r="K107" s="38">
        <f t="shared" si="15"/>
        <v>146.50510925839214</v>
      </c>
      <c r="L107" s="38">
        <f t="shared" si="16"/>
        <v>1.1342981805555557E-3</v>
      </c>
      <c r="M107" s="38">
        <f t="shared" si="17"/>
        <v>0.11354145967525403</v>
      </c>
    </row>
    <row r="108" spans="2:13">
      <c r="B108" s="48">
        <f t="shared" si="12"/>
        <v>104</v>
      </c>
      <c r="C108" s="47">
        <v>6700</v>
      </c>
      <c r="D108" s="47">
        <v>14</v>
      </c>
      <c r="E108" s="3">
        <f t="shared" si="10"/>
        <v>10.444000000000001</v>
      </c>
      <c r="F108" s="4">
        <f t="shared" si="9"/>
        <v>14.885500528224673</v>
      </c>
      <c r="G108" s="51">
        <v>504.5</v>
      </c>
      <c r="H108" s="38">
        <f t="shared" si="11"/>
        <v>2.9011111111111113E-3</v>
      </c>
      <c r="I108" s="38">
        <f t="shared" si="13"/>
        <v>1.4636105555555556</v>
      </c>
      <c r="J108" s="38">
        <f t="shared" si="14"/>
        <v>1.4636105555555556</v>
      </c>
      <c r="K108" s="38">
        <f t="shared" si="15"/>
        <v>147.9687198139477</v>
      </c>
      <c r="L108" s="38">
        <f t="shared" si="16"/>
        <v>1.1342981805555557E-3</v>
      </c>
      <c r="M108" s="38">
        <f t="shared" si="17"/>
        <v>0.11467575785580959</v>
      </c>
    </row>
    <row r="109" spans="2:13">
      <c r="B109" s="48">
        <f t="shared" si="12"/>
        <v>105</v>
      </c>
      <c r="C109" s="47">
        <v>6700</v>
      </c>
      <c r="D109" s="47">
        <v>14</v>
      </c>
      <c r="E109" s="3">
        <f t="shared" si="10"/>
        <v>10.444000000000001</v>
      </c>
      <c r="F109" s="4">
        <f t="shared" si="9"/>
        <v>14.885500528224673</v>
      </c>
      <c r="G109" s="51">
        <v>504.5</v>
      </c>
      <c r="H109" s="38">
        <f t="shared" si="11"/>
        <v>2.9011111111111113E-3</v>
      </c>
      <c r="I109" s="38">
        <f t="shared" si="13"/>
        <v>1.4636105555555556</v>
      </c>
      <c r="J109" s="38">
        <f t="shared" si="14"/>
        <v>1.4636105555555556</v>
      </c>
      <c r="K109" s="38">
        <f t="shared" si="15"/>
        <v>149.43233036950326</v>
      </c>
      <c r="L109" s="38">
        <f t="shared" si="16"/>
        <v>1.1342981805555557E-3</v>
      </c>
      <c r="M109" s="38">
        <f t="shared" si="17"/>
        <v>0.11581005603636516</v>
      </c>
    </row>
    <row r="110" spans="2:13">
      <c r="B110" s="48">
        <f t="shared" si="12"/>
        <v>106</v>
      </c>
      <c r="C110" s="47">
        <v>6700</v>
      </c>
      <c r="D110" s="47">
        <v>14</v>
      </c>
      <c r="E110" s="3">
        <f t="shared" si="10"/>
        <v>10.444000000000001</v>
      </c>
      <c r="F110" s="4">
        <f t="shared" si="9"/>
        <v>14.885500528224673</v>
      </c>
      <c r="G110" s="51">
        <v>504.5</v>
      </c>
      <c r="H110" s="38">
        <f t="shared" si="11"/>
        <v>2.9011111111111113E-3</v>
      </c>
      <c r="I110" s="38">
        <f t="shared" si="13"/>
        <v>1.4636105555555556</v>
      </c>
      <c r="J110" s="38">
        <f t="shared" si="14"/>
        <v>1.4636105555555556</v>
      </c>
      <c r="K110" s="38">
        <f t="shared" si="15"/>
        <v>150.89594092505882</v>
      </c>
      <c r="L110" s="38">
        <f t="shared" si="16"/>
        <v>1.1342981805555557E-3</v>
      </c>
      <c r="M110" s="38">
        <f t="shared" si="17"/>
        <v>0.11694435421692072</v>
      </c>
    </row>
    <row r="111" spans="2:13">
      <c r="B111" s="48">
        <f t="shared" si="12"/>
        <v>107</v>
      </c>
      <c r="C111" s="47">
        <v>6600</v>
      </c>
      <c r="D111" s="47">
        <v>16.8</v>
      </c>
      <c r="E111" s="3">
        <f t="shared" si="10"/>
        <v>12.532800000000002</v>
      </c>
      <c r="F111" s="4">
        <f t="shared" si="9"/>
        <v>18.133246098019146</v>
      </c>
      <c r="G111" s="51">
        <v>585.70000000000005</v>
      </c>
      <c r="H111" s="38">
        <f t="shared" si="11"/>
        <v>3.4813333333333337E-3</v>
      </c>
      <c r="I111" s="38">
        <f t="shared" si="13"/>
        <v>2.0390169333333339</v>
      </c>
      <c r="J111" s="38">
        <f t="shared" si="14"/>
        <v>2.0390169333333339</v>
      </c>
      <c r="K111" s="38">
        <f t="shared" si="15"/>
        <v>152.93495785839215</v>
      </c>
      <c r="L111" s="38">
        <f t="shared" si="16"/>
        <v>1.5802381233333339E-3</v>
      </c>
      <c r="M111" s="38">
        <f t="shared" si="17"/>
        <v>0.11852459234025405</v>
      </c>
    </row>
    <row r="112" spans="2:13">
      <c r="B112" s="48">
        <f t="shared" si="12"/>
        <v>108</v>
      </c>
      <c r="C112" s="47">
        <v>6600</v>
      </c>
      <c r="D112" s="47">
        <v>16.8</v>
      </c>
      <c r="E112" s="3">
        <f t="shared" si="10"/>
        <v>12.532800000000002</v>
      </c>
      <c r="F112" s="4">
        <f t="shared" si="9"/>
        <v>18.133246098019146</v>
      </c>
      <c r="G112" s="51">
        <v>585.70000000000005</v>
      </c>
      <c r="H112" s="38">
        <f t="shared" si="11"/>
        <v>3.4813333333333337E-3</v>
      </c>
      <c r="I112" s="38">
        <f t="shared" si="13"/>
        <v>2.0390169333333339</v>
      </c>
      <c r="J112" s="38">
        <f t="shared" si="14"/>
        <v>2.0390169333333339</v>
      </c>
      <c r="K112" s="38">
        <f t="shared" si="15"/>
        <v>154.97397479172548</v>
      </c>
      <c r="L112" s="38">
        <f t="shared" si="16"/>
        <v>1.5802381233333339E-3</v>
      </c>
      <c r="M112" s="38">
        <f t="shared" si="17"/>
        <v>0.12010483046358737</v>
      </c>
    </row>
    <row r="113" spans="2:13">
      <c r="B113" s="48">
        <f t="shared" si="12"/>
        <v>109</v>
      </c>
      <c r="C113" s="47">
        <v>6600</v>
      </c>
      <c r="D113" s="47">
        <v>16.8</v>
      </c>
      <c r="E113" s="3">
        <f t="shared" si="10"/>
        <v>12.532800000000002</v>
      </c>
      <c r="F113" s="4">
        <f t="shared" si="9"/>
        <v>18.133246098019146</v>
      </c>
      <c r="G113" s="51">
        <v>585.70000000000005</v>
      </c>
      <c r="H113" s="38">
        <f t="shared" si="11"/>
        <v>3.4813333333333337E-3</v>
      </c>
      <c r="I113" s="38">
        <f t="shared" si="13"/>
        <v>2.0390169333333339</v>
      </c>
      <c r="J113" s="38">
        <f t="shared" si="14"/>
        <v>2.0390169333333339</v>
      </c>
      <c r="K113" s="38">
        <f t="shared" si="15"/>
        <v>157.01299172505881</v>
      </c>
      <c r="L113" s="38">
        <f t="shared" si="16"/>
        <v>1.5802381233333339E-3</v>
      </c>
      <c r="M113" s="38">
        <f t="shared" si="17"/>
        <v>0.1216850685869207</v>
      </c>
    </row>
    <row r="114" spans="2:13">
      <c r="B114" s="48">
        <f t="shared" si="12"/>
        <v>110</v>
      </c>
      <c r="C114" s="47">
        <v>6600</v>
      </c>
      <c r="D114" s="47">
        <v>16.8</v>
      </c>
      <c r="E114" s="3">
        <f t="shared" si="10"/>
        <v>12.532800000000002</v>
      </c>
      <c r="F114" s="4">
        <f t="shared" si="9"/>
        <v>18.133246098019146</v>
      </c>
      <c r="G114" s="51">
        <v>585.70000000000005</v>
      </c>
      <c r="H114" s="38">
        <f t="shared" si="11"/>
        <v>3.4813333333333337E-3</v>
      </c>
      <c r="I114" s="38">
        <f t="shared" si="13"/>
        <v>2.0390169333333339</v>
      </c>
      <c r="J114" s="38">
        <f t="shared" si="14"/>
        <v>2.0390169333333339</v>
      </c>
      <c r="K114" s="38">
        <f t="shared" si="15"/>
        <v>159.05200865839214</v>
      </c>
      <c r="L114" s="38">
        <f t="shared" si="16"/>
        <v>1.5802381233333339E-3</v>
      </c>
      <c r="M114" s="38">
        <f t="shared" si="17"/>
        <v>0.12326530671025403</v>
      </c>
    </row>
    <row r="115" spans="2:13">
      <c r="B115" s="48">
        <f t="shared" si="12"/>
        <v>111</v>
      </c>
      <c r="C115" s="47">
        <v>6600</v>
      </c>
      <c r="D115" s="47">
        <v>16.8</v>
      </c>
      <c r="E115" s="3">
        <f t="shared" si="10"/>
        <v>12.532800000000002</v>
      </c>
      <c r="F115" s="4">
        <f t="shared" si="9"/>
        <v>18.133246098019146</v>
      </c>
      <c r="G115" s="51">
        <v>585.70000000000005</v>
      </c>
      <c r="H115" s="38">
        <f t="shared" si="11"/>
        <v>3.4813333333333337E-3</v>
      </c>
      <c r="I115" s="38">
        <f t="shared" si="13"/>
        <v>2.0390169333333339</v>
      </c>
      <c r="J115" s="38">
        <f t="shared" si="14"/>
        <v>2.0390169333333339</v>
      </c>
      <c r="K115" s="38">
        <f t="shared" si="15"/>
        <v>161.09102559172547</v>
      </c>
      <c r="L115" s="38">
        <f t="shared" si="16"/>
        <v>1.5802381233333339E-3</v>
      </c>
      <c r="M115" s="38">
        <f t="shared" si="17"/>
        <v>0.12484554483358735</v>
      </c>
    </row>
    <row r="116" spans="2:13">
      <c r="B116" s="48">
        <f t="shared" si="12"/>
        <v>112</v>
      </c>
      <c r="C116" s="47">
        <v>6600</v>
      </c>
      <c r="D116" s="47">
        <v>16.8</v>
      </c>
      <c r="E116" s="3">
        <f t="shared" si="10"/>
        <v>12.532800000000002</v>
      </c>
      <c r="F116" s="4">
        <f t="shared" si="9"/>
        <v>18.133246098019146</v>
      </c>
      <c r="G116" s="51">
        <v>585.70000000000005</v>
      </c>
      <c r="H116" s="38">
        <f t="shared" si="11"/>
        <v>3.4813333333333337E-3</v>
      </c>
      <c r="I116" s="38">
        <f t="shared" si="13"/>
        <v>2.0390169333333339</v>
      </c>
      <c r="J116" s="38">
        <f t="shared" si="14"/>
        <v>2.0390169333333339</v>
      </c>
      <c r="K116" s="38">
        <f t="shared" si="15"/>
        <v>163.1300425250588</v>
      </c>
      <c r="L116" s="38">
        <f t="shared" si="16"/>
        <v>1.5802381233333339E-3</v>
      </c>
      <c r="M116" s="38">
        <f t="shared" si="17"/>
        <v>0.1264257829569207</v>
      </c>
    </row>
    <row r="117" spans="2:13">
      <c r="B117" s="48">
        <f t="shared" si="12"/>
        <v>113</v>
      </c>
      <c r="C117" s="47">
        <v>6600</v>
      </c>
      <c r="D117" s="47">
        <v>16.8</v>
      </c>
      <c r="E117" s="3">
        <f t="shared" si="10"/>
        <v>12.532800000000002</v>
      </c>
      <c r="F117" s="4">
        <f t="shared" si="9"/>
        <v>18.133246098019146</v>
      </c>
      <c r="G117" s="51">
        <v>585.70000000000005</v>
      </c>
      <c r="H117" s="38">
        <f t="shared" si="11"/>
        <v>3.4813333333333337E-3</v>
      </c>
      <c r="I117" s="38">
        <f t="shared" si="13"/>
        <v>2.0390169333333339</v>
      </c>
      <c r="J117" s="38">
        <f t="shared" si="14"/>
        <v>2.0390169333333339</v>
      </c>
      <c r="K117" s="38">
        <f t="shared" si="15"/>
        <v>165.16905945839213</v>
      </c>
      <c r="L117" s="38">
        <f t="shared" si="16"/>
        <v>1.5802381233333339E-3</v>
      </c>
      <c r="M117" s="38">
        <f t="shared" si="17"/>
        <v>0.12800602108025402</v>
      </c>
    </row>
    <row r="118" spans="2:13">
      <c r="B118" s="48">
        <f t="shared" si="12"/>
        <v>114</v>
      </c>
      <c r="C118" s="47">
        <v>6600</v>
      </c>
      <c r="D118" s="47">
        <v>16.8</v>
      </c>
      <c r="E118" s="3">
        <f t="shared" si="10"/>
        <v>12.532800000000002</v>
      </c>
      <c r="F118" s="4">
        <f t="shared" si="9"/>
        <v>18.133246098019146</v>
      </c>
      <c r="G118" s="51">
        <v>585.70000000000005</v>
      </c>
      <c r="H118" s="38">
        <f t="shared" si="11"/>
        <v>3.4813333333333337E-3</v>
      </c>
      <c r="I118" s="38">
        <f t="shared" si="13"/>
        <v>2.0390169333333339</v>
      </c>
      <c r="J118" s="38">
        <f t="shared" si="14"/>
        <v>2.0390169333333339</v>
      </c>
      <c r="K118" s="38">
        <f t="shared" si="15"/>
        <v>167.20807639172546</v>
      </c>
      <c r="L118" s="38">
        <f t="shared" si="16"/>
        <v>1.5802381233333339E-3</v>
      </c>
      <c r="M118" s="38">
        <f t="shared" si="17"/>
        <v>0.12958625920358735</v>
      </c>
    </row>
    <row r="119" spans="2:13">
      <c r="B119" s="48">
        <f t="shared" si="12"/>
        <v>115</v>
      </c>
      <c r="C119" s="47">
        <v>6600</v>
      </c>
      <c r="D119" s="47">
        <v>16.8</v>
      </c>
      <c r="E119" s="3">
        <f t="shared" si="10"/>
        <v>12.532800000000002</v>
      </c>
      <c r="F119" s="4">
        <f t="shared" si="9"/>
        <v>18.133246098019146</v>
      </c>
      <c r="G119" s="51">
        <v>585.70000000000005</v>
      </c>
      <c r="H119" s="38">
        <f t="shared" si="11"/>
        <v>3.4813333333333337E-3</v>
      </c>
      <c r="I119" s="38">
        <f t="shared" si="13"/>
        <v>2.0390169333333339</v>
      </c>
      <c r="J119" s="38">
        <f t="shared" si="14"/>
        <v>2.0390169333333339</v>
      </c>
      <c r="K119" s="38">
        <f t="shared" si="15"/>
        <v>169.24709332505878</v>
      </c>
      <c r="L119" s="38">
        <f t="shared" si="16"/>
        <v>1.5802381233333339E-3</v>
      </c>
      <c r="M119" s="38">
        <f t="shared" si="17"/>
        <v>0.13116649732692068</v>
      </c>
    </row>
    <row r="120" spans="2:13">
      <c r="B120" s="48">
        <f t="shared" si="12"/>
        <v>116</v>
      </c>
      <c r="C120" s="47">
        <v>6500</v>
      </c>
      <c r="D120" s="47">
        <v>18</v>
      </c>
      <c r="E120" s="3">
        <f t="shared" si="10"/>
        <v>13.428000000000001</v>
      </c>
      <c r="F120" s="4">
        <f t="shared" si="9"/>
        <v>19.727377623119732</v>
      </c>
      <c r="G120" s="51">
        <v>585.70000000000005</v>
      </c>
      <c r="H120" s="38">
        <f t="shared" si="11"/>
        <v>3.7300000000000002E-3</v>
      </c>
      <c r="I120" s="38">
        <f t="shared" si="13"/>
        <v>2.1846610000000002</v>
      </c>
      <c r="J120" s="38">
        <f t="shared" si="14"/>
        <v>2.1846610000000002</v>
      </c>
      <c r="K120" s="38">
        <f t="shared" si="15"/>
        <v>171.43175432505879</v>
      </c>
      <c r="L120" s="38">
        <f t="shared" si="16"/>
        <v>1.6931122750000001E-3</v>
      </c>
      <c r="M120" s="38">
        <f t="shared" si="17"/>
        <v>0.13285960960192067</v>
      </c>
    </row>
    <row r="121" spans="2:13">
      <c r="B121" s="48">
        <f t="shared" si="12"/>
        <v>117</v>
      </c>
      <c r="C121" s="47">
        <v>6500</v>
      </c>
      <c r="D121" s="47">
        <v>18</v>
      </c>
      <c r="E121" s="3">
        <f t="shared" si="10"/>
        <v>13.428000000000001</v>
      </c>
      <c r="F121" s="4">
        <f t="shared" si="9"/>
        <v>19.727377623119732</v>
      </c>
      <c r="G121" s="51">
        <v>585.70000000000005</v>
      </c>
      <c r="H121" s="38">
        <f t="shared" si="11"/>
        <v>3.7300000000000002E-3</v>
      </c>
      <c r="I121" s="38">
        <f t="shared" si="13"/>
        <v>2.1846610000000002</v>
      </c>
      <c r="J121" s="38">
        <f t="shared" si="14"/>
        <v>2.1846610000000002</v>
      </c>
      <c r="K121" s="38">
        <f t="shared" si="15"/>
        <v>173.6164153250588</v>
      </c>
      <c r="L121" s="38">
        <f t="shared" si="16"/>
        <v>1.6931122750000001E-3</v>
      </c>
      <c r="M121" s="38">
        <f t="shared" si="17"/>
        <v>0.13455272187692066</v>
      </c>
    </row>
    <row r="122" spans="2:13">
      <c r="B122" s="48">
        <f t="shared" si="12"/>
        <v>118</v>
      </c>
      <c r="C122" s="47">
        <v>6500</v>
      </c>
      <c r="D122" s="47">
        <v>18</v>
      </c>
      <c r="E122" s="3">
        <f t="shared" si="10"/>
        <v>13.428000000000001</v>
      </c>
      <c r="F122" s="4">
        <f t="shared" si="9"/>
        <v>19.727377623119732</v>
      </c>
      <c r="G122" s="51">
        <v>585.70000000000005</v>
      </c>
      <c r="H122" s="38">
        <f t="shared" si="11"/>
        <v>3.7300000000000002E-3</v>
      </c>
      <c r="I122" s="38">
        <f t="shared" si="13"/>
        <v>2.1846610000000002</v>
      </c>
      <c r="J122" s="38">
        <f t="shared" si="14"/>
        <v>2.1846610000000002</v>
      </c>
      <c r="K122" s="38">
        <f t="shared" si="15"/>
        <v>175.8010763250588</v>
      </c>
      <c r="L122" s="38">
        <f t="shared" si="16"/>
        <v>1.6931122750000001E-3</v>
      </c>
      <c r="M122" s="38">
        <f t="shared" si="17"/>
        <v>0.13624583415192065</v>
      </c>
    </row>
    <row r="123" spans="2:13">
      <c r="B123" s="48">
        <f t="shared" si="12"/>
        <v>119</v>
      </c>
      <c r="C123" s="47">
        <v>6500</v>
      </c>
      <c r="D123" s="47">
        <v>18</v>
      </c>
      <c r="E123" s="3">
        <f t="shared" si="10"/>
        <v>13.428000000000001</v>
      </c>
      <c r="F123" s="4">
        <f t="shared" si="9"/>
        <v>19.727377623119732</v>
      </c>
      <c r="G123" s="51">
        <v>585.70000000000005</v>
      </c>
      <c r="H123" s="38">
        <f t="shared" si="11"/>
        <v>3.7300000000000002E-3</v>
      </c>
      <c r="I123" s="38">
        <f t="shared" si="13"/>
        <v>2.1846610000000002</v>
      </c>
      <c r="J123" s="38">
        <f t="shared" si="14"/>
        <v>2.1846610000000002</v>
      </c>
      <c r="K123" s="38">
        <f t="shared" si="15"/>
        <v>177.98573732505881</v>
      </c>
      <c r="L123" s="38">
        <f t="shared" si="16"/>
        <v>1.6931122750000001E-3</v>
      </c>
      <c r="M123" s="38">
        <f t="shared" si="17"/>
        <v>0.13793894642692064</v>
      </c>
    </row>
    <row r="124" spans="2:13">
      <c r="B124" s="48">
        <f t="shared" si="12"/>
        <v>120</v>
      </c>
      <c r="C124" s="47">
        <v>6400</v>
      </c>
      <c r="D124" s="47">
        <v>17.8</v>
      </c>
      <c r="E124" s="3">
        <f t="shared" si="10"/>
        <v>13.2788</v>
      </c>
      <c r="F124" s="4">
        <f t="shared" si="9"/>
        <v>19.812999921831189</v>
      </c>
      <c r="G124" s="51">
        <v>585.70000000000005</v>
      </c>
      <c r="H124" s="38">
        <f t="shared" si="11"/>
        <v>3.6885555555555556E-3</v>
      </c>
      <c r="I124" s="38">
        <f t="shared" si="13"/>
        <v>2.1603869888888889</v>
      </c>
      <c r="J124" s="38">
        <f t="shared" si="14"/>
        <v>2.1603869888888889</v>
      </c>
      <c r="K124" s="38">
        <f t="shared" si="15"/>
        <v>180.14612431394769</v>
      </c>
      <c r="L124" s="38">
        <f t="shared" si="16"/>
        <v>1.674299916388889E-3</v>
      </c>
      <c r="M124" s="38">
        <f t="shared" si="17"/>
        <v>0.13961324634330954</v>
      </c>
    </row>
    <row r="125" spans="2:13">
      <c r="B125" s="48">
        <f t="shared" si="12"/>
        <v>121</v>
      </c>
      <c r="C125" s="47">
        <v>6400</v>
      </c>
      <c r="D125" s="47">
        <v>17.8</v>
      </c>
      <c r="E125" s="3">
        <f t="shared" si="10"/>
        <v>13.2788</v>
      </c>
      <c r="F125" s="4">
        <f t="shared" si="9"/>
        <v>19.812999921831189</v>
      </c>
      <c r="G125" s="51">
        <v>585.70000000000005</v>
      </c>
      <c r="H125" s="38">
        <f t="shared" si="11"/>
        <v>3.6885555555555556E-3</v>
      </c>
      <c r="I125" s="38">
        <f t="shared" si="13"/>
        <v>2.1603869888888889</v>
      </c>
      <c r="J125" s="38">
        <f t="shared" si="14"/>
        <v>2.1603869888888889</v>
      </c>
      <c r="K125" s="38">
        <f t="shared" si="15"/>
        <v>182.30651130283658</v>
      </c>
      <c r="L125" s="38">
        <f t="shared" si="16"/>
        <v>1.674299916388889E-3</v>
      </c>
      <c r="M125" s="38">
        <f t="shared" si="17"/>
        <v>0.14128754625969844</v>
      </c>
    </row>
    <row r="126" spans="2:13">
      <c r="B126" s="48">
        <f t="shared" si="12"/>
        <v>122</v>
      </c>
      <c r="C126" s="47">
        <v>6400</v>
      </c>
      <c r="D126" s="47">
        <v>17.8</v>
      </c>
      <c r="E126" s="3">
        <f t="shared" si="10"/>
        <v>13.2788</v>
      </c>
      <c r="F126" s="4">
        <f t="shared" si="9"/>
        <v>19.812999921831189</v>
      </c>
      <c r="G126" s="51">
        <v>585.70000000000005</v>
      </c>
      <c r="H126" s="38">
        <f t="shared" si="11"/>
        <v>3.6885555555555556E-3</v>
      </c>
      <c r="I126" s="38">
        <f t="shared" si="13"/>
        <v>2.1603869888888889</v>
      </c>
      <c r="J126" s="38">
        <f t="shared" si="14"/>
        <v>2.1603869888888889</v>
      </c>
      <c r="K126" s="38">
        <f t="shared" si="15"/>
        <v>184.46689829172547</v>
      </c>
      <c r="L126" s="38">
        <f t="shared" si="16"/>
        <v>1.674299916388889E-3</v>
      </c>
      <c r="M126" s="38">
        <f t="shared" si="17"/>
        <v>0.14296184617608734</v>
      </c>
    </row>
    <row r="127" spans="2:13">
      <c r="B127" s="48">
        <f t="shared" si="12"/>
        <v>123</v>
      </c>
      <c r="C127" s="47">
        <v>6400</v>
      </c>
      <c r="D127" s="47">
        <v>17.8</v>
      </c>
      <c r="E127" s="3">
        <f t="shared" si="10"/>
        <v>13.2788</v>
      </c>
      <c r="F127" s="4">
        <f t="shared" si="9"/>
        <v>19.812999921831189</v>
      </c>
      <c r="G127" s="51">
        <v>585.70000000000005</v>
      </c>
      <c r="H127" s="38">
        <f t="shared" si="11"/>
        <v>3.6885555555555556E-3</v>
      </c>
      <c r="I127" s="38">
        <f t="shared" si="13"/>
        <v>2.1603869888888889</v>
      </c>
      <c r="J127" s="38">
        <f t="shared" si="14"/>
        <v>2.1603869888888889</v>
      </c>
      <c r="K127" s="38">
        <f t="shared" si="15"/>
        <v>186.62728528061436</v>
      </c>
      <c r="L127" s="38">
        <f t="shared" si="16"/>
        <v>1.674299916388889E-3</v>
      </c>
      <c r="M127" s="38">
        <f t="shared" si="17"/>
        <v>0.14463614609247624</v>
      </c>
    </row>
    <row r="128" spans="2:13">
      <c r="B128" s="48">
        <f t="shared" si="12"/>
        <v>124</v>
      </c>
      <c r="C128" s="47">
        <v>6400</v>
      </c>
      <c r="D128" s="47">
        <v>17.8</v>
      </c>
      <c r="E128" s="3">
        <f t="shared" si="10"/>
        <v>13.2788</v>
      </c>
      <c r="F128" s="4">
        <f t="shared" si="9"/>
        <v>19.812999921831189</v>
      </c>
      <c r="G128" s="51">
        <v>585.70000000000005</v>
      </c>
      <c r="H128" s="38">
        <f t="shared" si="11"/>
        <v>3.6885555555555556E-3</v>
      </c>
      <c r="I128" s="38">
        <f t="shared" si="13"/>
        <v>2.1603869888888889</v>
      </c>
      <c r="J128" s="38">
        <f t="shared" si="14"/>
        <v>2.1603869888888889</v>
      </c>
      <c r="K128" s="38">
        <f t="shared" si="15"/>
        <v>188.78767226950325</v>
      </c>
      <c r="L128" s="38">
        <f t="shared" si="16"/>
        <v>1.674299916388889E-3</v>
      </c>
      <c r="M128" s="38">
        <f t="shared" si="17"/>
        <v>0.14631044600886514</v>
      </c>
    </row>
    <row r="129" spans="2:13">
      <c r="B129" s="48">
        <f t="shared" si="12"/>
        <v>125</v>
      </c>
      <c r="C129" s="47">
        <v>6400</v>
      </c>
      <c r="D129" s="47">
        <v>17.8</v>
      </c>
      <c r="E129" s="3">
        <f t="shared" si="10"/>
        <v>13.2788</v>
      </c>
      <c r="F129" s="4">
        <f t="shared" si="9"/>
        <v>19.812999921831189</v>
      </c>
      <c r="G129" s="51">
        <v>585.70000000000005</v>
      </c>
      <c r="H129" s="38">
        <f t="shared" si="11"/>
        <v>3.6885555555555556E-3</v>
      </c>
      <c r="I129" s="38">
        <f t="shared" si="13"/>
        <v>2.1603869888888889</v>
      </c>
      <c r="J129" s="38">
        <f t="shared" si="14"/>
        <v>2.1603869888888889</v>
      </c>
      <c r="K129" s="38">
        <f t="shared" si="15"/>
        <v>190.94805925839214</v>
      </c>
      <c r="L129" s="38">
        <f t="shared" si="16"/>
        <v>1.674299916388889E-3</v>
      </c>
      <c r="M129" s="38">
        <f t="shared" si="17"/>
        <v>0.14798474592525404</v>
      </c>
    </row>
    <row r="130" spans="2:13">
      <c r="B130" s="48">
        <f t="shared" si="12"/>
        <v>126</v>
      </c>
      <c r="C130" s="47">
        <v>6400</v>
      </c>
      <c r="D130" s="47">
        <v>17.8</v>
      </c>
      <c r="E130" s="3">
        <f t="shared" si="10"/>
        <v>13.2788</v>
      </c>
      <c r="F130" s="4">
        <f t="shared" si="9"/>
        <v>19.812999921831189</v>
      </c>
      <c r="G130" s="51">
        <v>585.70000000000005</v>
      </c>
      <c r="H130" s="38">
        <f t="shared" si="11"/>
        <v>3.6885555555555556E-3</v>
      </c>
      <c r="I130" s="38">
        <f t="shared" si="13"/>
        <v>2.1603869888888889</v>
      </c>
      <c r="J130" s="38">
        <f t="shared" si="14"/>
        <v>2.1603869888888889</v>
      </c>
      <c r="K130" s="38">
        <f t="shared" si="15"/>
        <v>193.10844624728102</v>
      </c>
      <c r="L130" s="38">
        <f t="shared" si="16"/>
        <v>1.674299916388889E-3</v>
      </c>
      <c r="M130" s="38">
        <f t="shared" si="17"/>
        <v>0.14965904584164294</v>
      </c>
    </row>
    <row r="131" spans="2:13">
      <c r="B131" s="48">
        <f t="shared" si="12"/>
        <v>127</v>
      </c>
      <c r="C131" s="47">
        <v>6400</v>
      </c>
      <c r="D131" s="47">
        <v>17.8</v>
      </c>
      <c r="E131" s="3">
        <f t="shared" si="10"/>
        <v>13.2788</v>
      </c>
      <c r="F131" s="4">
        <f t="shared" si="9"/>
        <v>19.812999921831189</v>
      </c>
      <c r="G131" s="51">
        <v>585.70000000000005</v>
      </c>
      <c r="H131" s="38">
        <f t="shared" si="11"/>
        <v>3.6885555555555556E-3</v>
      </c>
      <c r="I131" s="38">
        <f t="shared" si="13"/>
        <v>2.1603869888888889</v>
      </c>
      <c r="J131" s="38">
        <f t="shared" si="14"/>
        <v>2.1603869888888889</v>
      </c>
      <c r="K131" s="38">
        <f t="shared" si="15"/>
        <v>195.26883323616991</v>
      </c>
      <c r="L131" s="38">
        <f t="shared" si="16"/>
        <v>1.674299916388889E-3</v>
      </c>
      <c r="M131" s="38">
        <f t="shared" si="17"/>
        <v>0.15133334575803184</v>
      </c>
    </row>
    <row r="132" spans="2:13">
      <c r="B132" s="48">
        <f t="shared" si="12"/>
        <v>128</v>
      </c>
      <c r="C132" s="47">
        <v>6400</v>
      </c>
      <c r="D132" s="47">
        <v>17.8</v>
      </c>
      <c r="E132" s="3">
        <f t="shared" si="10"/>
        <v>13.2788</v>
      </c>
      <c r="F132" s="4">
        <f t="shared" ref="F132:F195" si="18">E132*60*1000/(2*PI()*C132)</f>
        <v>19.812999921831189</v>
      </c>
      <c r="G132" s="51">
        <v>525.1</v>
      </c>
      <c r="H132" s="38">
        <f t="shared" si="11"/>
        <v>3.6885555555555556E-3</v>
      </c>
      <c r="I132" s="38">
        <f t="shared" si="13"/>
        <v>1.9368605222222224</v>
      </c>
      <c r="J132" s="38">
        <f t="shared" si="14"/>
        <v>1.9368605222222224</v>
      </c>
      <c r="K132" s="38">
        <f t="shared" si="15"/>
        <v>197.20569375839213</v>
      </c>
      <c r="L132" s="38">
        <f t="shared" si="16"/>
        <v>1.5010669047222224E-3</v>
      </c>
      <c r="M132" s="38">
        <f t="shared" si="17"/>
        <v>0.15283441266275405</v>
      </c>
    </row>
    <row r="133" spans="2:13">
      <c r="B133" s="48">
        <f t="shared" si="12"/>
        <v>129</v>
      </c>
      <c r="C133" s="47">
        <v>6400</v>
      </c>
      <c r="D133" s="47">
        <v>17.8</v>
      </c>
      <c r="E133" s="3">
        <f t="shared" ref="E133:E196" si="19">D133*746/1000</f>
        <v>13.2788</v>
      </c>
      <c r="F133" s="4">
        <f t="shared" si="18"/>
        <v>19.812999921831189</v>
      </c>
      <c r="G133" s="51">
        <v>525.1</v>
      </c>
      <c r="H133" s="38">
        <f t="shared" ref="H133:H196" si="20">((B133-B132)/3600)*E133</f>
        <v>3.6885555555555556E-3</v>
      </c>
      <c r="I133" s="38">
        <f t="shared" si="13"/>
        <v>1.9368605222222224</v>
      </c>
      <c r="J133" s="38">
        <f t="shared" si="14"/>
        <v>1.9368605222222224</v>
      </c>
      <c r="K133" s="38">
        <f t="shared" si="15"/>
        <v>199.14255428061435</v>
      </c>
      <c r="L133" s="38">
        <f t="shared" si="16"/>
        <v>1.5010669047222224E-3</v>
      </c>
      <c r="M133" s="38">
        <f t="shared" si="17"/>
        <v>0.15433547956747626</v>
      </c>
    </row>
    <row r="134" spans="2:13">
      <c r="B134" s="48">
        <f t="shared" ref="B134:B197" si="21">B133+1</f>
        <v>130</v>
      </c>
      <c r="C134" s="47">
        <v>6400</v>
      </c>
      <c r="D134" s="47">
        <v>17.8</v>
      </c>
      <c r="E134" s="3">
        <f t="shared" si="19"/>
        <v>13.2788</v>
      </c>
      <c r="F134" s="4">
        <f t="shared" si="18"/>
        <v>19.812999921831189</v>
      </c>
      <c r="G134" s="51">
        <v>450.8</v>
      </c>
      <c r="H134" s="38">
        <f t="shared" si="20"/>
        <v>3.6885555555555556E-3</v>
      </c>
      <c r="I134" s="38">
        <f t="shared" ref="I134:I197" si="22">E134*G134/3600</f>
        <v>1.6628008444444446</v>
      </c>
      <c r="J134" s="38">
        <f t="shared" ref="J134:J197" si="23">H134*G134</f>
        <v>1.6628008444444444</v>
      </c>
      <c r="K134" s="38">
        <f t="shared" ref="K134:K197" si="24">K133+J134</f>
        <v>200.80535512505878</v>
      </c>
      <c r="L134" s="38">
        <f t="shared" ref="L134:L197" si="25">J134/1000*0.775</f>
        <v>1.2886706544444444E-3</v>
      </c>
      <c r="M134" s="38">
        <f t="shared" ref="M134:M197" si="26">M133+L134</f>
        <v>0.15562415022192069</v>
      </c>
    </row>
    <row r="135" spans="2:13">
      <c r="B135" s="48">
        <f t="shared" si="21"/>
        <v>131</v>
      </c>
      <c r="C135" s="47">
        <v>6400</v>
      </c>
      <c r="D135" s="47">
        <v>17.8</v>
      </c>
      <c r="E135" s="3">
        <f t="shared" si="19"/>
        <v>13.2788</v>
      </c>
      <c r="F135" s="4">
        <f t="shared" si="18"/>
        <v>19.812999921831189</v>
      </c>
      <c r="G135" s="51">
        <v>450.8</v>
      </c>
      <c r="H135" s="38">
        <f t="shared" si="20"/>
        <v>3.6885555555555556E-3</v>
      </c>
      <c r="I135" s="38">
        <f t="shared" si="22"/>
        <v>1.6628008444444446</v>
      </c>
      <c r="J135" s="38">
        <f t="shared" si="23"/>
        <v>1.6628008444444444</v>
      </c>
      <c r="K135" s="38">
        <f t="shared" si="24"/>
        <v>202.46815596950321</v>
      </c>
      <c r="L135" s="38">
        <f t="shared" si="25"/>
        <v>1.2886706544444444E-3</v>
      </c>
      <c r="M135" s="38">
        <f t="shared" si="26"/>
        <v>0.15691282087636513</v>
      </c>
    </row>
    <row r="136" spans="2:13">
      <c r="B136" s="48">
        <f t="shared" si="21"/>
        <v>132</v>
      </c>
      <c r="C136" s="47">
        <v>6400</v>
      </c>
      <c r="D136" s="47">
        <v>17.8</v>
      </c>
      <c r="E136" s="3">
        <f t="shared" si="19"/>
        <v>13.2788</v>
      </c>
      <c r="F136" s="4">
        <f t="shared" si="18"/>
        <v>19.812999921831189</v>
      </c>
      <c r="G136" s="51">
        <v>450.8</v>
      </c>
      <c r="H136" s="38">
        <f t="shared" si="20"/>
        <v>3.6885555555555556E-3</v>
      </c>
      <c r="I136" s="38">
        <f t="shared" si="22"/>
        <v>1.6628008444444446</v>
      </c>
      <c r="J136" s="38">
        <f t="shared" si="23"/>
        <v>1.6628008444444444</v>
      </c>
      <c r="K136" s="38">
        <f t="shared" si="24"/>
        <v>204.13095681394765</v>
      </c>
      <c r="L136" s="38">
        <f t="shared" si="25"/>
        <v>1.2886706544444444E-3</v>
      </c>
      <c r="M136" s="38">
        <f t="shared" si="26"/>
        <v>0.15820149153080956</v>
      </c>
    </row>
    <row r="137" spans="2:13">
      <c r="B137" s="48">
        <f t="shared" si="21"/>
        <v>133</v>
      </c>
      <c r="C137" s="47">
        <v>6400</v>
      </c>
      <c r="D137" s="47">
        <v>17.8</v>
      </c>
      <c r="E137" s="3">
        <f t="shared" si="19"/>
        <v>13.2788</v>
      </c>
      <c r="F137" s="4">
        <f t="shared" si="18"/>
        <v>19.812999921831189</v>
      </c>
      <c r="G137" s="51">
        <v>450.8</v>
      </c>
      <c r="H137" s="38">
        <f t="shared" si="20"/>
        <v>3.6885555555555556E-3</v>
      </c>
      <c r="I137" s="38">
        <f t="shared" si="22"/>
        <v>1.6628008444444446</v>
      </c>
      <c r="J137" s="38">
        <f t="shared" si="23"/>
        <v>1.6628008444444444</v>
      </c>
      <c r="K137" s="38">
        <f t="shared" si="24"/>
        <v>205.79375765839208</v>
      </c>
      <c r="L137" s="38">
        <f t="shared" si="25"/>
        <v>1.2886706544444444E-3</v>
      </c>
      <c r="M137" s="38">
        <f t="shared" si="26"/>
        <v>0.159490162185254</v>
      </c>
    </row>
    <row r="138" spans="2:13">
      <c r="B138" s="48">
        <f t="shared" si="21"/>
        <v>134</v>
      </c>
      <c r="C138" s="47">
        <v>6400</v>
      </c>
      <c r="D138" s="47">
        <v>17.8</v>
      </c>
      <c r="E138" s="3">
        <f t="shared" si="19"/>
        <v>13.2788</v>
      </c>
      <c r="F138" s="4">
        <f t="shared" si="18"/>
        <v>19.812999921831189</v>
      </c>
      <c r="G138" s="51">
        <v>450.8</v>
      </c>
      <c r="H138" s="38">
        <f t="shared" si="20"/>
        <v>3.6885555555555556E-3</v>
      </c>
      <c r="I138" s="38">
        <f t="shared" si="22"/>
        <v>1.6628008444444446</v>
      </c>
      <c r="J138" s="38">
        <f t="shared" si="23"/>
        <v>1.6628008444444444</v>
      </c>
      <c r="K138" s="38">
        <f t="shared" si="24"/>
        <v>207.45655850283651</v>
      </c>
      <c r="L138" s="38">
        <f t="shared" si="25"/>
        <v>1.2886706544444444E-3</v>
      </c>
      <c r="M138" s="38">
        <f t="shared" si="26"/>
        <v>0.16077883283969843</v>
      </c>
    </row>
    <row r="139" spans="2:13">
      <c r="B139" s="48">
        <f t="shared" si="21"/>
        <v>135</v>
      </c>
      <c r="C139" s="47">
        <v>6400</v>
      </c>
      <c r="D139" s="47">
        <v>17.8</v>
      </c>
      <c r="E139" s="3">
        <f t="shared" si="19"/>
        <v>13.2788</v>
      </c>
      <c r="F139" s="4">
        <f t="shared" si="18"/>
        <v>19.812999921831189</v>
      </c>
      <c r="G139" s="51">
        <v>450.8</v>
      </c>
      <c r="H139" s="38">
        <f t="shared" si="20"/>
        <v>3.6885555555555556E-3</v>
      </c>
      <c r="I139" s="38">
        <f t="shared" si="22"/>
        <v>1.6628008444444446</v>
      </c>
      <c r="J139" s="38">
        <f t="shared" si="23"/>
        <v>1.6628008444444444</v>
      </c>
      <c r="K139" s="38">
        <f t="shared" si="24"/>
        <v>209.11935934728095</v>
      </c>
      <c r="L139" s="38">
        <f t="shared" si="25"/>
        <v>1.2886706544444444E-3</v>
      </c>
      <c r="M139" s="38">
        <f t="shared" si="26"/>
        <v>0.16206750349414287</v>
      </c>
    </row>
    <row r="140" spans="2:13">
      <c r="B140" s="48">
        <f t="shared" si="21"/>
        <v>136</v>
      </c>
      <c r="C140" s="47">
        <v>6400</v>
      </c>
      <c r="D140" s="47">
        <v>17.8</v>
      </c>
      <c r="E140" s="3">
        <f t="shared" si="19"/>
        <v>13.2788</v>
      </c>
      <c r="F140" s="4">
        <f t="shared" si="18"/>
        <v>19.812999921831189</v>
      </c>
      <c r="G140" s="51">
        <v>450.8</v>
      </c>
      <c r="H140" s="38">
        <f t="shared" si="20"/>
        <v>3.6885555555555556E-3</v>
      </c>
      <c r="I140" s="38">
        <f t="shared" si="22"/>
        <v>1.6628008444444446</v>
      </c>
      <c r="J140" s="38">
        <f t="shared" si="23"/>
        <v>1.6628008444444444</v>
      </c>
      <c r="K140" s="38">
        <f t="shared" si="24"/>
        <v>210.78216019172538</v>
      </c>
      <c r="L140" s="38">
        <f t="shared" si="25"/>
        <v>1.2886706544444444E-3</v>
      </c>
      <c r="M140" s="38">
        <f t="shared" si="26"/>
        <v>0.1633561741485873</v>
      </c>
    </row>
    <row r="141" spans="2:13">
      <c r="B141" s="48">
        <f t="shared" si="21"/>
        <v>137</v>
      </c>
      <c r="C141" s="47">
        <v>6400</v>
      </c>
      <c r="D141" s="47">
        <v>17.8</v>
      </c>
      <c r="E141" s="3">
        <f t="shared" si="19"/>
        <v>13.2788</v>
      </c>
      <c r="F141" s="4">
        <f t="shared" si="18"/>
        <v>19.812999921831189</v>
      </c>
      <c r="G141" s="51">
        <v>426.9</v>
      </c>
      <c r="H141" s="38">
        <f t="shared" si="20"/>
        <v>3.6885555555555556E-3</v>
      </c>
      <c r="I141" s="38">
        <f t="shared" si="22"/>
        <v>1.5746443666666667</v>
      </c>
      <c r="J141" s="38">
        <f t="shared" si="23"/>
        <v>1.5746443666666665</v>
      </c>
      <c r="K141" s="38">
        <f t="shared" si="24"/>
        <v>212.35680455839204</v>
      </c>
      <c r="L141" s="38">
        <f t="shared" si="25"/>
        <v>1.2203493841666665E-3</v>
      </c>
      <c r="M141" s="38">
        <f t="shared" si="26"/>
        <v>0.16457652353275398</v>
      </c>
    </row>
    <row r="142" spans="2:13">
      <c r="B142" s="48">
        <f t="shared" si="21"/>
        <v>138</v>
      </c>
      <c r="C142" s="47">
        <v>6400</v>
      </c>
      <c r="D142" s="47">
        <v>17.8</v>
      </c>
      <c r="E142" s="3">
        <f t="shared" si="19"/>
        <v>13.2788</v>
      </c>
      <c r="F142" s="4">
        <f t="shared" si="18"/>
        <v>19.812999921831189</v>
      </c>
      <c r="G142" s="51">
        <v>426.9</v>
      </c>
      <c r="H142" s="38">
        <f t="shared" si="20"/>
        <v>3.6885555555555556E-3</v>
      </c>
      <c r="I142" s="38">
        <f t="shared" si="22"/>
        <v>1.5746443666666667</v>
      </c>
      <c r="J142" s="38">
        <f t="shared" si="23"/>
        <v>1.5746443666666665</v>
      </c>
      <c r="K142" s="38">
        <f t="shared" si="24"/>
        <v>213.9314489250587</v>
      </c>
      <c r="L142" s="38">
        <f t="shared" si="25"/>
        <v>1.2203493841666665E-3</v>
      </c>
      <c r="M142" s="38">
        <f t="shared" si="26"/>
        <v>0.16579687291692066</v>
      </c>
    </row>
    <row r="143" spans="2:13">
      <c r="B143" s="48">
        <f t="shared" si="21"/>
        <v>139</v>
      </c>
      <c r="C143" s="47">
        <v>6400</v>
      </c>
      <c r="D143" s="47">
        <v>17.8</v>
      </c>
      <c r="E143" s="3">
        <f t="shared" si="19"/>
        <v>13.2788</v>
      </c>
      <c r="F143" s="4">
        <f t="shared" si="18"/>
        <v>19.812999921831189</v>
      </c>
      <c r="G143" s="51">
        <v>426.9</v>
      </c>
      <c r="H143" s="38">
        <f t="shared" si="20"/>
        <v>3.6885555555555556E-3</v>
      </c>
      <c r="I143" s="38">
        <f t="shared" si="22"/>
        <v>1.5746443666666667</v>
      </c>
      <c r="J143" s="38">
        <f t="shared" si="23"/>
        <v>1.5746443666666665</v>
      </c>
      <c r="K143" s="38">
        <f t="shared" si="24"/>
        <v>215.50609329172536</v>
      </c>
      <c r="L143" s="38">
        <f t="shared" si="25"/>
        <v>1.2203493841666665E-3</v>
      </c>
      <c r="M143" s="38">
        <f t="shared" si="26"/>
        <v>0.16701722230108734</v>
      </c>
    </row>
    <row r="144" spans="2:13">
      <c r="B144" s="48">
        <f t="shared" si="21"/>
        <v>140</v>
      </c>
      <c r="C144" s="47">
        <v>6400</v>
      </c>
      <c r="D144" s="47">
        <v>17.8</v>
      </c>
      <c r="E144" s="3">
        <f t="shared" si="19"/>
        <v>13.2788</v>
      </c>
      <c r="F144" s="4">
        <f t="shared" si="18"/>
        <v>19.812999921831189</v>
      </c>
      <c r="G144" s="51">
        <v>426.9</v>
      </c>
      <c r="H144" s="38">
        <f t="shared" si="20"/>
        <v>3.6885555555555556E-3</v>
      </c>
      <c r="I144" s="38">
        <f t="shared" si="22"/>
        <v>1.5746443666666667</v>
      </c>
      <c r="J144" s="38">
        <f t="shared" si="23"/>
        <v>1.5746443666666665</v>
      </c>
      <c r="K144" s="38">
        <f t="shared" si="24"/>
        <v>217.08073765839202</v>
      </c>
      <c r="L144" s="38">
        <f t="shared" si="25"/>
        <v>1.2203493841666665E-3</v>
      </c>
      <c r="M144" s="38">
        <f t="shared" si="26"/>
        <v>0.16823757168525402</v>
      </c>
    </row>
    <row r="145" spans="2:13">
      <c r="B145" s="48">
        <f t="shared" si="21"/>
        <v>141</v>
      </c>
      <c r="C145" s="47">
        <v>6400</v>
      </c>
      <c r="D145" s="47">
        <v>17.8</v>
      </c>
      <c r="E145" s="3">
        <f t="shared" si="19"/>
        <v>13.2788</v>
      </c>
      <c r="F145" s="4">
        <f t="shared" si="18"/>
        <v>19.812999921831189</v>
      </c>
      <c r="G145" s="51">
        <v>426.9</v>
      </c>
      <c r="H145" s="38">
        <f t="shared" si="20"/>
        <v>3.6885555555555556E-3</v>
      </c>
      <c r="I145" s="38">
        <f t="shared" si="22"/>
        <v>1.5746443666666667</v>
      </c>
      <c r="J145" s="38">
        <f t="shared" si="23"/>
        <v>1.5746443666666665</v>
      </c>
      <c r="K145" s="38">
        <f t="shared" si="24"/>
        <v>218.65538202505869</v>
      </c>
      <c r="L145" s="38">
        <f t="shared" si="25"/>
        <v>1.2203493841666665E-3</v>
      </c>
      <c r="M145" s="38">
        <f t="shared" si="26"/>
        <v>0.1694579210694207</v>
      </c>
    </row>
    <row r="146" spans="2:13">
      <c r="B146" s="48">
        <f t="shared" si="21"/>
        <v>142</v>
      </c>
      <c r="C146" s="47">
        <v>6400</v>
      </c>
      <c r="D146" s="47">
        <v>17.8</v>
      </c>
      <c r="E146" s="3">
        <f t="shared" si="19"/>
        <v>13.2788</v>
      </c>
      <c r="F146" s="4">
        <f t="shared" si="18"/>
        <v>19.812999921831189</v>
      </c>
      <c r="G146" s="51">
        <v>426.9</v>
      </c>
      <c r="H146" s="38">
        <f t="shared" si="20"/>
        <v>3.6885555555555556E-3</v>
      </c>
      <c r="I146" s="38">
        <f t="shared" si="22"/>
        <v>1.5746443666666667</v>
      </c>
      <c r="J146" s="38">
        <f t="shared" si="23"/>
        <v>1.5746443666666665</v>
      </c>
      <c r="K146" s="38">
        <f t="shared" si="24"/>
        <v>220.23002639172535</v>
      </c>
      <c r="L146" s="38">
        <f t="shared" si="25"/>
        <v>1.2203493841666665E-3</v>
      </c>
      <c r="M146" s="38">
        <f t="shared" si="26"/>
        <v>0.17067827045358738</v>
      </c>
    </row>
    <row r="147" spans="2:13">
      <c r="B147" s="48">
        <f t="shared" si="21"/>
        <v>143</v>
      </c>
      <c r="C147" s="47">
        <v>6400</v>
      </c>
      <c r="D147" s="47">
        <v>17.8</v>
      </c>
      <c r="E147" s="3">
        <f t="shared" si="19"/>
        <v>13.2788</v>
      </c>
      <c r="F147" s="4">
        <f t="shared" si="18"/>
        <v>19.812999921831189</v>
      </c>
      <c r="G147" s="51">
        <v>426.9</v>
      </c>
      <c r="H147" s="38">
        <f t="shared" si="20"/>
        <v>3.6885555555555556E-3</v>
      </c>
      <c r="I147" s="38">
        <f t="shared" si="22"/>
        <v>1.5746443666666667</v>
      </c>
      <c r="J147" s="38">
        <f t="shared" si="23"/>
        <v>1.5746443666666665</v>
      </c>
      <c r="K147" s="38">
        <f t="shared" si="24"/>
        <v>221.80467075839201</v>
      </c>
      <c r="L147" s="38">
        <f t="shared" si="25"/>
        <v>1.2203493841666665E-3</v>
      </c>
      <c r="M147" s="38">
        <f t="shared" si="26"/>
        <v>0.17189861983775406</v>
      </c>
    </row>
    <row r="148" spans="2:13">
      <c r="B148" s="48">
        <f t="shared" si="21"/>
        <v>144</v>
      </c>
      <c r="C148" s="47">
        <v>6400</v>
      </c>
      <c r="D148" s="47">
        <v>17.8</v>
      </c>
      <c r="E148" s="3">
        <f t="shared" si="19"/>
        <v>13.2788</v>
      </c>
      <c r="F148" s="4">
        <f t="shared" si="18"/>
        <v>19.812999921831189</v>
      </c>
      <c r="G148" s="51">
        <v>426.9</v>
      </c>
      <c r="H148" s="38">
        <f t="shared" si="20"/>
        <v>3.6885555555555556E-3</v>
      </c>
      <c r="I148" s="38">
        <f t="shared" si="22"/>
        <v>1.5746443666666667</v>
      </c>
      <c r="J148" s="38">
        <f t="shared" si="23"/>
        <v>1.5746443666666665</v>
      </c>
      <c r="K148" s="38">
        <f t="shared" si="24"/>
        <v>223.37931512505867</v>
      </c>
      <c r="L148" s="38">
        <f t="shared" si="25"/>
        <v>1.2203493841666665E-3</v>
      </c>
      <c r="M148" s="38">
        <f t="shared" si="26"/>
        <v>0.17311896922192074</v>
      </c>
    </row>
    <row r="149" spans="2:13">
      <c r="B149" s="48">
        <f t="shared" si="21"/>
        <v>145</v>
      </c>
      <c r="C149" s="47">
        <v>6400</v>
      </c>
      <c r="D149" s="47">
        <v>17.8</v>
      </c>
      <c r="E149" s="3">
        <f t="shared" si="19"/>
        <v>13.2788</v>
      </c>
      <c r="F149" s="4">
        <f t="shared" si="18"/>
        <v>19.812999921831189</v>
      </c>
      <c r="G149" s="51">
        <v>426.9</v>
      </c>
      <c r="H149" s="38">
        <f t="shared" si="20"/>
        <v>3.6885555555555556E-3</v>
      </c>
      <c r="I149" s="38">
        <f t="shared" si="22"/>
        <v>1.5746443666666667</v>
      </c>
      <c r="J149" s="38">
        <f t="shared" si="23"/>
        <v>1.5746443666666665</v>
      </c>
      <c r="K149" s="38">
        <f t="shared" si="24"/>
        <v>224.95395949172533</v>
      </c>
      <c r="L149" s="38">
        <f t="shared" si="25"/>
        <v>1.2203493841666665E-3</v>
      </c>
      <c r="M149" s="38">
        <f t="shared" si="26"/>
        <v>0.17433931860608742</v>
      </c>
    </row>
    <row r="150" spans="2:13">
      <c r="B150" s="48">
        <f t="shared" si="21"/>
        <v>146</v>
      </c>
      <c r="C150" s="47">
        <v>6400</v>
      </c>
      <c r="D150" s="47">
        <v>17.8</v>
      </c>
      <c r="E150" s="3">
        <f t="shared" si="19"/>
        <v>13.2788</v>
      </c>
      <c r="F150" s="4">
        <f t="shared" si="18"/>
        <v>19.812999921831189</v>
      </c>
      <c r="G150" s="51">
        <v>426.9</v>
      </c>
      <c r="H150" s="38">
        <f t="shared" si="20"/>
        <v>3.6885555555555556E-3</v>
      </c>
      <c r="I150" s="38">
        <f t="shared" si="22"/>
        <v>1.5746443666666667</v>
      </c>
      <c r="J150" s="38">
        <f t="shared" si="23"/>
        <v>1.5746443666666665</v>
      </c>
      <c r="K150" s="38">
        <f t="shared" si="24"/>
        <v>226.52860385839199</v>
      </c>
      <c r="L150" s="38">
        <f t="shared" si="25"/>
        <v>1.2203493841666665E-3</v>
      </c>
      <c r="M150" s="38">
        <f t="shared" si="26"/>
        <v>0.1755596679902541</v>
      </c>
    </row>
    <row r="151" spans="2:13">
      <c r="B151" s="48">
        <f t="shared" si="21"/>
        <v>147</v>
      </c>
      <c r="C151" s="47">
        <v>6400</v>
      </c>
      <c r="D151" s="47">
        <v>17.8</v>
      </c>
      <c r="E151" s="3">
        <f t="shared" si="19"/>
        <v>13.2788</v>
      </c>
      <c r="F151" s="4">
        <f t="shared" si="18"/>
        <v>19.812999921831189</v>
      </c>
      <c r="G151" s="51">
        <v>426.9</v>
      </c>
      <c r="H151" s="38">
        <f t="shared" si="20"/>
        <v>3.6885555555555556E-3</v>
      </c>
      <c r="I151" s="38">
        <f t="shared" si="22"/>
        <v>1.5746443666666667</v>
      </c>
      <c r="J151" s="38">
        <f t="shared" si="23"/>
        <v>1.5746443666666665</v>
      </c>
      <c r="K151" s="38">
        <f t="shared" si="24"/>
        <v>228.10324822505865</v>
      </c>
      <c r="L151" s="38">
        <f t="shared" si="25"/>
        <v>1.2203493841666665E-3</v>
      </c>
      <c r="M151" s="38">
        <f t="shared" si="26"/>
        <v>0.17678001737442078</v>
      </c>
    </row>
    <row r="152" spans="2:13">
      <c r="B152" s="48">
        <f t="shared" si="21"/>
        <v>148</v>
      </c>
      <c r="C152" s="47">
        <v>6400</v>
      </c>
      <c r="D152" s="47">
        <v>17.8</v>
      </c>
      <c r="E152" s="3">
        <f t="shared" si="19"/>
        <v>13.2788</v>
      </c>
      <c r="F152" s="4">
        <f t="shared" si="18"/>
        <v>19.812999921831189</v>
      </c>
      <c r="G152" s="51">
        <v>426.9</v>
      </c>
      <c r="H152" s="38">
        <f t="shared" si="20"/>
        <v>3.6885555555555556E-3</v>
      </c>
      <c r="I152" s="38">
        <f t="shared" si="22"/>
        <v>1.5746443666666667</v>
      </c>
      <c r="J152" s="38">
        <f t="shared" si="23"/>
        <v>1.5746443666666665</v>
      </c>
      <c r="K152" s="38">
        <f t="shared" si="24"/>
        <v>229.67789259172531</v>
      </c>
      <c r="L152" s="38">
        <f t="shared" si="25"/>
        <v>1.2203493841666665E-3</v>
      </c>
      <c r="M152" s="38">
        <f t="shared" si="26"/>
        <v>0.17800036675858746</v>
      </c>
    </row>
    <row r="153" spans="2:13">
      <c r="B153" s="48">
        <f t="shared" si="21"/>
        <v>149</v>
      </c>
      <c r="C153" s="47">
        <v>6400</v>
      </c>
      <c r="D153" s="47">
        <v>17.8</v>
      </c>
      <c r="E153" s="3">
        <f t="shared" si="19"/>
        <v>13.2788</v>
      </c>
      <c r="F153" s="4">
        <f t="shared" si="18"/>
        <v>19.812999921831189</v>
      </c>
      <c r="G153" s="51">
        <v>426.9</v>
      </c>
      <c r="H153" s="38">
        <f t="shared" si="20"/>
        <v>3.6885555555555556E-3</v>
      </c>
      <c r="I153" s="38">
        <f t="shared" si="22"/>
        <v>1.5746443666666667</v>
      </c>
      <c r="J153" s="38">
        <f t="shared" si="23"/>
        <v>1.5746443666666665</v>
      </c>
      <c r="K153" s="38">
        <f t="shared" si="24"/>
        <v>231.25253695839197</v>
      </c>
      <c r="L153" s="38">
        <f t="shared" si="25"/>
        <v>1.2203493841666665E-3</v>
      </c>
      <c r="M153" s="38">
        <f t="shared" si="26"/>
        <v>0.17922071614275414</v>
      </c>
    </row>
    <row r="154" spans="2:13">
      <c r="B154" s="48">
        <f t="shared" si="21"/>
        <v>150</v>
      </c>
      <c r="C154" s="47">
        <v>6400</v>
      </c>
      <c r="D154" s="47">
        <v>17.8</v>
      </c>
      <c r="E154" s="3">
        <f t="shared" si="19"/>
        <v>13.2788</v>
      </c>
      <c r="F154" s="4">
        <f t="shared" si="18"/>
        <v>19.812999921831189</v>
      </c>
      <c r="G154" s="51">
        <v>426.9</v>
      </c>
      <c r="H154" s="38">
        <f t="shared" si="20"/>
        <v>3.6885555555555556E-3</v>
      </c>
      <c r="I154" s="38">
        <f t="shared" si="22"/>
        <v>1.5746443666666667</v>
      </c>
      <c r="J154" s="38">
        <f t="shared" si="23"/>
        <v>1.5746443666666665</v>
      </c>
      <c r="K154" s="38">
        <f t="shared" si="24"/>
        <v>232.82718132505863</v>
      </c>
      <c r="L154" s="38">
        <f t="shared" si="25"/>
        <v>1.2203493841666665E-3</v>
      </c>
      <c r="M154" s="38">
        <f t="shared" si="26"/>
        <v>0.18044106552692082</v>
      </c>
    </row>
    <row r="155" spans="2:13">
      <c r="B155" s="48">
        <f t="shared" si="21"/>
        <v>151</v>
      </c>
      <c r="C155" s="47">
        <v>6400</v>
      </c>
      <c r="D155" s="47">
        <v>17.8</v>
      </c>
      <c r="E155" s="3">
        <f t="shared" si="19"/>
        <v>13.2788</v>
      </c>
      <c r="F155" s="4">
        <f t="shared" si="18"/>
        <v>19.812999921831189</v>
      </c>
      <c r="G155" s="51">
        <v>492.1</v>
      </c>
      <c r="H155" s="38">
        <f t="shared" si="20"/>
        <v>3.6885555555555556E-3</v>
      </c>
      <c r="I155" s="38">
        <f t="shared" si="22"/>
        <v>1.8151381888888891</v>
      </c>
      <c r="J155" s="38">
        <f t="shared" si="23"/>
        <v>1.8151381888888889</v>
      </c>
      <c r="K155" s="38">
        <f t="shared" si="24"/>
        <v>234.64231951394751</v>
      </c>
      <c r="L155" s="38">
        <f t="shared" si="25"/>
        <v>1.406732096388889E-3</v>
      </c>
      <c r="M155" s="38">
        <f t="shared" si="26"/>
        <v>0.18184779762330971</v>
      </c>
    </row>
    <row r="156" spans="2:13">
      <c r="B156" s="48">
        <f t="shared" si="21"/>
        <v>152</v>
      </c>
      <c r="C156" s="47">
        <v>6400</v>
      </c>
      <c r="D156" s="47">
        <v>17.8</v>
      </c>
      <c r="E156" s="3">
        <f t="shared" si="19"/>
        <v>13.2788</v>
      </c>
      <c r="F156" s="4">
        <f t="shared" si="18"/>
        <v>19.812999921831189</v>
      </c>
      <c r="G156" s="51">
        <v>492.1</v>
      </c>
      <c r="H156" s="38">
        <f t="shared" si="20"/>
        <v>3.6885555555555556E-3</v>
      </c>
      <c r="I156" s="38">
        <f t="shared" si="22"/>
        <v>1.8151381888888891</v>
      </c>
      <c r="J156" s="38">
        <f t="shared" si="23"/>
        <v>1.8151381888888889</v>
      </c>
      <c r="K156" s="38">
        <f t="shared" si="24"/>
        <v>236.45745770283639</v>
      </c>
      <c r="L156" s="38">
        <f t="shared" si="25"/>
        <v>1.406732096388889E-3</v>
      </c>
      <c r="M156" s="38">
        <f t="shared" si="26"/>
        <v>0.18325452971969861</v>
      </c>
    </row>
    <row r="157" spans="2:13">
      <c r="B157" s="48">
        <f t="shared" si="21"/>
        <v>153</v>
      </c>
      <c r="C157" s="47">
        <v>6400</v>
      </c>
      <c r="D157" s="47">
        <v>17.8</v>
      </c>
      <c r="E157" s="3">
        <f t="shared" si="19"/>
        <v>13.2788</v>
      </c>
      <c r="F157" s="4">
        <f t="shared" si="18"/>
        <v>19.812999921831189</v>
      </c>
      <c r="G157" s="51">
        <v>492.1</v>
      </c>
      <c r="H157" s="38">
        <f t="shared" si="20"/>
        <v>3.6885555555555556E-3</v>
      </c>
      <c r="I157" s="38">
        <f t="shared" si="22"/>
        <v>1.8151381888888891</v>
      </c>
      <c r="J157" s="38">
        <f t="shared" si="23"/>
        <v>1.8151381888888889</v>
      </c>
      <c r="K157" s="38">
        <f t="shared" si="24"/>
        <v>238.27259589172527</v>
      </c>
      <c r="L157" s="38">
        <f t="shared" si="25"/>
        <v>1.406732096388889E-3</v>
      </c>
      <c r="M157" s="38">
        <f t="shared" si="26"/>
        <v>0.1846612618160875</v>
      </c>
    </row>
    <row r="158" spans="2:13">
      <c r="B158" s="48">
        <f t="shared" si="21"/>
        <v>154</v>
      </c>
      <c r="C158" s="47">
        <v>6400</v>
      </c>
      <c r="D158" s="47">
        <v>17.8</v>
      </c>
      <c r="E158" s="3">
        <f t="shared" si="19"/>
        <v>13.2788</v>
      </c>
      <c r="F158" s="4">
        <f t="shared" si="18"/>
        <v>19.812999921831189</v>
      </c>
      <c r="G158" s="51">
        <v>492.1</v>
      </c>
      <c r="H158" s="38">
        <f t="shared" si="20"/>
        <v>3.6885555555555556E-3</v>
      </c>
      <c r="I158" s="38">
        <f t="shared" si="22"/>
        <v>1.8151381888888891</v>
      </c>
      <c r="J158" s="38">
        <f t="shared" si="23"/>
        <v>1.8151381888888889</v>
      </c>
      <c r="K158" s="38">
        <f t="shared" si="24"/>
        <v>240.08773408061415</v>
      </c>
      <c r="L158" s="38">
        <f t="shared" si="25"/>
        <v>1.406732096388889E-3</v>
      </c>
      <c r="M158" s="38">
        <f t="shared" si="26"/>
        <v>0.18606799391247639</v>
      </c>
    </row>
    <row r="159" spans="2:13">
      <c r="B159" s="48">
        <f t="shared" si="21"/>
        <v>155</v>
      </c>
      <c r="C159" s="47">
        <v>6400</v>
      </c>
      <c r="D159" s="47">
        <v>17.8</v>
      </c>
      <c r="E159" s="3">
        <f t="shared" si="19"/>
        <v>13.2788</v>
      </c>
      <c r="F159" s="4">
        <f t="shared" si="18"/>
        <v>19.812999921831189</v>
      </c>
      <c r="G159" s="51">
        <v>492.1</v>
      </c>
      <c r="H159" s="38">
        <f t="shared" si="20"/>
        <v>3.6885555555555556E-3</v>
      </c>
      <c r="I159" s="38">
        <f t="shared" si="22"/>
        <v>1.8151381888888891</v>
      </c>
      <c r="J159" s="38">
        <f t="shared" si="23"/>
        <v>1.8151381888888889</v>
      </c>
      <c r="K159" s="38">
        <f t="shared" si="24"/>
        <v>241.90287226950304</v>
      </c>
      <c r="L159" s="38">
        <f t="shared" si="25"/>
        <v>1.406732096388889E-3</v>
      </c>
      <c r="M159" s="38">
        <f t="shared" si="26"/>
        <v>0.18747472600886528</v>
      </c>
    </row>
    <row r="160" spans="2:13">
      <c r="B160" s="48">
        <f t="shared" si="21"/>
        <v>156</v>
      </c>
      <c r="C160" s="47">
        <v>6400</v>
      </c>
      <c r="D160" s="47">
        <v>17.8</v>
      </c>
      <c r="E160" s="3">
        <f t="shared" si="19"/>
        <v>13.2788</v>
      </c>
      <c r="F160" s="4">
        <f t="shared" si="18"/>
        <v>19.812999921831189</v>
      </c>
      <c r="G160" s="51">
        <v>492.1</v>
      </c>
      <c r="H160" s="38">
        <f t="shared" si="20"/>
        <v>3.6885555555555556E-3</v>
      </c>
      <c r="I160" s="38">
        <f t="shared" si="22"/>
        <v>1.8151381888888891</v>
      </c>
      <c r="J160" s="38">
        <f t="shared" si="23"/>
        <v>1.8151381888888889</v>
      </c>
      <c r="K160" s="38">
        <f t="shared" si="24"/>
        <v>243.71801045839192</v>
      </c>
      <c r="L160" s="38">
        <f t="shared" si="25"/>
        <v>1.406732096388889E-3</v>
      </c>
      <c r="M160" s="38">
        <f t="shared" si="26"/>
        <v>0.18888145810525417</v>
      </c>
    </row>
    <row r="161" spans="2:13">
      <c r="B161" s="48">
        <f t="shared" si="21"/>
        <v>157</v>
      </c>
      <c r="C161" s="47">
        <v>6400</v>
      </c>
      <c r="D161" s="47">
        <v>17.8</v>
      </c>
      <c r="E161" s="3">
        <f t="shared" si="19"/>
        <v>13.2788</v>
      </c>
      <c r="F161" s="4">
        <f t="shared" si="18"/>
        <v>19.812999921831189</v>
      </c>
      <c r="G161" s="51">
        <v>492.1</v>
      </c>
      <c r="H161" s="38">
        <f t="shared" si="20"/>
        <v>3.6885555555555556E-3</v>
      </c>
      <c r="I161" s="38">
        <f t="shared" si="22"/>
        <v>1.8151381888888891</v>
      </c>
      <c r="J161" s="38">
        <f t="shared" si="23"/>
        <v>1.8151381888888889</v>
      </c>
      <c r="K161" s="38">
        <f t="shared" si="24"/>
        <v>245.5331486472808</v>
      </c>
      <c r="L161" s="38">
        <f t="shared" si="25"/>
        <v>1.406732096388889E-3</v>
      </c>
      <c r="M161" s="38">
        <f t="shared" si="26"/>
        <v>0.19028819020164306</v>
      </c>
    </row>
    <row r="162" spans="2:13">
      <c r="B162" s="48">
        <f t="shared" si="21"/>
        <v>158</v>
      </c>
      <c r="C162" s="47">
        <v>6400</v>
      </c>
      <c r="D162" s="47">
        <v>17.8</v>
      </c>
      <c r="E162" s="3">
        <f t="shared" si="19"/>
        <v>13.2788</v>
      </c>
      <c r="F162" s="4">
        <f t="shared" si="18"/>
        <v>19.812999921831189</v>
      </c>
      <c r="G162" s="51">
        <v>492.1</v>
      </c>
      <c r="H162" s="38">
        <f t="shared" si="20"/>
        <v>3.6885555555555556E-3</v>
      </c>
      <c r="I162" s="38">
        <f t="shared" si="22"/>
        <v>1.8151381888888891</v>
      </c>
      <c r="J162" s="38">
        <f t="shared" si="23"/>
        <v>1.8151381888888889</v>
      </c>
      <c r="K162" s="38">
        <f t="shared" si="24"/>
        <v>247.34828683616968</v>
      </c>
      <c r="L162" s="38">
        <f t="shared" si="25"/>
        <v>1.406732096388889E-3</v>
      </c>
      <c r="M162" s="38">
        <f t="shared" si="26"/>
        <v>0.19169492229803195</v>
      </c>
    </row>
    <row r="163" spans="2:13">
      <c r="B163" s="48">
        <f t="shared" si="21"/>
        <v>159</v>
      </c>
      <c r="C163" s="47">
        <v>6400</v>
      </c>
      <c r="D163" s="47">
        <v>17.8</v>
      </c>
      <c r="E163" s="3">
        <f t="shared" si="19"/>
        <v>13.2788</v>
      </c>
      <c r="F163" s="4">
        <f t="shared" si="18"/>
        <v>19.812999921831189</v>
      </c>
      <c r="G163" s="51">
        <v>492.1</v>
      </c>
      <c r="H163" s="38">
        <f t="shared" si="20"/>
        <v>3.6885555555555556E-3</v>
      </c>
      <c r="I163" s="38">
        <f t="shared" si="22"/>
        <v>1.8151381888888891</v>
      </c>
      <c r="J163" s="38">
        <f t="shared" si="23"/>
        <v>1.8151381888888889</v>
      </c>
      <c r="K163" s="38">
        <f t="shared" si="24"/>
        <v>249.16342502505856</v>
      </c>
      <c r="L163" s="38">
        <f t="shared" si="25"/>
        <v>1.406732096388889E-3</v>
      </c>
      <c r="M163" s="38">
        <f t="shared" si="26"/>
        <v>0.19310165439442084</v>
      </c>
    </row>
    <row r="164" spans="2:13">
      <c r="B164" s="48">
        <f t="shared" si="21"/>
        <v>160</v>
      </c>
      <c r="C164" s="47">
        <v>6400</v>
      </c>
      <c r="D164" s="47">
        <v>17.8</v>
      </c>
      <c r="E164" s="3">
        <f t="shared" si="19"/>
        <v>13.2788</v>
      </c>
      <c r="F164" s="4">
        <f t="shared" si="18"/>
        <v>19.812999921831189</v>
      </c>
      <c r="G164" s="51">
        <v>504.4</v>
      </c>
      <c r="H164" s="38">
        <f t="shared" si="20"/>
        <v>3.6885555555555556E-3</v>
      </c>
      <c r="I164" s="38">
        <f t="shared" si="22"/>
        <v>1.8605074222222222</v>
      </c>
      <c r="J164" s="38">
        <f t="shared" si="23"/>
        <v>1.8605074222222222</v>
      </c>
      <c r="K164" s="38">
        <f t="shared" si="24"/>
        <v>251.02393244728077</v>
      </c>
      <c r="L164" s="38">
        <f t="shared" si="25"/>
        <v>1.4418932522222224E-3</v>
      </c>
      <c r="M164" s="38">
        <f t="shared" si="26"/>
        <v>0.19454354764664306</v>
      </c>
    </row>
    <row r="165" spans="2:13">
      <c r="B165" s="48">
        <f t="shared" si="21"/>
        <v>161</v>
      </c>
      <c r="C165" s="47">
        <v>6400</v>
      </c>
      <c r="D165" s="47">
        <v>17.8</v>
      </c>
      <c r="E165" s="3">
        <f t="shared" si="19"/>
        <v>13.2788</v>
      </c>
      <c r="F165" s="4">
        <f t="shared" si="18"/>
        <v>19.812999921831189</v>
      </c>
      <c r="G165" s="51">
        <v>504.4</v>
      </c>
      <c r="H165" s="38">
        <f t="shared" si="20"/>
        <v>3.6885555555555556E-3</v>
      </c>
      <c r="I165" s="38">
        <f t="shared" si="22"/>
        <v>1.8605074222222222</v>
      </c>
      <c r="J165" s="38">
        <f t="shared" si="23"/>
        <v>1.8605074222222222</v>
      </c>
      <c r="K165" s="38">
        <f t="shared" si="24"/>
        <v>252.88443986950298</v>
      </c>
      <c r="L165" s="38">
        <f t="shared" si="25"/>
        <v>1.4418932522222224E-3</v>
      </c>
      <c r="M165" s="38">
        <f t="shared" si="26"/>
        <v>0.19598544089886527</v>
      </c>
    </row>
    <row r="166" spans="2:13">
      <c r="B166" s="48">
        <f t="shared" si="21"/>
        <v>162</v>
      </c>
      <c r="C166" s="47">
        <v>6400</v>
      </c>
      <c r="D166" s="47">
        <v>17.8</v>
      </c>
      <c r="E166" s="3">
        <f t="shared" si="19"/>
        <v>13.2788</v>
      </c>
      <c r="F166" s="4">
        <f t="shared" si="18"/>
        <v>19.812999921831189</v>
      </c>
      <c r="G166" s="51">
        <v>504.4</v>
      </c>
      <c r="H166" s="38">
        <f t="shared" si="20"/>
        <v>3.6885555555555556E-3</v>
      </c>
      <c r="I166" s="38">
        <f t="shared" si="22"/>
        <v>1.8605074222222222</v>
      </c>
      <c r="J166" s="38">
        <f t="shared" si="23"/>
        <v>1.8605074222222222</v>
      </c>
      <c r="K166" s="38">
        <f t="shared" si="24"/>
        <v>254.7449472917252</v>
      </c>
      <c r="L166" s="38">
        <f t="shared" si="25"/>
        <v>1.4418932522222224E-3</v>
      </c>
      <c r="M166" s="38">
        <f t="shared" si="26"/>
        <v>0.19742733415108749</v>
      </c>
    </row>
    <row r="167" spans="2:13">
      <c r="B167" s="48">
        <f t="shared" si="21"/>
        <v>163</v>
      </c>
      <c r="C167" s="47">
        <v>6400</v>
      </c>
      <c r="D167" s="47">
        <v>17.8</v>
      </c>
      <c r="E167" s="3">
        <f t="shared" si="19"/>
        <v>13.2788</v>
      </c>
      <c r="F167" s="4">
        <f t="shared" si="18"/>
        <v>19.812999921831189</v>
      </c>
      <c r="G167" s="51">
        <v>504.4</v>
      </c>
      <c r="H167" s="38">
        <f t="shared" si="20"/>
        <v>3.6885555555555556E-3</v>
      </c>
      <c r="I167" s="38">
        <f t="shared" si="22"/>
        <v>1.8605074222222222</v>
      </c>
      <c r="J167" s="38">
        <f t="shared" si="23"/>
        <v>1.8605074222222222</v>
      </c>
      <c r="K167" s="38">
        <f t="shared" si="24"/>
        <v>256.60545471394744</v>
      </c>
      <c r="L167" s="38">
        <f t="shared" si="25"/>
        <v>1.4418932522222224E-3</v>
      </c>
      <c r="M167" s="38">
        <f t="shared" si="26"/>
        <v>0.1988692274033097</v>
      </c>
    </row>
    <row r="168" spans="2:13">
      <c r="B168" s="48">
        <f t="shared" si="21"/>
        <v>164</v>
      </c>
      <c r="C168" s="47">
        <v>6400</v>
      </c>
      <c r="D168" s="47">
        <v>17.8</v>
      </c>
      <c r="E168" s="3">
        <f t="shared" si="19"/>
        <v>13.2788</v>
      </c>
      <c r="F168" s="4">
        <f t="shared" si="18"/>
        <v>19.812999921831189</v>
      </c>
      <c r="G168" s="51">
        <v>494.4</v>
      </c>
      <c r="H168" s="38">
        <f t="shared" si="20"/>
        <v>3.6885555555555556E-3</v>
      </c>
      <c r="I168" s="38">
        <f t="shared" si="22"/>
        <v>1.8236218666666666</v>
      </c>
      <c r="J168" s="38">
        <f t="shared" si="23"/>
        <v>1.8236218666666666</v>
      </c>
      <c r="K168" s="38">
        <f t="shared" si="24"/>
        <v>258.42907658061409</v>
      </c>
      <c r="L168" s="38">
        <f t="shared" si="25"/>
        <v>1.4133069466666667E-3</v>
      </c>
      <c r="M168" s="38">
        <f t="shared" si="26"/>
        <v>0.20028253434997637</v>
      </c>
    </row>
    <row r="169" spans="2:13">
      <c r="B169" s="48">
        <f t="shared" si="21"/>
        <v>165</v>
      </c>
      <c r="C169" s="47">
        <v>6400</v>
      </c>
      <c r="D169" s="47">
        <v>17.8</v>
      </c>
      <c r="E169" s="3">
        <f t="shared" si="19"/>
        <v>13.2788</v>
      </c>
      <c r="F169" s="4">
        <f t="shared" si="18"/>
        <v>19.812999921831189</v>
      </c>
      <c r="G169" s="51">
        <v>494.4</v>
      </c>
      <c r="H169" s="38">
        <f t="shared" si="20"/>
        <v>3.6885555555555556E-3</v>
      </c>
      <c r="I169" s="38">
        <f t="shared" si="22"/>
        <v>1.8236218666666666</v>
      </c>
      <c r="J169" s="38">
        <f t="shared" si="23"/>
        <v>1.8236218666666666</v>
      </c>
      <c r="K169" s="38">
        <f t="shared" si="24"/>
        <v>260.25269844728075</v>
      </c>
      <c r="L169" s="38">
        <f t="shared" si="25"/>
        <v>1.4133069466666667E-3</v>
      </c>
      <c r="M169" s="38">
        <f t="shared" si="26"/>
        <v>0.20169584129664303</v>
      </c>
    </row>
    <row r="170" spans="2:13">
      <c r="B170" s="48">
        <f t="shared" si="21"/>
        <v>166</v>
      </c>
      <c r="C170" s="47">
        <v>6400</v>
      </c>
      <c r="D170" s="47">
        <v>17.8</v>
      </c>
      <c r="E170" s="3">
        <f t="shared" si="19"/>
        <v>13.2788</v>
      </c>
      <c r="F170" s="4">
        <f t="shared" si="18"/>
        <v>19.812999921831189</v>
      </c>
      <c r="G170" s="51">
        <v>494.4</v>
      </c>
      <c r="H170" s="38">
        <f t="shared" si="20"/>
        <v>3.6885555555555556E-3</v>
      </c>
      <c r="I170" s="38">
        <f t="shared" si="22"/>
        <v>1.8236218666666666</v>
      </c>
      <c r="J170" s="38">
        <f t="shared" si="23"/>
        <v>1.8236218666666666</v>
      </c>
      <c r="K170" s="38">
        <f t="shared" si="24"/>
        <v>262.07632031394741</v>
      </c>
      <c r="L170" s="38">
        <f t="shared" si="25"/>
        <v>1.4133069466666667E-3</v>
      </c>
      <c r="M170" s="38">
        <f t="shared" si="26"/>
        <v>0.2031091482433097</v>
      </c>
    </row>
    <row r="171" spans="2:13">
      <c r="B171" s="48">
        <f t="shared" si="21"/>
        <v>167</v>
      </c>
      <c r="C171" s="47">
        <v>6500</v>
      </c>
      <c r="D171" s="47">
        <v>17.8</v>
      </c>
      <c r="E171" s="3">
        <f t="shared" si="19"/>
        <v>13.2788</v>
      </c>
      <c r="F171" s="4">
        <f t="shared" si="18"/>
        <v>19.508184538418401</v>
      </c>
      <c r="G171" s="51">
        <v>494.4</v>
      </c>
      <c r="H171" s="38">
        <f t="shared" si="20"/>
        <v>3.6885555555555556E-3</v>
      </c>
      <c r="I171" s="38">
        <f t="shared" si="22"/>
        <v>1.8236218666666666</v>
      </c>
      <c r="J171" s="38">
        <f t="shared" si="23"/>
        <v>1.8236218666666666</v>
      </c>
      <c r="K171" s="38">
        <f t="shared" si="24"/>
        <v>263.89994218061406</v>
      </c>
      <c r="L171" s="38">
        <f t="shared" si="25"/>
        <v>1.4133069466666667E-3</v>
      </c>
      <c r="M171" s="38">
        <f t="shared" si="26"/>
        <v>0.20452245518997636</v>
      </c>
    </row>
    <row r="172" spans="2:13">
      <c r="B172" s="48">
        <f t="shared" si="21"/>
        <v>168</v>
      </c>
      <c r="C172" s="47">
        <v>6500</v>
      </c>
      <c r="D172" s="47">
        <v>17.8</v>
      </c>
      <c r="E172" s="3">
        <f t="shared" si="19"/>
        <v>13.2788</v>
      </c>
      <c r="F172" s="4">
        <f t="shared" si="18"/>
        <v>19.508184538418401</v>
      </c>
      <c r="G172" s="51">
        <v>494.4</v>
      </c>
      <c r="H172" s="38">
        <f t="shared" si="20"/>
        <v>3.6885555555555556E-3</v>
      </c>
      <c r="I172" s="38">
        <f t="shared" si="22"/>
        <v>1.8236218666666666</v>
      </c>
      <c r="J172" s="38">
        <f t="shared" si="23"/>
        <v>1.8236218666666666</v>
      </c>
      <c r="K172" s="38">
        <f t="shared" si="24"/>
        <v>265.72356404728072</v>
      </c>
      <c r="L172" s="38">
        <f t="shared" si="25"/>
        <v>1.4133069466666667E-3</v>
      </c>
      <c r="M172" s="38">
        <f t="shared" si="26"/>
        <v>0.20593576213664302</v>
      </c>
    </row>
    <row r="173" spans="2:13">
      <c r="B173" s="48">
        <f t="shared" si="21"/>
        <v>169</v>
      </c>
      <c r="C173" s="47">
        <v>6500</v>
      </c>
      <c r="D173" s="47">
        <v>17.8</v>
      </c>
      <c r="E173" s="3">
        <f t="shared" si="19"/>
        <v>13.2788</v>
      </c>
      <c r="F173" s="4">
        <f t="shared" si="18"/>
        <v>19.508184538418401</v>
      </c>
      <c r="G173" s="51">
        <v>494.4</v>
      </c>
      <c r="H173" s="38">
        <f t="shared" si="20"/>
        <v>3.6885555555555556E-3</v>
      </c>
      <c r="I173" s="38">
        <f t="shared" si="22"/>
        <v>1.8236218666666666</v>
      </c>
      <c r="J173" s="38">
        <f t="shared" si="23"/>
        <v>1.8236218666666666</v>
      </c>
      <c r="K173" s="38">
        <f t="shared" si="24"/>
        <v>267.54718591394737</v>
      </c>
      <c r="L173" s="38">
        <f t="shared" si="25"/>
        <v>1.4133069466666667E-3</v>
      </c>
      <c r="M173" s="38">
        <f t="shared" si="26"/>
        <v>0.20734906908330969</v>
      </c>
    </row>
    <row r="174" spans="2:13">
      <c r="B174" s="48">
        <f t="shared" si="21"/>
        <v>170</v>
      </c>
      <c r="C174" s="47">
        <v>5100</v>
      </c>
      <c r="D174" s="47">
        <v>15.59</v>
      </c>
      <c r="E174" s="3">
        <f t="shared" si="19"/>
        <v>11.630139999999999</v>
      </c>
      <c r="F174" s="4">
        <f t="shared" si="18"/>
        <v>21.776403174715004</v>
      </c>
      <c r="G174" s="51">
        <v>494.4</v>
      </c>
      <c r="H174" s="38">
        <f t="shared" si="20"/>
        <v>3.2305944444444442E-3</v>
      </c>
      <c r="I174" s="38">
        <f t="shared" si="22"/>
        <v>1.5972058933333331</v>
      </c>
      <c r="J174" s="38">
        <f t="shared" si="23"/>
        <v>1.5972058933333331</v>
      </c>
      <c r="K174" s="38">
        <f t="shared" si="24"/>
        <v>269.14439180728073</v>
      </c>
      <c r="L174" s="38">
        <f t="shared" si="25"/>
        <v>1.2378345673333332E-3</v>
      </c>
      <c r="M174" s="38">
        <f t="shared" si="26"/>
        <v>0.20858690365064303</v>
      </c>
    </row>
    <row r="175" spans="2:13">
      <c r="B175" s="48">
        <f t="shared" si="21"/>
        <v>171</v>
      </c>
      <c r="C175" s="47">
        <v>5100</v>
      </c>
      <c r="D175" s="47">
        <v>15.59</v>
      </c>
      <c r="E175" s="3">
        <f t="shared" si="19"/>
        <v>11.630139999999999</v>
      </c>
      <c r="F175" s="4">
        <f t="shared" si="18"/>
        <v>21.776403174715004</v>
      </c>
      <c r="G175" s="51">
        <v>494.4</v>
      </c>
      <c r="H175" s="38">
        <f t="shared" si="20"/>
        <v>3.2305944444444442E-3</v>
      </c>
      <c r="I175" s="38">
        <f t="shared" si="22"/>
        <v>1.5972058933333331</v>
      </c>
      <c r="J175" s="38">
        <f t="shared" si="23"/>
        <v>1.5972058933333331</v>
      </c>
      <c r="K175" s="38">
        <f t="shared" si="24"/>
        <v>270.74159770061408</v>
      </c>
      <c r="L175" s="38">
        <f t="shared" si="25"/>
        <v>1.2378345673333332E-3</v>
      </c>
      <c r="M175" s="38">
        <f t="shared" si="26"/>
        <v>0.20982473821797637</v>
      </c>
    </row>
    <row r="176" spans="2:13">
      <c r="B176" s="48">
        <f t="shared" si="21"/>
        <v>172</v>
      </c>
      <c r="C176" s="47">
        <v>5200</v>
      </c>
      <c r="D176" s="47">
        <v>15.92</v>
      </c>
      <c r="E176" s="3">
        <f t="shared" si="19"/>
        <v>11.87632</v>
      </c>
      <c r="F176" s="4">
        <f t="shared" si="18"/>
        <v>21.80971192778237</v>
      </c>
      <c r="G176" s="51">
        <v>494.4</v>
      </c>
      <c r="H176" s="38">
        <f t="shared" si="20"/>
        <v>3.2989777777777778E-3</v>
      </c>
      <c r="I176" s="38">
        <f t="shared" si="22"/>
        <v>1.6310146133333332</v>
      </c>
      <c r="J176" s="38">
        <f t="shared" si="23"/>
        <v>1.6310146133333332</v>
      </c>
      <c r="K176" s="38">
        <f t="shared" si="24"/>
        <v>272.3726123139474</v>
      </c>
      <c r="L176" s="38">
        <f t="shared" si="25"/>
        <v>1.2640363253333333E-3</v>
      </c>
      <c r="M176" s="38">
        <f t="shared" si="26"/>
        <v>0.21108877454330971</v>
      </c>
    </row>
    <row r="177" spans="2:13">
      <c r="B177" s="49">
        <f t="shared" si="21"/>
        <v>173</v>
      </c>
      <c r="C177" s="47">
        <v>5200</v>
      </c>
      <c r="D177" s="47">
        <v>15.92</v>
      </c>
      <c r="E177" s="3">
        <f t="shared" si="19"/>
        <v>11.87632</v>
      </c>
      <c r="F177" s="4">
        <f t="shared" si="18"/>
        <v>21.80971192778237</v>
      </c>
      <c r="G177" s="51">
        <v>494.4</v>
      </c>
      <c r="H177" s="38">
        <f t="shared" si="20"/>
        <v>3.2989777777777778E-3</v>
      </c>
      <c r="I177" s="38">
        <f t="shared" si="22"/>
        <v>1.6310146133333332</v>
      </c>
      <c r="J177" s="38">
        <f t="shared" si="23"/>
        <v>1.6310146133333332</v>
      </c>
      <c r="K177" s="38">
        <f t="shared" si="24"/>
        <v>274.00362692728072</v>
      </c>
      <c r="L177" s="38">
        <f t="shared" si="25"/>
        <v>1.2640363253333333E-3</v>
      </c>
      <c r="M177" s="38">
        <f t="shared" si="26"/>
        <v>0.21235281086864305</v>
      </c>
    </row>
    <row r="178" spans="2:13">
      <c r="B178" s="49">
        <f t="shared" si="21"/>
        <v>174</v>
      </c>
      <c r="C178" s="47">
        <v>5200</v>
      </c>
      <c r="D178" s="47">
        <v>15.92</v>
      </c>
      <c r="E178" s="3">
        <f t="shared" si="19"/>
        <v>11.87632</v>
      </c>
      <c r="F178" s="4">
        <f t="shared" si="18"/>
        <v>21.80971192778237</v>
      </c>
      <c r="G178" s="51">
        <v>494.4</v>
      </c>
      <c r="H178" s="38">
        <f t="shared" si="20"/>
        <v>3.2989777777777778E-3</v>
      </c>
      <c r="I178" s="38">
        <f t="shared" si="22"/>
        <v>1.6310146133333332</v>
      </c>
      <c r="J178" s="38">
        <f t="shared" si="23"/>
        <v>1.6310146133333332</v>
      </c>
      <c r="K178" s="38">
        <f t="shared" si="24"/>
        <v>275.63464154061404</v>
      </c>
      <c r="L178" s="38">
        <f t="shared" si="25"/>
        <v>1.2640363253333333E-3</v>
      </c>
      <c r="M178" s="38">
        <f t="shared" si="26"/>
        <v>0.21361684719397639</v>
      </c>
    </row>
    <row r="179" spans="2:13">
      <c r="B179" s="49">
        <f t="shared" si="21"/>
        <v>175</v>
      </c>
      <c r="C179" s="47">
        <v>5300</v>
      </c>
      <c r="D179" s="47">
        <v>16.25</v>
      </c>
      <c r="E179" s="3">
        <f t="shared" si="19"/>
        <v>12.1225</v>
      </c>
      <c r="F179" s="4">
        <f t="shared" si="18"/>
        <v>21.841763746771711</v>
      </c>
      <c r="G179" s="51">
        <v>494.4</v>
      </c>
      <c r="H179" s="38">
        <f t="shared" si="20"/>
        <v>3.3673611111111113E-3</v>
      </c>
      <c r="I179" s="38">
        <f t="shared" si="22"/>
        <v>1.6648233333333333</v>
      </c>
      <c r="J179" s="38">
        <f t="shared" si="23"/>
        <v>1.6648233333333333</v>
      </c>
      <c r="K179" s="38">
        <f t="shared" si="24"/>
        <v>277.29946487394739</v>
      </c>
      <c r="L179" s="38">
        <f t="shared" si="25"/>
        <v>1.2902380833333333E-3</v>
      </c>
      <c r="M179" s="38">
        <f t="shared" si="26"/>
        <v>0.21490708527730973</v>
      </c>
    </row>
    <row r="180" spans="2:13">
      <c r="B180" s="49">
        <f t="shared" si="21"/>
        <v>176</v>
      </c>
      <c r="C180" s="47">
        <v>5300</v>
      </c>
      <c r="D180" s="47">
        <v>16.25</v>
      </c>
      <c r="E180" s="3">
        <f t="shared" si="19"/>
        <v>12.1225</v>
      </c>
      <c r="F180" s="4">
        <f t="shared" si="18"/>
        <v>21.841763746771711</v>
      </c>
      <c r="G180" s="51">
        <v>494.4</v>
      </c>
      <c r="H180" s="38">
        <f t="shared" si="20"/>
        <v>3.3673611111111113E-3</v>
      </c>
      <c r="I180" s="38">
        <f t="shared" si="22"/>
        <v>1.6648233333333333</v>
      </c>
      <c r="J180" s="38">
        <f t="shared" si="23"/>
        <v>1.6648233333333333</v>
      </c>
      <c r="K180" s="38">
        <f t="shared" si="24"/>
        <v>278.96428820728073</v>
      </c>
      <c r="L180" s="38">
        <f t="shared" si="25"/>
        <v>1.2902380833333333E-3</v>
      </c>
      <c r="M180" s="38">
        <f t="shared" si="26"/>
        <v>0.21619732336064307</v>
      </c>
    </row>
    <row r="181" spans="2:13">
      <c r="B181" s="49">
        <f t="shared" si="21"/>
        <v>177</v>
      </c>
      <c r="C181" s="47">
        <v>5400</v>
      </c>
      <c r="D181" s="47">
        <v>16.579999999999998</v>
      </c>
      <c r="E181" s="3">
        <f t="shared" si="19"/>
        <v>12.368679999999998</v>
      </c>
      <c r="F181" s="4">
        <f t="shared" si="18"/>
        <v>21.87262846135404</v>
      </c>
      <c r="G181" s="51">
        <v>494.4</v>
      </c>
      <c r="H181" s="38">
        <f t="shared" si="20"/>
        <v>3.4357444444444436E-3</v>
      </c>
      <c r="I181" s="38">
        <f t="shared" si="22"/>
        <v>1.698632053333333</v>
      </c>
      <c r="J181" s="38">
        <f t="shared" si="23"/>
        <v>1.6986320533333328</v>
      </c>
      <c r="K181" s="38">
        <f t="shared" si="24"/>
        <v>280.66292026061404</v>
      </c>
      <c r="L181" s="38">
        <f t="shared" si="25"/>
        <v>1.3164398413333331E-3</v>
      </c>
      <c r="M181" s="38">
        <f t="shared" si="26"/>
        <v>0.21751376320197641</v>
      </c>
    </row>
    <row r="182" spans="2:13">
      <c r="B182" s="49">
        <f t="shared" si="21"/>
        <v>178</v>
      </c>
      <c r="C182" s="47">
        <v>5400</v>
      </c>
      <c r="D182" s="47">
        <v>16.579999999999998</v>
      </c>
      <c r="E182" s="3">
        <f t="shared" si="19"/>
        <v>12.368679999999998</v>
      </c>
      <c r="F182" s="4">
        <f t="shared" si="18"/>
        <v>21.87262846135404</v>
      </c>
      <c r="G182" s="51">
        <v>494.4</v>
      </c>
      <c r="H182" s="38">
        <f t="shared" si="20"/>
        <v>3.4357444444444436E-3</v>
      </c>
      <c r="I182" s="38">
        <f t="shared" si="22"/>
        <v>1.698632053333333</v>
      </c>
      <c r="J182" s="38">
        <f t="shared" si="23"/>
        <v>1.6986320533333328</v>
      </c>
      <c r="K182" s="38">
        <f t="shared" si="24"/>
        <v>282.36155231394736</v>
      </c>
      <c r="L182" s="38">
        <f t="shared" si="25"/>
        <v>1.3164398413333331E-3</v>
      </c>
      <c r="M182" s="38">
        <f t="shared" si="26"/>
        <v>0.21883020304330975</v>
      </c>
    </row>
    <row r="183" spans="2:13">
      <c r="B183" s="49">
        <f t="shared" si="21"/>
        <v>179</v>
      </c>
      <c r="C183" s="47">
        <v>5500</v>
      </c>
      <c r="D183" s="47">
        <v>16.940000000000001</v>
      </c>
      <c r="E183" s="3">
        <f t="shared" si="19"/>
        <v>12.637240000000002</v>
      </c>
      <c r="F183" s="4">
        <f t="shared" si="18"/>
        <v>21.941227778603171</v>
      </c>
      <c r="G183" s="51">
        <v>494.4</v>
      </c>
      <c r="H183" s="38">
        <f t="shared" si="20"/>
        <v>3.5103444444444451E-3</v>
      </c>
      <c r="I183" s="38">
        <f t="shared" si="22"/>
        <v>1.7355142933333334</v>
      </c>
      <c r="J183" s="38">
        <f t="shared" si="23"/>
        <v>1.7355142933333336</v>
      </c>
      <c r="K183" s="38">
        <f t="shared" si="24"/>
        <v>284.09706660728068</v>
      </c>
      <c r="L183" s="38">
        <f t="shared" si="25"/>
        <v>1.3450235773333336E-3</v>
      </c>
      <c r="M183" s="38">
        <f t="shared" si="26"/>
        <v>0.22017522662064307</v>
      </c>
    </row>
    <row r="184" spans="2:13">
      <c r="B184" s="49">
        <f t="shared" si="21"/>
        <v>180</v>
      </c>
      <c r="C184" s="47">
        <v>5500</v>
      </c>
      <c r="D184" s="47">
        <v>16.940000000000001</v>
      </c>
      <c r="E184" s="3">
        <f t="shared" si="19"/>
        <v>12.637240000000002</v>
      </c>
      <c r="F184" s="4">
        <f t="shared" si="18"/>
        <v>21.941227778603171</v>
      </c>
      <c r="G184" s="51">
        <v>494.4</v>
      </c>
      <c r="H184" s="38">
        <f t="shared" si="20"/>
        <v>3.5103444444444451E-3</v>
      </c>
      <c r="I184" s="38">
        <f t="shared" si="22"/>
        <v>1.7355142933333334</v>
      </c>
      <c r="J184" s="38">
        <f t="shared" si="23"/>
        <v>1.7355142933333336</v>
      </c>
      <c r="K184" s="38">
        <f t="shared" si="24"/>
        <v>285.832580900614</v>
      </c>
      <c r="L184" s="38">
        <f t="shared" si="25"/>
        <v>1.3450235773333336E-3</v>
      </c>
      <c r="M184" s="38">
        <f t="shared" si="26"/>
        <v>0.22152025019797639</v>
      </c>
    </row>
    <row r="185" spans="2:13">
      <c r="B185" s="49">
        <f t="shared" si="21"/>
        <v>181</v>
      </c>
      <c r="C185" s="47">
        <v>5600</v>
      </c>
      <c r="D185" s="47">
        <v>17.05</v>
      </c>
      <c r="E185" s="3">
        <f t="shared" si="19"/>
        <v>12.7193</v>
      </c>
      <c r="F185" s="4">
        <f t="shared" si="18"/>
        <v>21.689351439307977</v>
      </c>
      <c r="G185" s="51">
        <v>494.4</v>
      </c>
      <c r="H185" s="38">
        <f t="shared" si="20"/>
        <v>3.533138888888889E-3</v>
      </c>
      <c r="I185" s="38">
        <f t="shared" si="22"/>
        <v>1.7467838666666666</v>
      </c>
      <c r="J185" s="38">
        <f t="shared" si="23"/>
        <v>1.7467838666666666</v>
      </c>
      <c r="K185" s="38">
        <f t="shared" si="24"/>
        <v>287.57936476728065</v>
      </c>
      <c r="L185" s="38">
        <f t="shared" si="25"/>
        <v>1.3537574966666667E-3</v>
      </c>
      <c r="M185" s="38">
        <f t="shared" si="26"/>
        <v>0.22287400769464305</v>
      </c>
    </row>
    <row r="186" spans="2:13">
      <c r="B186" s="49">
        <f t="shared" si="21"/>
        <v>182</v>
      </c>
      <c r="C186" s="47">
        <v>5600</v>
      </c>
      <c r="D186" s="47">
        <v>17.05</v>
      </c>
      <c r="E186" s="3">
        <f t="shared" si="19"/>
        <v>12.7193</v>
      </c>
      <c r="F186" s="4">
        <f t="shared" si="18"/>
        <v>21.689351439307977</v>
      </c>
      <c r="G186" s="51">
        <v>494.4</v>
      </c>
      <c r="H186" s="38">
        <f t="shared" si="20"/>
        <v>3.533138888888889E-3</v>
      </c>
      <c r="I186" s="38">
        <f t="shared" si="22"/>
        <v>1.7467838666666666</v>
      </c>
      <c r="J186" s="38">
        <f t="shared" si="23"/>
        <v>1.7467838666666666</v>
      </c>
      <c r="K186" s="38">
        <f t="shared" si="24"/>
        <v>289.3261486339473</v>
      </c>
      <c r="L186" s="38">
        <f t="shared" si="25"/>
        <v>1.3537574966666667E-3</v>
      </c>
      <c r="M186" s="38">
        <f t="shared" si="26"/>
        <v>0.22422776519130971</v>
      </c>
    </row>
    <row r="187" spans="2:13">
      <c r="B187" s="49">
        <f t="shared" si="21"/>
        <v>183</v>
      </c>
      <c r="C187" s="47">
        <v>5600</v>
      </c>
      <c r="D187" s="47">
        <v>17.05</v>
      </c>
      <c r="E187" s="3">
        <f t="shared" si="19"/>
        <v>12.7193</v>
      </c>
      <c r="F187" s="4">
        <f t="shared" si="18"/>
        <v>21.689351439307977</v>
      </c>
      <c r="G187" s="51">
        <v>494.4</v>
      </c>
      <c r="H187" s="38">
        <f t="shared" si="20"/>
        <v>3.533138888888889E-3</v>
      </c>
      <c r="I187" s="38">
        <f t="shared" si="22"/>
        <v>1.7467838666666666</v>
      </c>
      <c r="J187" s="38">
        <f t="shared" si="23"/>
        <v>1.7467838666666666</v>
      </c>
      <c r="K187" s="38">
        <f t="shared" si="24"/>
        <v>291.07293250061394</v>
      </c>
      <c r="L187" s="38">
        <f t="shared" si="25"/>
        <v>1.3537574966666667E-3</v>
      </c>
      <c r="M187" s="38">
        <f t="shared" si="26"/>
        <v>0.22558152268797638</v>
      </c>
    </row>
    <row r="188" spans="2:13">
      <c r="B188" s="49">
        <f t="shared" si="21"/>
        <v>184</v>
      </c>
      <c r="C188" s="47">
        <v>5600</v>
      </c>
      <c r="D188" s="47">
        <v>17.05</v>
      </c>
      <c r="E188" s="3">
        <f t="shared" si="19"/>
        <v>12.7193</v>
      </c>
      <c r="F188" s="4">
        <f t="shared" si="18"/>
        <v>21.689351439307977</v>
      </c>
      <c r="G188" s="51">
        <v>494.4</v>
      </c>
      <c r="H188" s="38">
        <f t="shared" si="20"/>
        <v>3.533138888888889E-3</v>
      </c>
      <c r="I188" s="38">
        <f t="shared" si="22"/>
        <v>1.7467838666666666</v>
      </c>
      <c r="J188" s="38">
        <f t="shared" si="23"/>
        <v>1.7467838666666666</v>
      </c>
      <c r="K188" s="38">
        <f t="shared" si="24"/>
        <v>292.81971636728059</v>
      </c>
      <c r="L188" s="38">
        <f t="shared" si="25"/>
        <v>1.3537574966666667E-3</v>
      </c>
      <c r="M188" s="38">
        <f t="shared" si="26"/>
        <v>0.22693528018464304</v>
      </c>
    </row>
    <row r="189" spans="2:13">
      <c r="B189" s="49">
        <f t="shared" si="21"/>
        <v>185</v>
      </c>
      <c r="C189" s="47">
        <v>5700</v>
      </c>
      <c r="D189" s="47">
        <v>17.11</v>
      </c>
      <c r="E189" s="3">
        <f t="shared" si="19"/>
        <v>12.764059999999999</v>
      </c>
      <c r="F189" s="4">
        <f t="shared" si="18"/>
        <v>21.383823609700396</v>
      </c>
      <c r="G189" s="51">
        <v>494.4</v>
      </c>
      <c r="H189" s="38">
        <f t="shared" si="20"/>
        <v>3.5455722222222218E-3</v>
      </c>
      <c r="I189" s="38">
        <f t="shared" si="22"/>
        <v>1.7529309066666663</v>
      </c>
      <c r="J189" s="38">
        <f t="shared" si="23"/>
        <v>1.7529309066666663</v>
      </c>
      <c r="K189" s="38">
        <f t="shared" si="24"/>
        <v>294.57264727394727</v>
      </c>
      <c r="L189" s="38">
        <f t="shared" si="25"/>
        <v>1.3585214526666664E-3</v>
      </c>
      <c r="M189" s="38">
        <f t="shared" si="26"/>
        <v>0.2282938016373097</v>
      </c>
    </row>
    <row r="190" spans="2:13">
      <c r="B190" s="49">
        <f t="shared" si="21"/>
        <v>186</v>
      </c>
      <c r="C190" s="47">
        <v>5700</v>
      </c>
      <c r="D190" s="47">
        <v>17.11</v>
      </c>
      <c r="E190" s="3">
        <f t="shared" si="19"/>
        <v>12.764059999999999</v>
      </c>
      <c r="F190" s="4">
        <f t="shared" si="18"/>
        <v>21.383823609700396</v>
      </c>
      <c r="G190" s="51">
        <v>494.4</v>
      </c>
      <c r="H190" s="38">
        <f t="shared" si="20"/>
        <v>3.5455722222222218E-3</v>
      </c>
      <c r="I190" s="38">
        <f t="shared" si="22"/>
        <v>1.7529309066666663</v>
      </c>
      <c r="J190" s="38">
        <f t="shared" si="23"/>
        <v>1.7529309066666663</v>
      </c>
      <c r="K190" s="38">
        <f t="shared" si="24"/>
        <v>296.32557818061395</v>
      </c>
      <c r="L190" s="38">
        <f t="shared" si="25"/>
        <v>1.3585214526666664E-3</v>
      </c>
      <c r="M190" s="38">
        <f t="shared" si="26"/>
        <v>0.22965232308997635</v>
      </c>
    </row>
    <row r="191" spans="2:13">
      <c r="B191" s="49">
        <f t="shared" si="21"/>
        <v>187</v>
      </c>
      <c r="C191" s="47">
        <v>5700</v>
      </c>
      <c r="D191" s="47">
        <v>17.11</v>
      </c>
      <c r="E191" s="3">
        <f t="shared" si="19"/>
        <v>12.764059999999999</v>
      </c>
      <c r="F191" s="4">
        <f t="shared" si="18"/>
        <v>21.383823609700396</v>
      </c>
      <c r="G191" s="51">
        <v>494.4</v>
      </c>
      <c r="H191" s="38">
        <f t="shared" si="20"/>
        <v>3.5455722222222218E-3</v>
      </c>
      <c r="I191" s="38">
        <f t="shared" si="22"/>
        <v>1.7529309066666663</v>
      </c>
      <c r="J191" s="38">
        <f t="shared" si="23"/>
        <v>1.7529309066666663</v>
      </c>
      <c r="K191" s="38">
        <f t="shared" si="24"/>
        <v>298.07850908728062</v>
      </c>
      <c r="L191" s="38">
        <f t="shared" si="25"/>
        <v>1.3585214526666664E-3</v>
      </c>
      <c r="M191" s="38">
        <f t="shared" si="26"/>
        <v>0.23101084454264301</v>
      </c>
    </row>
    <row r="192" spans="2:13">
      <c r="B192" s="49">
        <f t="shared" si="21"/>
        <v>188</v>
      </c>
      <c r="C192" s="47">
        <v>5700</v>
      </c>
      <c r="D192" s="47">
        <v>17.11</v>
      </c>
      <c r="E192" s="3">
        <f t="shared" si="19"/>
        <v>12.764059999999999</v>
      </c>
      <c r="F192" s="4">
        <f t="shared" si="18"/>
        <v>21.383823609700396</v>
      </c>
      <c r="G192" s="51">
        <v>494.4</v>
      </c>
      <c r="H192" s="38">
        <f t="shared" si="20"/>
        <v>3.5455722222222218E-3</v>
      </c>
      <c r="I192" s="38">
        <f t="shared" si="22"/>
        <v>1.7529309066666663</v>
      </c>
      <c r="J192" s="38">
        <f t="shared" si="23"/>
        <v>1.7529309066666663</v>
      </c>
      <c r="K192" s="38">
        <f t="shared" si="24"/>
        <v>299.8314399939473</v>
      </c>
      <c r="L192" s="38">
        <f t="shared" si="25"/>
        <v>1.3585214526666664E-3</v>
      </c>
      <c r="M192" s="38">
        <f t="shared" si="26"/>
        <v>0.23236936599530966</v>
      </c>
    </row>
    <row r="193" spans="2:13">
      <c r="B193" s="49">
        <f t="shared" si="21"/>
        <v>189</v>
      </c>
      <c r="C193" s="47">
        <v>5800</v>
      </c>
      <c r="D193" s="47">
        <v>17.18</v>
      </c>
      <c r="E193" s="3">
        <f t="shared" si="19"/>
        <v>12.816280000000001</v>
      </c>
      <c r="F193" s="4">
        <f t="shared" si="18"/>
        <v>21.101113593618585</v>
      </c>
      <c r="G193" s="51">
        <v>494.4</v>
      </c>
      <c r="H193" s="38">
        <f t="shared" si="20"/>
        <v>3.560077777777778E-3</v>
      </c>
      <c r="I193" s="38">
        <f t="shared" si="22"/>
        <v>1.7601024533333334</v>
      </c>
      <c r="J193" s="38">
        <f t="shared" si="23"/>
        <v>1.7601024533333334</v>
      </c>
      <c r="K193" s="38">
        <f t="shared" si="24"/>
        <v>301.59154244728063</v>
      </c>
      <c r="L193" s="38">
        <f t="shared" si="25"/>
        <v>1.3640794013333336E-3</v>
      </c>
      <c r="M193" s="38">
        <f t="shared" si="26"/>
        <v>0.23373344539664301</v>
      </c>
    </row>
    <row r="194" spans="2:13">
      <c r="B194" s="49">
        <f t="shared" si="21"/>
        <v>190</v>
      </c>
      <c r="C194" s="47">
        <v>5800</v>
      </c>
      <c r="D194" s="47">
        <v>17.18</v>
      </c>
      <c r="E194" s="3">
        <f t="shared" si="19"/>
        <v>12.816280000000001</v>
      </c>
      <c r="F194" s="4">
        <f t="shared" si="18"/>
        <v>21.101113593618585</v>
      </c>
      <c r="G194" s="51">
        <v>494.4</v>
      </c>
      <c r="H194" s="38">
        <f t="shared" si="20"/>
        <v>3.560077777777778E-3</v>
      </c>
      <c r="I194" s="38">
        <f t="shared" si="22"/>
        <v>1.7601024533333334</v>
      </c>
      <c r="J194" s="38">
        <f t="shared" si="23"/>
        <v>1.7601024533333334</v>
      </c>
      <c r="K194" s="38">
        <f t="shared" si="24"/>
        <v>303.35164490061396</v>
      </c>
      <c r="L194" s="38">
        <f t="shared" si="25"/>
        <v>1.3640794013333336E-3</v>
      </c>
      <c r="M194" s="38">
        <f t="shared" si="26"/>
        <v>0.23509752479797635</v>
      </c>
    </row>
    <row r="195" spans="2:13">
      <c r="B195" s="49">
        <f t="shared" si="21"/>
        <v>191</v>
      </c>
      <c r="C195" s="47">
        <v>5800</v>
      </c>
      <c r="D195" s="47">
        <v>17.18</v>
      </c>
      <c r="E195" s="3">
        <f t="shared" si="19"/>
        <v>12.816280000000001</v>
      </c>
      <c r="F195" s="4">
        <f t="shared" si="18"/>
        <v>21.101113593618585</v>
      </c>
      <c r="G195" s="51">
        <v>494.4</v>
      </c>
      <c r="H195" s="38">
        <f t="shared" si="20"/>
        <v>3.560077777777778E-3</v>
      </c>
      <c r="I195" s="38">
        <f t="shared" si="22"/>
        <v>1.7601024533333334</v>
      </c>
      <c r="J195" s="38">
        <f t="shared" si="23"/>
        <v>1.7601024533333334</v>
      </c>
      <c r="K195" s="38">
        <f t="shared" si="24"/>
        <v>305.11174735394729</v>
      </c>
      <c r="L195" s="38">
        <f t="shared" si="25"/>
        <v>1.3640794013333336E-3</v>
      </c>
      <c r="M195" s="38">
        <f t="shared" si="26"/>
        <v>0.2364616041993097</v>
      </c>
    </row>
    <row r="196" spans="2:13">
      <c r="B196" s="49">
        <f t="shared" si="21"/>
        <v>192</v>
      </c>
      <c r="C196" s="47">
        <v>5900</v>
      </c>
      <c r="D196" s="47">
        <v>17.239999999999998</v>
      </c>
      <c r="E196" s="3">
        <f t="shared" si="19"/>
        <v>12.861039999999999</v>
      </c>
      <c r="F196" s="4">
        <f t="shared" ref="F196:F259" si="27">E196*60*1000/(2*PI()*C196)</f>
        <v>20.815912772568705</v>
      </c>
      <c r="G196" s="51">
        <v>494.4</v>
      </c>
      <c r="H196" s="38">
        <f t="shared" si="20"/>
        <v>3.5725111111111108E-3</v>
      </c>
      <c r="I196" s="38">
        <f t="shared" si="22"/>
        <v>1.766249493333333</v>
      </c>
      <c r="J196" s="38">
        <f t="shared" si="23"/>
        <v>1.766249493333333</v>
      </c>
      <c r="K196" s="38">
        <f t="shared" si="24"/>
        <v>306.8779968472806</v>
      </c>
      <c r="L196" s="38">
        <f t="shared" si="25"/>
        <v>1.3688433573333331E-3</v>
      </c>
      <c r="M196" s="38">
        <f t="shared" si="26"/>
        <v>0.23783044755664304</v>
      </c>
    </row>
    <row r="197" spans="2:13">
      <c r="B197" s="49">
        <f t="shared" si="21"/>
        <v>193</v>
      </c>
      <c r="C197" s="47">
        <v>5900</v>
      </c>
      <c r="D197" s="47">
        <v>17.239999999999998</v>
      </c>
      <c r="E197" s="3">
        <f t="shared" ref="E197:E260" si="28">D197*746/1000</f>
        <v>12.861039999999999</v>
      </c>
      <c r="F197" s="4">
        <f t="shared" si="27"/>
        <v>20.815912772568705</v>
      </c>
      <c r="G197" s="51">
        <v>494.4</v>
      </c>
      <c r="H197" s="38">
        <f t="shared" ref="H197:H260" si="29">((B197-B196)/3600)*E197</f>
        <v>3.5725111111111108E-3</v>
      </c>
      <c r="I197" s="38">
        <f t="shared" si="22"/>
        <v>1.766249493333333</v>
      </c>
      <c r="J197" s="38">
        <f t="shared" si="23"/>
        <v>1.766249493333333</v>
      </c>
      <c r="K197" s="38">
        <f t="shared" si="24"/>
        <v>308.6442463406139</v>
      </c>
      <c r="L197" s="38">
        <f t="shared" si="25"/>
        <v>1.3688433573333331E-3</v>
      </c>
      <c r="M197" s="38">
        <f t="shared" si="26"/>
        <v>0.23919929091397638</v>
      </c>
    </row>
    <row r="198" spans="2:13">
      <c r="B198" s="49">
        <f t="shared" ref="B198:B261" si="30">B197+1</f>
        <v>194</v>
      </c>
      <c r="C198" s="47">
        <v>5900</v>
      </c>
      <c r="D198" s="47">
        <v>17.239999999999998</v>
      </c>
      <c r="E198" s="3">
        <f t="shared" si="28"/>
        <v>12.861039999999999</v>
      </c>
      <c r="F198" s="4">
        <f t="shared" si="27"/>
        <v>20.815912772568705</v>
      </c>
      <c r="G198" s="51">
        <v>494.4</v>
      </c>
      <c r="H198" s="38">
        <f t="shared" si="29"/>
        <v>3.5725111111111108E-3</v>
      </c>
      <c r="I198" s="38">
        <f t="shared" ref="I198:I261" si="31">E198*G198/3600</f>
        <v>1.766249493333333</v>
      </c>
      <c r="J198" s="38">
        <f t="shared" ref="J198:J261" si="32">H198*G198</f>
        <v>1.766249493333333</v>
      </c>
      <c r="K198" s="38">
        <f t="shared" ref="K198:K261" si="33">K197+J198</f>
        <v>310.41049583394721</v>
      </c>
      <c r="L198" s="38">
        <f t="shared" ref="L198:L261" si="34">J198/1000*0.775</f>
        <v>1.3688433573333331E-3</v>
      </c>
      <c r="M198" s="38">
        <f t="shared" ref="M198:M261" si="35">M197+L198</f>
        <v>0.24056813427130971</v>
      </c>
    </row>
    <row r="199" spans="2:13">
      <c r="B199" s="49">
        <f t="shared" si="30"/>
        <v>195</v>
      </c>
      <c r="C199" s="47">
        <v>6000</v>
      </c>
      <c r="D199" s="47">
        <v>17.32</v>
      </c>
      <c r="E199" s="3">
        <f t="shared" si="28"/>
        <v>12.920719999999999</v>
      </c>
      <c r="F199" s="4">
        <f t="shared" si="27"/>
        <v>20.563964563063138</v>
      </c>
      <c r="G199" s="51">
        <v>494.4</v>
      </c>
      <c r="H199" s="38">
        <f t="shared" si="29"/>
        <v>3.5890888888888885E-3</v>
      </c>
      <c r="I199" s="38">
        <f t="shared" si="31"/>
        <v>1.7744455466666664</v>
      </c>
      <c r="J199" s="38">
        <f t="shared" si="32"/>
        <v>1.7744455466666664</v>
      </c>
      <c r="K199" s="38">
        <f t="shared" si="33"/>
        <v>312.18494138061385</v>
      </c>
      <c r="L199" s="38">
        <f t="shared" si="34"/>
        <v>1.3751952986666665E-3</v>
      </c>
      <c r="M199" s="38">
        <f t="shared" si="35"/>
        <v>0.24194332956997638</v>
      </c>
    </row>
    <row r="200" spans="2:13">
      <c r="B200" s="49">
        <f t="shared" si="30"/>
        <v>196</v>
      </c>
      <c r="C200" s="47">
        <v>6000</v>
      </c>
      <c r="D200" s="47">
        <v>17.32</v>
      </c>
      <c r="E200" s="3">
        <f t="shared" si="28"/>
        <v>12.920719999999999</v>
      </c>
      <c r="F200" s="4">
        <f t="shared" si="27"/>
        <v>20.563964563063138</v>
      </c>
      <c r="G200" s="51">
        <v>494.4</v>
      </c>
      <c r="H200" s="38">
        <f t="shared" si="29"/>
        <v>3.5890888888888885E-3</v>
      </c>
      <c r="I200" s="38">
        <f t="shared" si="31"/>
        <v>1.7744455466666664</v>
      </c>
      <c r="J200" s="38">
        <f t="shared" si="32"/>
        <v>1.7744455466666664</v>
      </c>
      <c r="K200" s="38">
        <f t="shared" si="33"/>
        <v>313.95938692728049</v>
      </c>
      <c r="L200" s="38">
        <f t="shared" si="34"/>
        <v>1.3751952986666665E-3</v>
      </c>
      <c r="M200" s="38">
        <f t="shared" si="35"/>
        <v>0.24331852486864305</v>
      </c>
    </row>
    <row r="201" spans="2:13">
      <c r="B201" s="49">
        <f t="shared" si="30"/>
        <v>197</v>
      </c>
      <c r="C201" s="47">
        <v>6000</v>
      </c>
      <c r="D201" s="47">
        <v>17.32</v>
      </c>
      <c r="E201" s="3">
        <f t="shared" si="28"/>
        <v>12.920719999999999</v>
      </c>
      <c r="F201" s="4">
        <f t="shared" si="27"/>
        <v>20.563964563063138</v>
      </c>
      <c r="G201" s="51">
        <v>494.4</v>
      </c>
      <c r="H201" s="38">
        <f t="shared" si="29"/>
        <v>3.5890888888888885E-3</v>
      </c>
      <c r="I201" s="38">
        <f t="shared" si="31"/>
        <v>1.7744455466666664</v>
      </c>
      <c r="J201" s="38">
        <f t="shared" si="32"/>
        <v>1.7744455466666664</v>
      </c>
      <c r="K201" s="38">
        <f t="shared" si="33"/>
        <v>315.73383247394713</v>
      </c>
      <c r="L201" s="38">
        <f t="shared" si="34"/>
        <v>1.3751952986666665E-3</v>
      </c>
      <c r="M201" s="38">
        <f t="shared" si="35"/>
        <v>0.24469372016730973</v>
      </c>
    </row>
    <row r="202" spans="2:13">
      <c r="B202" s="49">
        <f t="shared" si="30"/>
        <v>198</v>
      </c>
      <c r="C202" s="47">
        <v>6000</v>
      </c>
      <c r="D202" s="47">
        <v>17.32</v>
      </c>
      <c r="E202" s="3">
        <f t="shared" si="28"/>
        <v>12.920719999999999</v>
      </c>
      <c r="F202" s="4">
        <f t="shared" si="27"/>
        <v>20.563964563063138</v>
      </c>
      <c r="G202" s="51">
        <v>494.4</v>
      </c>
      <c r="H202" s="38">
        <f t="shared" si="29"/>
        <v>3.5890888888888885E-3</v>
      </c>
      <c r="I202" s="38">
        <f t="shared" si="31"/>
        <v>1.7744455466666664</v>
      </c>
      <c r="J202" s="38">
        <f t="shared" si="32"/>
        <v>1.7744455466666664</v>
      </c>
      <c r="K202" s="38">
        <f t="shared" si="33"/>
        <v>317.50827802061377</v>
      </c>
      <c r="L202" s="38">
        <f t="shared" si="34"/>
        <v>1.3751952986666665E-3</v>
      </c>
      <c r="M202" s="38">
        <f t="shared" si="35"/>
        <v>0.2460689154659764</v>
      </c>
    </row>
    <row r="203" spans="2:13">
      <c r="B203" s="49">
        <f t="shared" si="30"/>
        <v>199</v>
      </c>
      <c r="C203" s="47">
        <v>6100</v>
      </c>
      <c r="D203" s="47">
        <v>17.37</v>
      </c>
      <c r="E203" s="3">
        <f t="shared" si="28"/>
        <v>12.958020000000001</v>
      </c>
      <c r="F203" s="4">
        <f t="shared" si="27"/>
        <v>20.285241990330903</v>
      </c>
      <c r="G203" s="51">
        <v>494.4</v>
      </c>
      <c r="H203" s="38">
        <f t="shared" si="29"/>
        <v>3.5994500000000001E-3</v>
      </c>
      <c r="I203" s="38">
        <f t="shared" si="31"/>
        <v>1.7795680800000002</v>
      </c>
      <c r="J203" s="38">
        <f t="shared" si="32"/>
        <v>1.77956808</v>
      </c>
      <c r="K203" s="38">
        <f t="shared" si="33"/>
        <v>319.28784610061376</v>
      </c>
      <c r="L203" s="38">
        <f t="shared" si="34"/>
        <v>1.3791652619999999E-3</v>
      </c>
      <c r="M203" s="38">
        <f t="shared" si="35"/>
        <v>0.24744808072797639</v>
      </c>
    </row>
    <row r="204" spans="2:13">
      <c r="B204" s="49">
        <f t="shared" si="30"/>
        <v>200</v>
      </c>
      <c r="C204" s="47">
        <v>6100</v>
      </c>
      <c r="D204" s="47">
        <v>17.37</v>
      </c>
      <c r="E204" s="3">
        <f t="shared" si="28"/>
        <v>12.958020000000001</v>
      </c>
      <c r="F204" s="4">
        <f t="shared" si="27"/>
        <v>20.285241990330903</v>
      </c>
      <c r="G204" s="51">
        <v>494.4</v>
      </c>
      <c r="H204" s="38">
        <f t="shared" si="29"/>
        <v>3.5994500000000001E-3</v>
      </c>
      <c r="I204" s="38">
        <f t="shared" si="31"/>
        <v>1.7795680800000002</v>
      </c>
      <c r="J204" s="38">
        <f t="shared" si="32"/>
        <v>1.77956808</v>
      </c>
      <c r="K204" s="38">
        <f t="shared" si="33"/>
        <v>321.06741418061375</v>
      </c>
      <c r="L204" s="38">
        <f t="shared" si="34"/>
        <v>1.3791652619999999E-3</v>
      </c>
      <c r="M204" s="38">
        <f t="shared" si="35"/>
        <v>0.24882724598997638</v>
      </c>
    </row>
    <row r="205" spans="2:13">
      <c r="B205" s="49">
        <f t="shared" si="30"/>
        <v>201</v>
      </c>
      <c r="C205" s="47">
        <v>6100</v>
      </c>
      <c r="D205" s="47">
        <v>17.37</v>
      </c>
      <c r="E205" s="3">
        <f t="shared" si="28"/>
        <v>12.958020000000001</v>
      </c>
      <c r="F205" s="4">
        <f t="shared" si="27"/>
        <v>20.285241990330903</v>
      </c>
      <c r="G205" s="51">
        <v>494.4</v>
      </c>
      <c r="H205" s="38">
        <f t="shared" si="29"/>
        <v>3.5994500000000001E-3</v>
      </c>
      <c r="I205" s="38">
        <f t="shared" si="31"/>
        <v>1.7795680800000002</v>
      </c>
      <c r="J205" s="38">
        <f t="shared" si="32"/>
        <v>1.77956808</v>
      </c>
      <c r="K205" s="38">
        <f t="shared" si="33"/>
        <v>322.84698226061374</v>
      </c>
      <c r="L205" s="38">
        <f t="shared" si="34"/>
        <v>1.3791652619999999E-3</v>
      </c>
      <c r="M205" s="38">
        <f t="shared" si="35"/>
        <v>0.2502064112519764</v>
      </c>
    </row>
    <row r="206" spans="2:13">
      <c r="B206" s="49">
        <f t="shared" si="30"/>
        <v>202</v>
      </c>
      <c r="C206" s="47">
        <v>6100</v>
      </c>
      <c r="D206" s="47">
        <v>17.37</v>
      </c>
      <c r="E206" s="3">
        <f t="shared" si="28"/>
        <v>12.958020000000001</v>
      </c>
      <c r="F206" s="4">
        <f t="shared" si="27"/>
        <v>20.285241990330903</v>
      </c>
      <c r="G206" s="51">
        <v>494.4</v>
      </c>
      <c r="H206" s="38">
        <f t="shared" si="29"/>
        <v>3.5994500000000001E-3</v>
      </c>
      <c r="I206" s="38">
        <f t="shared" si="31"/>
        <v>1.7795680800000002</v>
      </c>
      <c r="J206" s="38">
        <f t="shared" si="32"/>
        <v>1.77956808</v>
      </c>
      <c r="K206" s="38">
        <f t="shared" si="33"/>
        <v>324.62655034061373</v>
      </c>
      <c r="L206" s="38">
        <f t="shared" si="34"/>
        <v>1.3791652619999999E-3</v>
      </c>
      <c r="M206" s="38">
        <f t="shared" si="35"/>
        <v>0.25158557651397639</v>
      </c>
    </row>
    <row r="207" spans="2:13">
      <c r="B207" s="49">
        <f t="shared" si="30"/>
        <v>203</v>
      </c>
      <c r="C207" s="47">
        <v>6200</v>
      </c>
      <c r="D207" s="47">
        <v>17.440000000000001</v>
      </c>
      <c r="E207" s="3">
        <f t="shared" si="28"/>
        <v>13.010240000000001</v>
      </c>
      <c r="F207" s="4">
        <f t="shared" si="27"/>
        <v>20.038490388502264</v>
      </c>
      <c r="G207" s="51">
        <v>494.4</v>
      </c>
      <c r="H207" s="38">
        <f t="shared" si="29"/>
        <v>3.6139555555555558E-3</v>
      </c>
      <c r="I207" s="38">
        <f t="shared" si="31"/>
        <v>1.7867396266666669</v>
      </c>
      <c r="J207" s="38">
        <f t="shared" si="32"/>
        <v>1.7867396266666666</v>
      </c>
      <c r="K207" s="38">
        <f t="shared" si="33"/>
        <v>326.41328996728038</v>
      </c>
      <c r="L207" s="38">
        <f t="shared" si="34"/>
        <v>1.3847232106666667E-3</v>
      </c>
      <c r="M207" s="38">
        <f t="shared" si="35"/>
        <v>0.25297029972464308</v>
      </c>
    </row>
    <row r="208" spans="2:13">
      <c r="B208" s="49">
        <f t="shared" si="30"/>
        <v>204</v>
      </c>
      <c r="C208" s="47">
        <v>6200</v>
      </c>
      <c r="D208" s="47">
        <v>17.440000000000001</v>
      </c>
      <c r="E208" s="3">
        <f t="shared" si="28"/>
        <v>13.010240000000001</v>
      </c>
      <c r="F208" s="4">
        <f t="shared" si="27"/>
        <v>20.038490388502264</v>
      </c>
      <c r="G208" s="51">
        <v>494.4</v>
      </c>
      <c r="H208" s="38">
        <f t="shared" si="29"/>
        <v>3.6139555555555558E-3</v>
      </c>
      <c r="I208" s="38">
        <f t="shared" si="31"/>
        <v>1.7867396266666669</v>
      </c>
      <c r="J208" s="38">
        <f t="shared" si="32"/>
        <v>1.7867396266666666</v>
      </c>
      <c r="K208" s="38">
        <f t="shared" si="33"/>
        <v>328.20002959394702</v>
      </c>
      <c r="L208" s="38">
        <f t="shared" si="34"/>
        <v>1.3847232106666667E-3</v>
      </c>
      <c r="M208" s="38">
        <f t="shared" si="35"/>
        <v>0.25435502293530976</v>
      </c>
    </row>
    <row r="209" spans="2:13">
      <c r="B209" s="49">
        <f t="shared" si="30"/>
        <v>205</v>
      </c>
      <c r="C209" s="47">
        <v>6200</v>
      </c>
      <c r="D209" s="47">
        <v>17.440000000000001</v>
      </c>
      <c r="E209" s="3">
        <f t="shared" si="28"/>
        <v>13.010240000000001</v>
      </c>
      <c r="F209" s="4">
        <f t="shared" si="27"/>
        <v>20.038490388502264</v>
      </c>
      <c r="G209" s="51">
        <v>494.4</v>
      </c>
      <c r="H209" s="38">
        <f t="shared" si="29"/>
        <v>3.6139555555555558E-3</v>
      </c>
      <c r="I209" s="38">
        <f t="shared" si="31"/>
        <v>1.7867396266666669</v>
      </c>
      <c r="J209" s="38">
        <f t="shared" si="32"/>
        <v>1.7867396266666666</v>
      </c>
      <c r="K209" s="38">
        <f t="shared" si="33"/>
        <v>329.98676922061367</v>
      </c>
      <c r="L209" s="38">
        <f t="shared" si="34"/>
        <v>1.3847232106666667E-3</v>
      </c>
      <c r="M209" s="38">
        <f t="shared" si="35"/>
        <v>0.25573974614597644</v>
      </c>
    </row>
    <row r="210" spans="2:13">
      <c r="B210" s="49">
        <f t="shared" si="30"/>
        <v>206</v>
      </c>
      <c r="C210" s="47">
        <v>6200</v>
      </c>
      <c r="D210" s="47">
        <v>17.440000000000001</v>
      </c>
      <c r="E210" s="3">
        <f t="shared" si="28"/>
        <v>13.010240000000001</v>
      </c>
      <c r="F210" s="4">
        <f t="shared" si="27"/>
        <v>20.038490388502264</v>
      </c>
      <c r="G210" s="51">
        <v>494.4</v>
      </c>
      <c r="H210" s="38">
        <f t="shared" si="29"/>
        <v>3.6139555555555558E-3</v>
      </c>
      <c r="I210" s="38">
        <f t="shared" si="31"/>
        <v>1.7867396266666669</v>
      </c>
      <c r="J210" s="38">
        <f t="shared" si="32"/>
        <v>1.7867396266666666</v>
      </c>
      <c r="K210" s="38">
        <f t="shared" si="33"/>
        <v>331.77350884728031</v>
      </c>
      <c r="L210" s="38">
        <f t="shared" si="34"/>
        <v>1.3847232106666667E-3</v>
      </c>
      <c r="M210" s="38">
        <f t="shared" si="35"/>
        <v>0.25712446935664313</v>
      </c>
    </row>
    <row r="211" spans="2:13">
      <c r="B211" s="49">
        <f t="shared" si="30"/>
        <v>207</v>
      </c>
      <c r="C211" s="47">
        <v>6300</v>
      </c>
      <c r="D211" s="47">
        <v>17.5</v>
      </c>
      <c r="E211" s="3">
        <f t="shared" si="28"/>
        <v>13.055</v>
      </c>
      <c r="F211" s="4">
        <f t="shared" si="27"/>
        <v>19.788264591092322</v>
      </c>
      <c r="G211" s="51">
        <v>494.4</v>
      </c>
      <c r="H211" s="38">
        <f t="shared" si="29"/>
        <v>3.6263888888888886E-3</v>
      </c>
      <c r="I211" s="38">
        <f t="shared" si="31"/>
        <v>1.7928866666666665</v>
      </c>
      <c r="J211" s="38">
        <f t="shared" si="32"/>
        <v>1.7928866666666665</v>
      </c>
      <c r="K211" s="38">
        <f t="shared" si="33"/>
        <v>333.56639551394699</v>
      </c>
      <c r="L211" s="38">
        <f t="shared" si="34"/>
        <v>1.3894871666666666E-3</v>
      </c>
      <c r="M211" s="38">
        <f t="shared" si="35"/>
        <v>0.25851395652330977</v>
      </c>
    </row>
    <row r="212" spans="2:13">
      <c r="B212" s="49">
        <f t="shared" si="30"/>
        <v>208</v>
      </c>
      <c r="C212" s="47">
        <v>6300</v>
      </c>
      <c r="D212" s="47">
        <v>17.5</v>
      </c>
      <c r="E212" s="3">
        <f t="shared" si="28"/>
        <v>13.055</v>
      </c>
      <c r="F212" s="4">
        <f t="shared" si="27"/>
        <v>19.788264591092322</v>
      </c>
      <c r="G212" s="51">
        <v>494.4</v>
      </c>
      <c r="H212" s="38">
        <f t="shared" si="29"/>
        <v>3.6263888888888886E-3</v>
      </c>
      <c r="I212" s="38">
        <f t="shared" si="31"/>
        <v>1.7928866666666665</v>
      </c>
      <c r="J212" s="38">
        <f t="shared" si="32"/>
        <v>1.7928866666666665</v>
      </c>
      <c r="K212" s="38">
        <f t="shared" si="33"/>
        <v>335.35928218061366</v>
      </c>
      <c r="L212" s="38">
        <f t="shared" si="34"/>
        <v>1.3894871666666666E-3</v>
      </c>
      <c r="M212" s="38">
        <f t="shared" si="35"/>
        <v>0.25990344368997642</v>
      </c>
    </row>
    <row r="213" spans="2:13">
      <c r="B213" s="49">
        <f t="shared" si="30"/>
        <v>209</v>
      </c>
      <c r="C213" s="47">
        <v>6300</v>
      </c>
      <c r="D213" s="47">
        <v>17.5</v>
      </c>
      <c r="E213" s="3">
        <f t="shared" si="28"/>
        <v>13.055</v>
      </c>
      <c r="F213" s="4">
        <f t="shared" si="27"/>
        <v>19.788264591092322</v>
      </c>
      <c r="G213" s="51">
        <v>494.4</v>
      </c>
      <c r="H213" s="38">
        <f t="shared" si="29"/>
        <v>3.6263888888888886E-3</v>
      </c>
      <c r="I213" s="38">
        <f t="shared" si="31"/>
        <v>1.7928866666666665</v>
      </c>
      <c r="J213" s="38">
        <f t="shared" si="32"/>
        <v>1.7928866666666665</v>
      </c>
      <c r="K213" s="38">
        <f t="shared" si="33"/>
        <v>337.15216884728034</v>
      </c>
      <c r="L213" s="38">
        <f t="shared" si="34"/>
        <v>1.3894871666666666E-3</v>
      </c>
      <c r="M213" s="38">
        <f t="shared" si="35"/>
        <v>0.26129293085664307</v>
      </c>
    </row>
    <row r="214" spans="2:13">
      <c r="B214" s="49">
        <f t="shared" si="30"/>
        <v>210</v>
      </c>
      <c r="C214" s="47">
        <v>6300</v>
      </c>
      <c r="D214" s="47">
        <v>17.5</v>
      </c>
      <c r="E214" s="3">
        <f t="shared" si="28"/>
        <v>13.055</v>
      </c>
      <c r="F214" s="4">
        <f t="shared" si="27"/>
        <v>19.788264591092322</v>
      </c>
      <c r="G214" s="51">
        <v>494.4</v>
      </c>
      <c r="H214" s="38">
        <f t="shared" si="29"/>
        <v>3.6263888888888886E-3</v>
      </c>
      <c r="I214" s="38">
        <f t="shared" si="31"/>
        <v>1.7928866666666665</v>
      </c>
      <c r="J214" s="38">
        <f t="shared" si="32"/>
        <v>1.7928866666666665</v>
      </c>
      <c r="K214" s="38">
        <f t="shared" si="33"/>
        <v>338.94505551394701</v>
      </c>
      <c r="L214" s="38">
        <f t="shared" si="34"/>
        <v>1.3894871666666666E-3</v>
      </c>
      <c r="M214" s="38">
        <f t="shared" si="35"/>
        <v>0.26268241802330972</v>
      </c>
    </row>
    <row r="215" spans="2:13">
      <c r="B215" s="48">
        <f t="shared" si="30"/>
        <v>211</v>
      </c>
      <c r="C215" s="47">
        <v>6400</v>
      </c>
      <c r="D215" s="47">
        <v>17.8</v>
      </c>
      <c r="E215" s="3">
        <f t="shared" si="28"/>
        <v>13.2788</v>
      </c>
      <c r="F215" s="4">
        <f t="shared" si="27"/>
        <v>19.812999921831189</v>
      </c>
      <c r="G215" s="51">
        <v>504.47</v>
      </c>
      <c r="H215" s="38">
        <f t="shared" si="29"/>
        <v>3.6885555555555556E-3</v>
      </c>
      <c r="I215" s="38">
        <f t="shared" si="31"/>
        <v>1.8607656211111112</v>
      </c>
      <c r="J215" s="38">
        <f t="shared" si="32"/>
        <v>1.8607656211111112</v>
      </c>
      <c r="K215" s="38">
        <f t="shared" si="33"/>
        <v>340.80582113505812</v>
      </c>
      <c r="L215" s="38">
        <f t="shared" si="34"/>
        <v>1.4420933563611112E-3</v>
      </c>
      <c r="M215" s="38">
        <f t="shared" si="35"/>
        <v>0.2641245113796708</v>
      </c>
    </row>
    <row r="216" spans="2:13">
      <c r="B216" s="48">
        <f t="shared" si="30"/>
        <v>212</v>
      </c>
      <c r="C216" s="47">
        <v>6400</v>
      </c>
      <c r="D216" s="47">
        <v>17.8</v>
      </c>
      <c r="E216" s="3">
        <f t="shared" si="28"/>
        <v>13.2788</v>
      </c>
      <c r="F216" s="4">
        <f t="shared" si="27"/>
        <v>19.812999921831189</v>
      </c>
      <c r="G216" s="51">
        <v>504.47</v>
      </c>
      <c r="H216" s="38">
        <f t="shared" si="29"/>
        <v>3.6885555555555556E-3</v>
      </c>
      <c r="I216" s="38">
        <f t="shared" si="31"/>
        <v>1.8607656211111112</v>
      </c>
      <c r="J216" s="38">
        <f t="shared" si="32"/>
        <v>1.8607656211111112</v>
      </c>
      <c r="K216" s="38">
        <f t="shared" si="33"/>
        <v>342.66658675616924</v>
      </c>
      <c r="L216" s="38">
        <f t="shared" si="34"/>
        <v>1.4420933563611112E-3</v>
      </c>
      <c r="M216" s="38">
        <f t="shared" si="35"/>
        <v>0.26556660473603189</v>
      </c>
    </row>
    <row r="217" spans="2:13">
      <c r="B217" s="48">
        <f t="shared" si="30"/>
        <v>213</v>
      </c>
      <c r="C217" s="47">
        <v>6400</v>
      </c>
      <c r="D217" s="47">
        <v>17.8</v>
      </c>
      <c r="E217" s="3">
        <f t="shared" si="28"/>
        <v>13.2788</v>
      </c>
      <c r="F217" s="4">
        <f t="shared" si="27"/>
        <v>19.812999921831189</v>
      </c>
      <c r="G217" s="51">
        <v>504.47</v>
      </c>
      <c r="H217" s="38">
        <f t="shared" si="29"/>
        <v>3.6885555555555556E-3</v>
      </c>
      <c r="I217" s="38">
        <f t="shared" si="31"/>
        <v>1.8607656211111112</v>
      </c>
      <c r="J217" s="38">
        <f t="shared" si="32"/>
        <v>1.8607656211111112</v>
      </c>
      <c r="K217" s="38">
        <f t="shared" si="33"/>
        <v>344.52735237728035</v>
      </c>
      <c r="L217" s="38">
        <f t="shared" si="34"/>
        <v>1.4420933563611112E-3</v>
      </c>
      <c r="M217" s="38">
        <f t="shared" si="35"/>
        <v>0.26700869809239297</v>
      </c>
    </row>
    <row r="218" spans="2:13">
      <c r="B218" s="48">
        <f t="shared" si="30"/>
        <v>214</v>
      </c>
      <c r="C218" s="47">
        <v>6500</v>
      </c>
      <c r="D218" s="47">
        <v>17.8</v>
      </c>
      <c r="E218" s="3">
        <f t="shared" si="28"/>
        <v>13.2788</v>
      </c>
      <c r="F218" s="4">
        <f t="shared" si="27"/>
        <v>19.508184538418401</v>
      </c>
      <c r="G218" s="51">
        <v>470.5</v>
      </c>
      <c r="H218" s="38">
        <f t="shared" si="29"/>
        <v>3.6885555555555556E-3</v>
      </c>
      <c r="I218" s="38">
        <f t="shared" si="31"/>
        <v>1.7354653888888889</v>
      </c>
      <c r="J218" s="38">
        <f t="shared" si="32"/>
        <v>1.7354653888888889</v>
      </c>
      <c r="K218" s="38">
        <f t="shared" si="33"/>
        <v>346.26281776616923</v>
      </c>
      <c r="L218" s="38">
        <f t="shared" si="34"/>
        <v>1.3449856763888888E-3</v>
      </c>
      <c r="M218" s="38">
        <f t="shared" si="35"/>
        <v>0.26835368376878188</v>
      </c>
    </row>
    <row r="219" spans="2:13">
      <c r="B219" s="48">
        <f t="shared" si="30"/>
        <v>215</v>
      </c>
      <c r="C219" s="47">
        <v>6500</v>
      </c>
      <c r="D219" s="47">
        <v>17.8</v>
      </c>
      <c r="E219" s="3">
        <f t="shared" si="28"/>
        <v>13.2788</v>
      </c>
      <c r="F219" s="4">
        <f t="shared" si="27"/>
        <v>19.508184538418401</v>
      </c>
      <c r="G219" s="51">
        <v>470.5</v>
      </c>
      <c r="H219" s="38">
        <f t="shared" si="29"/>
        <v>3.6885555555555556E-3</v>
      </c>
      <c r="I219" s="38">
        <f t="shared" si="31"/>
        <v>1.7354653888888889</v>
      </c>
      <c r="J219" s="38">
        <f t="shared" si="32"/>
        <v>1.7354653888888889</v>
      </c>
      <c r="K219" s="38">
        <f t="shared" si="33"/>
        <v>347.99828315505812</v>
      </c>
      <c r="L219" s="38">
        <f t="shared" si="34"/>
        <v>1.3449856763888888E-3</v>
      </c>
      <c r="M219" s="38">
        <f t="shared" si="35"/>
        <v>0.26969866944517079</v>
      </c>
    </row>
    <row r="220" spans="2:13">
      <c r="B220" s="48">
        <f t="shared" si="30"/>
        <v>216</v>
      </c>
      <c r="C220" s="47">
        <v>6500</v>
      </c>
      <c r="D220" s="47">
        <v>17.8</v>
      </c>
      <c r="E220" s="3">
        <f t="shared" si="28"/>
        <v>13.2788</v>
      </c>
      <c r="F220" s="4">
        <f t="shared" si="27"/>
        <v>19.508184538418401</v>
      </c>
      <c r="G220" s="51">
        <v>470.5</v>
      </c>
      <c r="H220" s="38">
        <f t="shared" si="29"/>
        <v>3.6885555555555556E-3</v>
      </c>
      <c r="I220" s="38">
        <f t="shared" si="31"/>
        <v>1.7354653888888889</v>
      </c>
      <c r="J220" s="38">
        <f t="shared" si="32"/>
        <v>1.7354653888888889</v>
      </c>
      <c r="K220" s="38">
        <f t="shared" si="33"/>
        <v>349.733748543947</v>
      </c>
      <c r="L220" s="38">
        <f t="shared" si="34"/>
        <v>1.3449856763888888E-3</v>
      </c>
      <c r="M220" s="38">
        <f t="shared" si="35"/>
        <v>0.2710436551215597</v>
      </c>
    </row>
    <row r="221" spans="2:13">
      <c r="B221" s="48">
        <f t="shared" si="30"/>
        <v>217</v>
      </c>
      <c r="C221" s="47">
        <v>6500</v>
      </c>
      <c r="D221" s="47">
        <v>17.8</v>
      </c>
      <c r="E221" s="3">
        <f t="shared" si="28"/>
        <v>13.2788</v>
      </c>
      <c r="F221" s="4">
        <f t="shared" si="27"/>
        <v>19.508184538418401</v>
      </c>
      <c r="G221" s="51">
        <v>470.5</v>
      </c>
      <c r="H221" s="38">
        <f t="shared" si="29"/>
        <v>3.6885555555555556E-3</v>
      </c>
      <c r="I221" s="38">
        <f t="shared" si="31"/>
        <v>1.7354653888888889</v>
      </c>
      <c r="J221" s="38">
        <f t="shared" si="32"/>
        <v>1.7354653888888889</v>
      </c>
      <c r="K221" s="38">
        <f t="shared" si="33"/>
        <v>351.46921393283588</v>
      </c>
      <c r="L221" s="38">
        <f t="shared" si="34"/>
        <v>1.3449856763888888E-3</v>
      </c>
      <c r="M221" s="38">
        <f t="shared" si="35"/>
        <v>0.27238864079794861</v>
      </c>
    </row>
    <row r="222" spans="2:13">
      <c r="B222" s="48">
        <f t="shared" si="30"/>
        <v>218</v>
      </c>
      <c r="C222" s="47">
        <v>6500</v>
      </c>
      <c r="D222" s="47">
        <v>17.8</v>
      </c>
      <c r="E222" s="3">
        <f t="shared" si="28"/>
        <v>13.2788</v>
      </c>
      <c r="F222" s="4">
        <f t="shared" si="27"/>
        <v>19.508184538418401</v>
      </c>
      <c r="G222" s="51">
        <v>470.5</v>
      </c>
      <c r="H222" s="38">
        <f t="shared" si="29"/>
        <v>3.6885555555555556E-3</v>
      </c>
      <c r="I222" s="38">
        <f t="shared" si="31"/>
        <v>1.7354653888888889</v>
      </c>
      <c r="J222" s="38">
        <f t="shared" si="32"/>
        <v>1.7354653888888889</v>
      </c>
      <c r="K222" s="38">
        <f t="shared" si="33"/>
        <v>353.20467932172477</v>
      </c>
      <c r="L222" s="38">
        <f t="shared" si="34"/>
        <v>1.3449856763888888E-3</v>
      </c>
      <c r="M222" s="38">
        <f t="shared" si="35"/>
        <v>0.27373362647433752</v>
      </c>
    </row>
    <row r="223" spans="2:13">
      <c r="B223" s="48">
        <f t="shared" si="30"/>
        <v>219</v>
      </c>
      <c r="C223" s="47">
        <v>6500</v>
      </c>
      <c r="D223" s="47">
        <v>17.8</v>
      </c>
      <c r="E223" s="3">
        <f t="shared" si="28"/>
        <v>13.2788</v>
      </c>
      <c r="F223" s="4">
        <f t="shared" si="27"/>
        <v>19.508184538418401</v>
      </c>
      <c r="G223" s="51">
        <v>470.5</v>
      </c>
      <c r="H223" s="38">
        <f t="shared" si="29"/>
        <v>3.6885555555555556E-3</v>
      </c>
      <c r="I223" s="38">
        <f t="shared" si="31"/>
        <v>1.7354653888888889</v>
      </c>
      <c r="J223" s="38">
        <f t="shared" si="32"/>
        <v>1.7354653888888889</v>
      </c>
      <c r="K223" s="38">
        <f t="shared" si="33"/>
        <v>354.94014471061365</v>
      </c>
      <c r="L223" s="38">
        <f t="shared" si="34"/>
        <v>1.3449856763888888E-3</v>
      </c>
      <c r="M223" s="38">
        <f t="shared" si="35"/>
        <v>0.27507861215072643</v>
      </c>
    </row>
    <row r="224" spans="2:13">
      <c r="B224" s="48">
        <f t="shared" si="30"/>
        <v>220</v>
      </c>
      <c r="C224" s="47">
        <v>6500</v>
      </c>
      <c r="D224" s="47">
        <v>17.8</v>
      </c>
      <c r="E224" s="3">
        <f t="shared" si="28"/>
        <v>13.2788</v>
      </c>
      <c r="F224" s="4">
        <f t="shared" si="27"/>
        <v>19.508184538418401</v>
      </c>
      <c r="G224" s="51">
        <v>470.5</v>
      </c>
      <c r="H224" s="38">
        <f t="shared" si="29"/>
        <v>3.6885555555555556E-3</v>
      </c>
      <c r="I224" s="38">
        <f t="shared" si="31"/>
        <v>1.7354653888888889</v>
      </c>
      <c r="J224" s="38">
        <f t="shared" si="32"/>
        <v>1.7354653888888889</v>
      </c>
      <c r="K224" s="38">
        <f t="shared" si="33"/>
        <v>356.67561009950253</v>
      </c>
      <c r="L224" s="38">
        <f t="shared" si="34"/>
        <v>1.3449856763888888E-3</v>
      </c>
      <c r="M224" s="38">
        <f t="shared" si="35"/>
        <v>0.27642359782711534</v>
      </c>
    </row>
    <row r="225" spans="2:13">
      <c r="B225" s="48">
        <f t="shared" si="30"/>
        <v>221</v>
      </c>
      <c r="C225" s="47">
        <v>6500</v>
      </c>
      <c r="D225" s="47">
        <v>17.8</v>
      </c>
      <c r="E225" s="3">
        <f t="shared" si="28"/>
        <v>13.2788</v>
      </c>
      <c r="F225" s="4">
        <f t="shared" si="27"/>
        <v>19.508184538418401</v>
      </c>
      <c r="G225" s="51">
        <v>470.5</v>
      </c>
      <c r="H225" s="38">
        <f t="shared" si="29"/>
        <v>3.6885555555555556E-3</v>
      </c>
      <c r="I225" s="38">
        <f t="shared" si="31"/>
        <v>1.7354653888888889</v>
      </c>
      <c r="J225" s="38">
        <f t="shared" si="32"/>
        <v>1.7354653888888889</v>
      </c>
      <c r="K225" s="38">
        <f t="shared" si="33"/>
        <v>358.41107548839142</v>
      </c>
      <c r="L225" s="38">
        <f t="shared" si="34"/>
        <v>1.3449856763888888E-3</v>
      </c>
      <c r="M225" s="38">
        <f t="shared" si="35"/>
        <v>0.27776858350350425</v>
      </c>
    </row>
    <row r="226" spans="2:13">
      <c r="B226" s="48">
        <f t="shared" si="30"/>
        <v>222</v>
      </c>
      <c r="C226" s="47">
        <v>6500</v>
      </c>
      <c r="D226" s="47">
        <v>17.8</v>
      </c>
      <c r="E226" s="3">
        <f t="shared" si="28"/>
        <v>13.2788</v>
      </c>
      <c r="F226" s="4">
        <f t="shared" si="27"/>
        <v>19.508184538418401</v>
      </c>
      <c r="G226" s="51">
        <v>470.5</v>
      </c>
      <c r="H226" s="38">
        <f t="shared" si="29"/>
        <v>3.6885555555555556E-3</v>
      </c>
      <c r="I226" s="38">
        <f t="shared" si="31"/>
        <v>1.7354653888888889</v>
      </c>
      <c r="J226" s="38">
        <f t="shared" si="32"/>
        <v>1.7354653888888889</v>
      </c>
      <c r="K226" s="38">
        <f t="shared" si="33"/>
        <v>360.1465408772803</v>
      </c>
      <c r="L226" s="38">
        <f t="shared" si="34"/>
        <v>1.3449856763888888E-3</v>
      </c>
      <c r="M226" s="38">
        <f t="shared" si="35"/>
        <v>0.27911356917989316</v>
      </c>
    </row>
    <row r="227" spans="2:13">
      <c r="B227" s="48">
        <f t="shared" si="30"/>
        <v>223</v>
      </c>
      <c r="C227" s="47">
        <v>6500</v>
      </c>
      <c r="D227" s="47">
        <v>17.8</v>
      </c>
      <c r="E227" s="3">
        <f t="shared" si="28"/>
        <v>13.2788</v>
      </c>
      <c r="F227" s="4">
        <f t="shared" si="27"/>
        <v>19.508184538418401</v>
      </c>
      <c r="G227" s="51">
        <v>470.5</v>
      </c>
      <c r="H227" s="38">
        <f t="shared" si="29"/>
        <v>3.6885555555555556E-3</v>
      </c>
      <c r="I227" s="38">
        <f t="shared" si="31"/>
        <v>1.7354653888888889</v>
      </c>
      <c r="J227" s="38">
        <f t="shared" si="32"/>
        <v>1.7354653888888889</v>
      </c>
      <c r="K227" s="38">
        <f t="shared" si="33"/>
        <v>361.88200626616918</v>
      </c>
      <c r="L227" s="38">
        <f t="shared" si="34"/>
        <v>1.3449856763888888E-3</v>
      </c>
      <c r="M227" s="38">
        <f t="shared" si="35"/>
        <v>0.28045855485628207</v>
      </c>
    </row>
    <row r="228" spans="2:13">
      <c r="B228" s="48">
        <f t="shared" si="30"/>
        <v>224</v>
      </c>
      <c r="C228" s="47">
        <v>6500</v>
      </c>
      <c r="D228" s="47">
        <v>17.8</v>
      </c>
      <c r="E228" s="3">
        <f t="shared" si="28"/>
        <v>13.2788</v>
      </c>
      <c r="F228" s="4">
        <f t="shared" si="27"/>
        <v>19.508184538418401</v>
      </c>
      <c r="G228" s="51">
        <v>443.8</v>
      </c>
      <c r="H228" s="38">
        <f t="shared" si="29"/>
        <v>3.6885555555555556E-3</v>
      </c>
      <c r="I228" s="38">
        <f t="shared" si="31"/>
        <v>1.6369809555555557</v>
      </c>
      <c r="J228" s="38">
        <f t="shared" si="32"/>
        <v>1.6369809555555557</v>
      </c>
      <c r="K228" s="38">
        <f t="shared" si="33"/>
        <v>363.51898722172473</v>
      </c>
      <c r="L228" s="38">
        <f t="shared" si="34"/>
        <v>1.2686602405555555E-3</v>
      </c>
      <c r="M228" s="38">
        <f t="shared" si="35"/>
        <v>0.28172721509683762</v>
      </c>
    </row>
    <row r="229" spans="2:13">
      <c r="B229" s="48">
        <f t="shared" si="30"/>
        <v>225</v>
      </c>
      <c r="C229" s="47">
        <v>6500</v>
      </c>
      <c r="D229" s="47">
        <v>17.8</v>
      </c>
      <c r="E229" s="3">
        <f t="shared" si="28"/>
        <v>13.2788</v>
      </c>
      <c r="F229" s="4">
        <f t="shared" si="27"/>
        <v>19.508184538418401</v>
      </c>
      <c r="G229" s="51">
        <v>443.8</v>
      </c>
      <c r="H229" s="38">
        <f t="shared" si="29"/>
        <v>3.6885555555555556E-3</v>
      </c>
      <c r="I229" s="38">
        <f t="shared" si="31"/>
        <v>1.6369809555555557</v>
      </c>
      <c r="J229" s="38">
        <f t="shared" si="32"/>
        <v>1.6369809555555557</v>
      </c>
      <c r="K229" s="38">
        <f t="shared" si="33"/>
        <v>365.15596817728027</v>
      </c>
      <c r="L229" s="38">
        <f t="shared" si="34"/>
        <v>1.2686602405555555E-3</v>
      </c>
      <c r="M229" s="38">
        <f t="shared" si="35"/>
        <v>0.28299587533739318</v>
      </c>
    </row>
    <row r="230" spans="2:13">
      <c r="B230" s="48">
        <f t="shared" si="30"/>
        <v>226</v>
      </c>
      <c r="C230" s="47">
        <v>6500</v>
      </c>
      <c r="D230" s="47">
        <v>17.8</v>
      </c>
      <c r="E230" s="3">
        <f t="shared" si="28"/>
        <v>13.2788</v>
      </c>
      <c r="F230" s="4">
        <f t="shared" si="27"/>
        <v>19.508184538418401</v>
      </c>
      <c r="G230" s="51">
        <v>443.8</v>
      </c>
      <c r="H230" s="38">
        <f t="shared" si="29"/>
        <v>3.6885555555555556E-3</v>
      </c>
      <c r="I230" s="38">
        <f t="shared" si="31"/>
        <v>1.6369809555555557</v>
      </c>
      <c r="J230" s="38">
        <f t="shared" si="32"/>
        <v>1.6369809555555557</v>
      </c>
      <c r="K230" s="38">
        <f t="shared" si="33"/>
        <v>366.79294913283582</v>
      </c>
      <c r="L230" s="38">
        <f t="shared" si="34"/>
        <v>1.2686602405555555E-3</v>
      </c>
      <c r="M230" s="38">
        <f t="shared" si="35"/>
        <v>0.28426453557794873</v>
      </c>
    </row>
    <row r="231" spans="2:13">
      <c r="B231" s="48">
        <f t="shared" si="30"/>
        <v>227</v>
      </c>
      <c r="C231" s="47">
        <v>7000</v>
      </c>
      <c r="D231" s="47">
        <v>12.45</v>
      </c>
      <c r="E231" s="3">
        <f t="shared" si="28"/>
        <v>9.2876999999999992</v>
      </c>
      <c r="F231" s="4">
        <f t="shared" si="27"/>
        <v>12.670143128182255</v>
      </c>
      <c r="G231" s="51">
        <v>443.8</v>
      </c>
      <c r="H231" s="38">
        <f t="shared" si="29"/>
        <v>2.5799166666666666E-3</v>
      </c>
      <c r="I231" s="38">
        <f t="shared" si="31"/>
        <v>1.1449670166666668</v>
      </c>
      <c r="J231" s="38">
        <f t="shared" si="32"/>
        <v>1.1449670166666666</v>
      </c>
      <c r="K231" s="38">
        <f t="shared" si="33"/>
        <v>367.93791614950248</v>
      </c>
      <c r="L231" s="38">
        <f t="shared" si="34"/>
        <v>8.8734943791666653E-4</v>
      </c>
      <c r="M231" s="38">
        <f t="shared" si="35"/>
        <v>0.28515188501586541</v>
      </c>
    </row>
    <row r="232" spans="2:13">
      <c r="B232" s="48">
        <f t="shared" si="30"/>
        <v>228</v>
      </c>
      <c r="C232" s="47">
        <v>7000</v>
      </c>
      <c r="D232" s="47">
        <v>12.45</v>
      </c>
      <c r="E232" s="3">
        <f t="shared" si="28"/>
        <v>9.2876999999999992</v>
      </c>
      <c r="F232" s="4">
        <f t="shared" si="27"/>
        <v>12.670143128182255</v>
      </c>
      <c r="G232" s="51">
        <v>443.8</v>
      </c>
      <c r="H232" s="38">
        <f t="shared" si="29"/>
        <v>2.5799166666666666E-3</v>
      </c>
      <c r="I232" s="38">
        <f t="shared" si="31"/>
        <v>1.1449670166666668</v>
      </c>
      <c r="J232" s="38">
        <f t="shared" si="32"/>
        <v>1.1449670166666666</v>
      </c>
      <c r="K232" s="38">
        <f t="shared" si="33"/>
        <v>369.08288316616915</v>
      </c>
      <c r="L232" s="38">
        <f t="shared" si="34"/>
        <v>8.8734943791666653E-4</v>
      </c>
      <c r="M232" s="38">
        <f t="shared" si="35"/>
        <v>0.2860392344537821</v>
      </c>
    </row>
    <row r="233" spans="2:13">
      <c r="B233" s="48">
        <f t="shared" si="30"/>
        <v>229</v>
      </c>
      <c r="C233" s="47">
        <v>7000</v>
      </c>
      <c r="D233" s="47">
        <v>12.45</v>
      </c>
      <c r="E233" s="3">
        <f t="shared" si="28"/>
        <v>9.2876999999999992</v>
      </c>
      <c r="F233" s="4">
        <f t="shared" si="27"/>
        <v>12.670143128182255</v>
      </c>
      <c r="G233" s="51">
        <v>443.8</v>
      </c>
      <c r="H233" s="38">
        <f t="shared" si="29"/>
        <v>2.5799166666666666E-3</v>
      </c>
      <c r="I233" s="38">
        <f t="shared" si="31"/>
        <v>1.1449670166666668</v>
      </c>
      <c r="J233" s="38">
        <f t="shared" si="32"/>
        <v>1.1449670166666666</v>
      </c>
      <c r="K233" s="38">
        <f t="shared" si="33"/>
        <v>370.22785018283582</v>
      </c>
      <c r="L233" s="38">
        <f t="shared" si="34"/>
        <v>8.8734943791666653E-4</v>
      </c>
      <c r="M233" s="38">
        <f t="shared" si="35"/>
        <v>0.28692658389169878</v>
      </c>
    </row>
    <row r="234" spans="2:13">
      <c r="B234" s="48">
        <f t="shared" si="30"/>
        <v>230</v>
      </c>
      <c r="C234" s="47">
        <v>7000</v>
      </c>
      <c r="D234" s="47">
        <v>12.45</v>
      </c>
      <c r="E234" s="3">
        <f t="shared" si="28"/>
        <v>9.2876999999999992</v>
      </c>
      <c r="F234" s="4">
        <f t="shared" si="27"/>
        <v>12.670143128182255</v>
      </c>
      <c r="G234" s="51">
        <v>443.8</v>
      </c>
      <c r="H234" s="38">
        <f t="shared" si="29"/>
        <v>2.5799166666666666E-3</v>
      </c>
      <c r="I234" s="38">
        <f t="shared" si="31"/>
        <v>1.1449670166666668</v>
      </c>
      <c r="J234" s="38">
        <f t="shared" si="32"/>
        <v>1.1449670166666666</v>
      </c>
      <c r="K234" s="38">
        <f t="shared" si="33"/>
        <v>371.37281719950249</v>
      </c>
      <c r="L234" s="38">
        <f t="shared" si="34"/>
        <v>8.8734943791666653E-4</v>
      </c>
      <c r="M234" s="38">
        <f t="shared" si="35"/>
        <v>0.28781393332961547</v>
      </c>
    </row>
    <row r="235" spans="2:13">
      <c r="B235" s="48">
        <f t="shared" si="30"/>
        <v>231</v>
      </c>
      <c r="C235" s="47">
        <v>7000</v>
      </c>
      <c r="D235" s="47">
        <v>12.45</v>
      </c>
      <c r="E235" s="3">
        <f t="shared" si="28"/>
        <v>9.2876999999999992</v>
      </c>
      <c r="F235" s="4">
        <f t="shared" si="27"/>
        <v>12.670143128182255</v>
      </c>
      <c r="G235" s="51">
        <v>443.8</v>
      </c>
      <c r="H235" s="38">
        <f t="shared" si="29"/>
        <v>2.5799166666666666E-3</v>
      </c>
      <c r="I235" s="38">
        <f t="shared" si="31"/>
        <v>1.1449670166666668</v>
      </c>
      <c r="J235" s="38">
        <f t="shared" si="32"/>
        <v>1.1449670166666666</v>
      </c>
      <c r="K235" s="38">
        <f t="shared" si="33"/>
        <v>372.51778421616916</v>
      </c>
      <c r="L235" s="38">
        <f t="shared" si="34"/>
        <v>8.8734943791666653E-4</v>
      </c>
      <c r="M235" s="38">
        <f t="shared" si="35"/>
        <v>0.28870128276753215</v>
      </c>
    </row>
    <row r="236" spans="2:13">
      <c r="B236" s="48">
        <f t="shared" si="30"/>
        <v>232</v>
      </c>
      <c r="C236" s="47">
        <v>7000</v>
      </c>
      <c r="D236" s="47">
        <v>12.45</v>
      </c>
      <c r="E236" s="3">
        <f t="shared" si="28"/>
        <v>9.2876999999999992</v>
      </c>
      <c r="F236" s="4">
        <f t="shared" si="27"/>
        <v>12.670143128182255</v>
      </c>
      <c r="G236" s="51">
        <v>443.8</v>
      </c>
      <c r="H236" s="38">
        <f t="shared" si="29"/>
        <v>2.5799166666666666E-3</v>
      </c>
      <c r="I236" s="38">
        <f t="shared" si="31"/>
        <v>1.1449670166666668</v>
      </c>
      <c r="J236" s="38">
        <f t="shared" si="32"/>
        <v>1.1449670166666666</v>
      </c>
      <c r="K236" s="38">
        <f t="shared" si="33"/>
        <v>373.66275123283583</v>
      </c>
      <c r="L236" s="38">
        <f t="shared" si="34"/>
        <v>8.8734943791666653E-4</v>
      </c>
      <c r="M236" s="38">
        <f t="shared" si="35"/>
        <v>0.28958863220544884</v>
      </c>
    </row>
    <row r="237" spans="2:13">
      <c r="B237" s="48">
        <f t="shared" si="30"/>
        <v>233</v>
      </c>
      <c r="C237" s="47">
        <v>6900</v>
      </c>
      <c r="D237" s="47">
        <v>12.97</v>
      </c>
      <c r="E237" s="3">
        <f t="shared" si="28"/>
        <v>9.6756200000000003</v>
      </c>
      <c r="F237" s="4">
        <f t="shared" si="27"/>
        <v>13.390632612859168</v>
      </c>
      <c r="G237" s="51">
        <v>443.8</v>
      </c>
      <c r="H237" s="38">
        <f t="shared" si="29"/>
        <v>2.6876722222222223E-3</v>
      </c>
      <c r="I237" s="38">
        <f t="shared" si="31"/>
        <v>1.1927889322222223</v>
      </c>
      <c r="J237" s="38">
        <f t="shared" si="32"/>
        <v>1.1927889322222223</v>
      </c>
      <c r="K237" s="38">
        <f t="shared" si="33"/>
        <v>374.85554016505807</v>
      </c>
      <c r="L237" s="38">
        <f t="shared" si="34"/>
        <v>9.2441142247222234E-4</v>
      </c>
      <c r="M237" s="38">
        <f t="shared" si="35"/>
        <v>0.29051304362792107</v>
      </c>
    </row>
    <row r="238" spans="2:13">
      <c r="B238" s="48">
        <f t="shared" si="30"/>
        <v>234</v>
      </c>
      <c r="C238" s="47">
        <v>6900</v>
      </c>
      <c r="D238" s="47">
        <v>12.97</v>
      </c>
      <c r="E238" s="3">
        <f t="shared" si="28"/>
        <v>9.6756200000000003</v>
      </c>
      <c r="F238" s="4">
        <f t="shared" si="27"/>
        <v>13.390632612859168</v>
      </c>
      <c r="G238" s="51">
        <v>443.8</v>
      </c>
      <c r="H238" s="38">
        <f t="shared" si="29"/>
        <v>2.6876722222222223E-3</v>
      </c>
      <c r="I238" s="38">
        <f t="shared" si="31"/>
        <v>1.1927889322222223</v>
      </c>
      <c r="J238" s="38">
        <f t="shared" si="32"/>
        <v>1.1927889322222223</v>
      </c>
      <c r="K238" s="38">
        <f t="shared" si="33"/>
        <v>376.04832909728032</v>
      </c>
      <c r="L238" s="38">
        <f t="shared" si="34"/>
        <v>9.2441142247222234E-4</v>
      </c>
      <c r="M238" s="38">
        <f t="shared" si="35"/>
        <v>0.29143745505039331</v>
      </c>
    </row>
    <row r="239" spans="2:13">
      <c r="B239" s="48">
        <f t="shared" si="30"/>
        <v>235</v>
      </c>
      <c r="C239" s="47">
        <v>6900</v>
      </c>
      <c r="D239" s="47">
        <v>12.97</v>
      </c>
      <c r="E239" s="3">
        <f t="shared" si="28"/>
        <v>9.6756200000000003</v>
      </c>
      <c r="F239" s="4">
        <f t="shared" si="27"/>
        <v>13.390632612859168</v>
      </c>
      <c r="G239" s="51">
        <v>443.8</v>
      </c>
      <c r="H239" s="38">
        <f t="shared" si="29"/>
        <v>2.6876722222222223E-3</v>
      </c>
      <c r="I239" s="38">
        <f t="shared" si="31"/>
        <v>1.1927889322222223</v>
      </c>
      <c r="J239" s="38">
        <f t="shared" si="32"/>
        <v>1.1927889322222223</v>
      </c>
      <c r="K239" s="38">
        <f t="shared" si="33"/>
        <v>377.24111802950256</v>
      </c>
      <c r="L239" s="38">
        <f t="shared" si="34"/>
        <v>9.2441142247222234E-4</v>
      </c>
      <c r="M239" s="38">
        <f t="shared" si="35"/>
        <v>0.29236186647286555</v>
      </c>
    </row>
    <row r="240" spans="2:13">
      <c r="B240" s="48">
        <f t="shared" si="30"/>
        <v>236</v>
      </c>
      <c r="C240" s="47">
        <v>6900</v>
      </c>
      <c r="D240" s="47">
        <v>12.97</v>
      </c>
      <c r="E240" s="3">
        <f t="shared" si="28"/>
        <v>9.6756200000000003</v>
      </c>
      <c r="F240" s="4">
        <f t="shared" si="27"/>
        <v>13.390632612859168</v>
      </c>
      <c r="G240" s="51">
        <v>414.1</v>
      </c>
      <c r="H240" s="38">
        <f t="shared" si="29"/>
        <v>2.6876722222222223E-3</v>
      </c>
      <c r="I240" s="38">
        <f t="shared" si="31"/>
        <v>1.1129650672222224</v>
      </c>
      <c r="J240" s="38">
        <f t="shared" si="32"/>
        <v>1.1129650672222222</v>
      </c>
      <c r="K240" s="38">
        <f t="shared" si="33"/>
        <v>378.35408309672476</v>
      </c>
      <c r="L240" s="38">
        <f t="shared" si="34"/>
        <v>8.625479270972222E-4</v>
      </c>
      <c r="M240" s="38">
        <f t="shared" si="35"/>
        <v>0.29322441439996277</v>
      </c>
    </row>
    <row r="241" spans="2:13">
      <c r="B241" s="48">
        <f t="shared" si="30"/>
        <v>237</v>
      </c>
      <c r="C241" s="47">
        <v>6900</v>
      </c>
      <c r="D241" s="47">
        <v>12.97</v>
      </c>
      <c r="E241" s="3">
        <f t="shared" si="28"/>
        <v>9.6756200000000003</v>
      </c>
      <c r="F241" s="4">
        <f t="shared" si="27"/>
        <v>13.390632612859168</v>
      </c>
      <c r="G241" s="51">
        <v>414.1</v>
      </c>
      <c r="H241" s="38">
        <f t="shared" si="29"/>
        <v>2.6876722222222223E-3</v>
      </c>
      <c r="I241" s="38">
        <f t="shared" si="31"/>
        <v>1.1129650672222224</v>
      </c>
      <c r="J241" s="38">
        <f t="shared" si="32"/>
        <v>1.1129650672222222</v>
      </c>
      <c r="K241" s="38">
        <f t="shared" si="33"/>
        <v>379.46704816394697</v>
      </c>
      <c r="L241" s="38">
        <f t="shared" si="34"/>
        <v>8.625479270972222E-4</v>
      </c>
      <c r="M241" s="38">
        <f t="shared" si="35"/>
        <v>0.29408696232706</v>
      </c>
    </row>
    <row r="242" spans="2:13">
      <c r="B242" s="48">
        <f t="shared" si="30"/>
        <v>238</v>
      </c>
      <c r="C242" s="47">
        <v>6900</v>
      </c>
      <c r="D242" s="47">
        <v>12.97</v>
      </c>
      <c r="E242" s="3">
        <f t="shared" si="28"/>
        <v>9.6756200000000003</v>
      </c>
      <c r="F242" s="4">
        <f t="shared" si="27"/>
        <v>13.390632612859168</v>
      </c>
      <c r="G242" s="51">
        <v>414.1</v>
      </c>
      <c r="H242" s="38">
        <f t="shared" si="29"/>
        <v>2.6876722222222223E-3</v>
      </c>
      <c r="I242" s="38">
        <f t="shared" si="31"/>
        <v>1.1129650672222224</v>
      </c>
      <c r="J242" s="38">
        <f t="shared" si="32"/>
        <v>1.1129650672222222</v>
      </c>
      <c r="K242" s="38">
        <f t="shared" si="33"/>
        <v>380.58001323116918</v>
      </c>
      <c r="L242" s="38">
        <f t="shared" si="34"/>
        <v>8.625479270972222E-4</v>
      </c>
      <c r="M242" s="38">
        <f t="shared" si="35"/>
        <v>0.29494951025415722</v>
      </c>
    </row>
    <row r="243" spans="2:13">
      <c r="B243" s="48">
        <f t="shared" si="30"/>
        <v>239</v>
      </c>
      <c r="C243" s="47">
        <v>6900</v>
      </c>
      <c r="D243" s="47">
        <v>12.97</v>
      </c>
      <c r="E243" s="3">
        <f t="shared" si="28"/>
        <v>9.6756200000000003</v>
      </c>
      <c r="F243" s="4">
        <f t="shared" si="27"/>
        <v>13.390632612859168</v>
      </c>
      <c r="G243" s="51">
        <v>469.1</v>
      </c>
      <c r="H243" s="38">
        <f t="shared" si="29"/>
        <v>2.6876722222222223E-3</v>
      </c>
      <c r="I243" s="38">
        <f t="shared" si="31"/>
        <v>1.2607870394444447</v>
      </c>
      <c r="J243" s="38">
        <f t="shared" si="32"/>
        <v>1.2607870394444445</v>
      </c>
      <c r="K243" s="38">
        <f t="shared" si="33"/>
        <v>381.84080027061361</v>
      </c>
      <c r="L243" s="38">
        <f t="shared" si="34"/>
        <v>9.7710995556944441E-4</v>
      </c>
      <c r="M243" s="38">
        <f t="shared" si="35"/>
        <v>0.29592662020972665</v>
      </c>
    </row>
    <row r="244" spans="2:13">
      <c r="B244" s="48">
        <f t="shared" si="30"/>
        <v>240</v>
      </c>
      <c r="C244" s="47">
        <v>6800</v>
      </c>
      <c r="D244" s="47">
        <v>13.48</v>
      </c>
      <c r="E244" s="3">
        <f t="shared" si="28"/>
        <v>10.05608</v>
      </c>
      <c r="F244" s="4">
        <f t="shared" si="27"/>
        <v>14.121836824654824</v>
      </c>
      <c r="G244" s="51">
        <v>469.1</v>
      </c>
      <c r="H244" s="38">
        <f t="shared" si="29"/>
        <v>2.7933555555555555E-3</v>
      </c>
      <c r="I244" s="38">
        <f t="shared" si="31"/>
        <v>1.3103630911111113</v>
      </c>
      <c r="J244" s="38">
        <f t="shared" si="32"/>
        <v>1.3103630911111113</v>
      </c>
      <c r="K244" s="38">
        <f t="shared" si="33"/>
        <v>383.15116336172474</v>
      </c>
      <c r="L244" s="38">
        <f t="shared" si="34"/>
        <v>1.0155313956111112E-3</v>
      </c>
      <c r="M244" s="38">
        <f t="shared" si="35"/>
        <v>0.29694215160533777</v>
      </c>
    </row>
    <row r="245" spans="2:13">
      <c r="B245" s="48">
        <f t="shared" si="30"/>
        <v>241</v>
      </c>
      <c r="C245" s="47">
        <v>6800</v>
      </c>
      <c r="D245" s="47">
        <v>13.48</v>
      </c>
      <c r="E245" s="3">
        <f t="shared" si="28"/>
        <v>10.05608</v>
      </c>
      <c r="F245" s="4">
        <f t="shared" si="27"/>
        <v>14.121836824654824</v>
      </c>
      <c r="G245" s="51">
        <v>469.1</v>
      </c>
      <c r="H245" s="38">
        <f t="shared" si="29"/>
        <v>2.7933555555555555E-3</v>
      </c>
      <c r="I245" s="38">
        <f t="shared" si="31"/>
        <v>1.3103630911111113</v>
      </c>
      <c r="J245" s="38">
        <f t="shared" si="32"/>
        <v>1.3103630911111113</v>
      </c>
      <c r="K245" s="38">
        <f t="shared" si="33"/>
        <v>384.46152645283587</v>
      </c>
      <c r="L245" s="38">
        <f t="shared" si="34"/>
        <v>1.0155313956111112E-3</v>
      </c>
      <c r="M245" s="38">
        <f t="shared" si="35"/>
        <v>0.29795768300094888</v>
      </c>
    </row>
    <row r="246" spans="2:13">
      <c r="B246" s="48">
        <f t="shared" si="30"/>
        <v>242</v>
      </c>
      <c r="C246" s="47">
        <v>6800</v>
      </c>
      <c r="D246" s="47">
        <v>13.48</v>
      </c>
      <c r="E246" s="3">
        <f t="shared" si="28"/>
        <v>10.05608</v>
      </c>
      <c r="F246" s="4">
        <f t="shared" si="27"/>
        <v>14.121836824654824</v>
      </c>
      <c r="G246" s="51">
        <v>469.1</v>
      </c>
      <c r="H246" s="38">
        <f t="shared" si="29"/>
        <v>2.7933555555555555E-3</v>
      </c>
      <c r="I246" s="38">
        <f t="shared" si="31"/>
        <v>1.3103630911111113</v>
      </c>
      <c r="J246" s="38">
        <f t="shared" si="32"/>
        <v>1.3103630911111113</v>
      </c>
      <c r="K246" s="38">
        <f t="shared" si="33"/>
        <v>385.771889543947</v>
      </c>
      <c r="L246" s="38">
        <f t="shared" si="34"/>
        <v>1.0155313956111112E-3</v>
      </c>
      <c r="M246" s="38">
        <f t="shared" si="35"/>
        <v>0.29897321439655999</v>
      </c>
    </row>
    <row r="247" spans="2:13">
      <c r="B247" s="48">
        <f t="shared" si="30"/>
        <v>243</v>
      </c>
      <c r="C247" s="47">
        <v>6800</v>
      </c>
      <c r="D247" s="47">
        <v>13.48</v>
      </c>
      <c r="E247" s="3">
        <f t="shared" si="28"/>
        <v>10.05608</v>
      </c>
      <c r="F247" s="4">
        <f t="shared" si="27"/>
        <v>14.121836824654824</v>
      </c>
      <c r="G247" s="51">
        <v>469.1</v>
      </c>
      <c r="H247" s="38">
        <f t="shared" si="29"/>
        <v>2.7933555555555555E-3</v>
      </c>
      <c r="I247" s="38">
        <f t="shared" si="31"/>
        <v>1.3103630911111113</v>
      </c>
      <c r="J247" s="38">
        <f t="shared" si="32"/>
        <v>1.3103630911111113</v>
      </c>
      <c r="K247" s="38">
        <f t="shared" si="33"/>
        <v>387.08225263505813</v>
      </c>
      <c r="L247" s="38">
        <f t="shared" si="34"/>
        <v>1.0155313956111112E-3</v>
      </c>
      <c r="M247" s="38">
        <f t="shared" si="35"/>
        <v>0.29998874579217111</v>
      </c>
    </row>
    <row r="248" spans="2:13">
      <c r="B248" s="48">
        <f t="shared" si="30"/>
        <v>244</v>
      </c>
      <c r="C248" s="47">
        <v>6800</v>
      </c>
      <c r="D248" s="47">
        <v>13.48</v>
      </c>
      <c r="E248" s="3">
        <f t="shared" si="28"/>
        <v>10.05608</v>
      </c>
      <c r="F248" s="4">
        <f t="shared" si="27"/>
        <v>14.121836824654824</v>
      </c>
      <c r="G248" s="51">
        <v>469.1</v>
      </c>
      <c r="H248" s="38">
        <f t="shared" si="29"/>
        <v>2.7933555555555555E-3</v>
      </c>
      <c r="I248" s="38">
        <f t="shared" si="31"/>
        <v>1.3103630911111113</v>
      </c>
      <c r="J248" s="38">
        <f t="shared" si="32"/>
        <v>1.3103630911111113</v>
      </c>
      <c r="K248" s="38">
        <f t="shared" si="33"/>
        <v>388.39261572616925</v>
      </c>
      <c r="L248" s="38">
        <f t="shared" si="34"/>
        <v>1.0155313956111112E-3</v>
      </c>
      <c r="M248" s="38">
        <f t="shared" si="35"/>
        <v>0.30100427718778222</v>
      </c>
    </row>
    <row r="249" spans="2:13">
      <c r="B249" s="48">
        <f t="shared" si="30"/>
        <v>245</v>
      </c>
      <c r="C249" s="47">
        <v>6800</v>
      </c>
      <c r="D249" s="47">
        <v>13.48</v>
      </c>
      <c r="E249" s="3">
        <f t="shared" si="28"/>
        <v>10.05608</v>
      </c>
      <c r="F249" s="4">
        <f t="shared" si="27"/>
        <v>14.121836824654824</v>
      </c>
      <c r="G249" s="51">
        <v>469.1</v>
      </c>
      <c r="H249" s="38">
        <f t="shared" si="29"/>
        <v>2.7933555555555555E-3</v>
      </c>
      <c r="I249" s="38">
        <f t="shared" si="31"/>
        <v>1.3103630911111113</v>
      </c>
      <c r="J249" s="38">
        <f t="shared" si="32"/>
        <v>1.3103630911111113</v>
      </c>
      <c r="K249" s="38">
        <f t="shared" si="33"/>
        <v>389.70297881728038</v>
      </c>
      <c r="L249" s="38">
        <f t="shared" si="34"/>
        <v>1.0155313956111112E-3</v>
      </c>
      <c r="M249" s="38">
        <f t="shared" si="35"/>
        <v>0.30201980858339333</v>
      </c>
    </row>
    <row r="250" spans="2:13">
      <c r="B250" s="48">
        <f t="shared" si="30"/>
        <v>246</v>
      </c>
      <c r="C250" s="47">
        <v>6700</v>
      </c>
      <c r="D250" s="47">
        <v>14</v>
      </c>
      <c r="E250" s="3">
        <f t="shared" si="28"/>
        <v>10.444000000000001</v>
      </c>
      <c r="F250" s="4">
        <f t="shared" si="27"/>
        <v>14.885500528224673</v>
      </c>
      <c r="G250" s="51">
        <v>469.1</v>
      </c>
      <c r="H250" s="38">
        <f t="shared" si="29"/>
        <v>2.9011111111111113E-3</v>
      </c>
      <c r="I250" s="38">
        <f t="shared" si="31"/>
        <v>1.3609112222222224</v>
      </c>
      <c r="J250" s="38">
        <f t="shared" si="32"/>
        <v>1.3609112222222224</v>
      </c>
      <c r="K250" s="38">
        <f t="shared" si="33"/>
        <v>391.06389003950261</v>
      </c>
      <c r="L250" s="38">
        <f t="shared" si="34"/>
        <v>1.0547061972222224E-3</v>
      </c>
      <c r="M250" s="38">
        <f t="shared" si="35"/>
        <v>0.30307451478061553</v>
      </c>
    </row>
    <row r="251" spans="2:13">
      <c r="B251" s="48">
        <f t="shared" si="30"/>
        <v>247</v>
      </c>
      <c r="C251" s="47">
        <v>6700</v>
      </c>
      <c r="D251" s="47">
        <v>14</v>
      </c>
      <c r="E251" s="3">
        <f t="shared" si="28"/>
        <v>10.444000000000001</v>
      </c>
      <c r="F251" s="4">
        <f t="shared" si="27"/>
        <v>14.885500528224673</v>
      </c>
      <c r="G251" s="51">
        <v>469.1</v>
      </c>
      <c r="H251" s="38">
        <f t="shared" si="29"/>
        <v>2.9011111111111113E-3</v>
      </c>
      <c r="I251" s="38">
        <f t="shared" si="31"/>
        <v>1.3609112222222224</v>
      </c>
      <c r="J251" s="38">
        <f t="shared" si="32"/>
        <v>1.3609112222222224</v>
      </c>
      <c r="K251" s="38">
        <f t="shared" si="33"/>
        <v>392.42480126172484</v>
      </c>
      <c r="L251" s="38">
        <f t="shared" si="34"/>
        <v>1.0547061972222224E-3</v>
      </c>
      <c r="M251" s="38">
        <f t="shared" si="35"/>
        <v>0.30412922097783773</v>
      </c>
    </row>
    <row r="252" spans="2:13">
      <c r="B252" s="48">
        <f t="shared" si="30"/>
        <v>248</v>
      </c>
      <c r="C252" s="47">
        <v>6700</v>
      </c>
      <c r="D252" s="47">
        <v>14</v>
      </c>
      <c r="E252" s="3">
        <f t="shared" si="28"/>
        <v>10.444000000000001</v>
      </c>
      <c r="F252" s="4">
        <f t="shared" si="27"/>
        <v>14.885500528224673</v>
      </c>
      <c r="G252" s="51">
        <v>469.1</v>
      </c>
      <c r="H252" s="38">
        <f t="shared" si="29"/>
        <v>2.9011111111111113E-3</v>
      </c>
      <c r="I252" s="38">
        <f t="shared" si="31"/>
        <v>1.3609112222222224</v>
      </c>
      <c r="J252" s="38">
        <f t="shared" si="32"/>
        <v>1.3609112222222224</v>
      </c>
      <c r="K252" s="38">
        <f t="shared" si="33"/>
        <v>393.78571248394707</v>
      </c>
      <c r="L252" s="38">
        <f t="shared" si="34"/>
        <v>1.0547061972222224E-3</v>
      </c>
      <c r="M252" s="38">
        <f t="shared" si="35"/>
        <v>0.30518392717505993</v>
      </c>
    </row>
    <row r="253" spans="2:13">
      <c r="B253" s="48">
        <f t="shared" si="30"/>
        <v>249</v>
      </c>
      <c r="C253" s="47">
        <v>6700</v>
      </c>
      <c r="D253" s="47">
        <v>14</v>
      </c>
      <c r="E253" s="3">
        <f t="shared" si="28"/>
        <v>10.444000000000001</v>
      </c>
      <c r="F253" s="4">
        <f t="shared" si="27"/>
        <v>14.885500528224673</v>
      </c>
      <c r="G253" s="51">
        <v>469.1</v>
      </c>
      <c r="H253" s="38">
        <f t="shared" si="29"/>
        <v>2.9011111111111113E-3</v>
      </c>
      <c r="I253" s="38">
        <f t="shared" si="31"/>
        <v>1.3609112222222224</v>
      </c>
      <c r="J253" s="38">
        <f t="shared" si="32"/>
        <v>1.3609112222222224</v>
      </c>
      <c r="K253" s="38">
        <f t="shared" si="33"/>
        <v>395.14662370616929</v>
      </c>
      <c r="L253" s="38">
        <f t="shared" si="34"/>
        <v>1.0547061972222224E-3</v>
      </c>
      <c r="M253" s="38">
        <f t="shared" si="35"/>
        <v>0.30623863337228213</v>
      </c>
    </row>
    <row r="254" spans="2:13">
      <c r="B254" s="48">
        <f t="shared" si="30"/>
        <v>250</v>
      </c>
      <c r="C254" s="47">
        <v>6700</v>
      </c>
      <c r="D254" s="47">
        <v>14</v>
      </c>
      <c r="E254" s="3">
        <f t="shared" si="28"/>
        <v>10.444000000000001</v>
      </c>
      <c r="F254" s="4">
        <f t="shared" si="27"/>
        <v>14.885500528224673</v>
      </c>
      <c r="G254" s="51">
        <v>469.1</v>
      </c>
      <c r="H254" s="38">
        <f t="shared" si="29"/>
        <v>2.9011111111111113E-3</v>
      </c>
      <c r="I254" s="38">
        <f t="shared" si="31"/>
        <v>1.3609112222222224</v>
      </c>
      <c r="J254" s="38">
        <f t="shared" si="32"/>
        <v>1.3609112222222224</v>
      </c>
      <c r="K254" s="38">
        <f t="shared" si="33"/>
        <v>396.50753492839152</v>
      </c>
      <c r="L254" s="38">
        <f t="shared" si="34"/>
        <v>1.0547061972222224E-3</v>
      </c>
      <c r="M254" s="38">
        <f t="shared" si="35"/>
        <v>0.30729333956950433</v>
      </c>
    </row>
    <row r="255" spans="2:13">
      <c r="B255" s="48">
        <f t="shared" si="30"/>
        <v>251</v>
      </c>
      <c r="C255" s="47">
        <v>6700</v>
      </c>
      <c r="D255" s="47">
        <v>14</v>
      </c>
      <c r="E255" s="3">
        <f t="shared" si="28"/>
        <v>10.444000000000001</v>
      </c>
      <c r="F255" s="4">
        <f t="shared" si="27"/>
        <v>14.885500528224673</v>
      </c>
      <c r="G255" s="51">
        <v>457.16</v>
      </c>
      <c r="H255" s="38">
        <f t="shared" si="29"/>
        <v>2.9011111111111113E-3</v>
      </c>
      <c r="I255" s="38">
        <f t="shared" si="31"/>
        <v>1.3262719555555558</v>
      </c>
      <c r="J255" s="38">
        <f t="shared" si="32"/>
        <v>1.3262719555555558</v>
      </c>
      <c r="K255" s="38">
        <f t="shared" si="33"/>
        <v>397.83380688394709</v>
      </c>
      <c r="L255" s="38">
        <f t="shared" si="34"/>
        <v>1.0278607655555558E-3</v>
      </c>
      <c r="M255" s="38">
        <f t="shared" si="35"/>
        <v>0.30832120033505989</v>
      </c>
    </row>
    <row r="256" spans="2:13">
      <c r="B256" s="48">
        <f t="shared" si="30"/>
        <v>252</v>
      </c>
      <c r="C256" s="47">
        <v>6600</v>
      </c>
      <c r="D256" s="47">
        <v>16.8</v>
      </c>
      <c r="E256" s="3">
        <f t="shared" si="28"/>
        <v>12.532800000000002</v>
      </c>
      <c r="F256" s="4">
        <f t="shared" si="27"/>
        <v>18.133246098019146</v>
      </c>
      <c r="G256" s="51">
        <v>457.16</v>
      </c>
      <c r="H256" s="38">
        <f t="shared" si="29"/>
        <v>3.4813333333333337E-3</v>
      </c>
      <c r="I256" s="38">
        <f t="shared" si="31"/>
        <v>1.5915263466666669</v>
      </c>
      <c r="J256" s="38">
        <f t="shared" si="32"/>
        <v>1.5915263466666669</v>
      </c>
      <c r="K256" s="38">
        <f t="shared" si="33"/>
        <v>399.42533323061377</v>
      </c>
      <c r="L256" s="38">
        <f t="shared" si="34"/>
        <v>1.2334329186666668E-3</v>
      </c>
      <c r="M256" s="38">
        <f t="shared" si="35"/>
        <v>0.30955463325372656</v>
      </c>
    </row>
    <row r="257" spans="2:13">
      <c r="B257" s="48">
        <f t="shared" si="30"/>
        <v>253</v>
      </c>
      <c r="C257" s="47">
        <v>6600</v>
      </c>
      <c r="D257" s="47">
        <v>16.8</v>
      </c>
      <c r="E257" s="3">
        <f t="shared" si="28"/>
        <v>12.532800000000002</v>
      </c>
      <c r="F257" s="4">
        <f t="shared" si="27"/>
        <v>18.133246098019146</v>
      </c>
      <c r="G257" s="51">
        <v>457.16</v>
      </c>
      <c r="H257" s="38">
        <f t="shared" si="29"/>
        <v>3.4813333333333337E-3</v>
      </c>
      <c r="I257" s="38">
        <f t="shared" si="31"/>
        <v>1.5915263466666669</v>
      </c>
      <c r="J257" s="38">
        <f t="shared" si="32"/>
        <v>1.5915263466666669</v>
      </c>
      <c r="K257" s="38">
        <f t="shared" si="33"/>
        <v>401.01685957728046</v>
      </c>
      <c r="L257" s="38">
        <f t="shared" si="34"/>
        <v>1.2334329186666668E-3</v>
      </c>
      <c r="M257" s="38">
        <f t="shared" si="35"/>
        <v>0.31078806617239324</v>
      </c>
    </row>
    <row r="258" spans="2:13">
      <c r="B258" s="48">
        <f t="shared" si="30"/>
        <v>254</v>
      </c>
      <c r="C258" s="47">
        <v>6600</v>
      </c>
      <c r="D258" s="47">
        <v>16.8</v>
      </c>
      <c r="E258" s="3">
        <f t="shared" si="28"/>
        <v>12.532800000000002</v>
      </c>
      <c r="F258" s="4">
        <f t="shared" si="27"/>
        <v>18.133246098019146</v>
      </c>
      <c r="G258" s="51">
        <v>457.16</v>
      </c>
      <c r="H258" s="38">
        <f t="shared" si="29"/>
        <v>3.4813333333333337E-3</v>
      </c>
      <c r="I258" s="38">
        <f t="shared" si="31"/>
        <v>1.5915263466666669</v>
      </c>
      <c r="J258" s="38">
        <f t="shared" si="32"/>
        <v>1.5915263466666669</v>
      </c>
      <c r="K258" s="38">
        <f t="shared" si="33"/>
        <v>402.60838592394714</v>
      </c>
      <c r="L258" s="38">
        <f t="shared" si="34"/>
        <v>1.2334329186666668E-3</v>
      </c>
      <c r="M258" s="38">
        <f t="shared" si="35"/>
        <v>0.31202149909105992</v>
      </c>
    </row>
    <row r="259" spans="2:13">
      <c r="B259" s="48">
        <f t="shared" si="30"/>
        <v>255</v>
      </c>
      <c r="C259" s="47">
        <v>6600</v>
      </c>
      <c r="D259" s="47">
        <v>16.8</v>
      </c>
      <c r="E259" s="3">
        <f t="shared" si="28"/>
        <v>12.532800000000002</v>
      </c>
      <c r="F259" s="4">
        <f t="shared" si="27"/>
        <v>18.133246098019146</v>
      </c>
      <c r="G259" s="51">
        <v>457.16</v>
      </c>
      <c r="H259" s="38">
        <f t="shared" si="29"/>
        <v>3.4813333333333337E-3</v>
      </c>
      <c r="I259" s="38">
        <f t="shared" si="31"/>
        <v>1.5915263466666669</v>
      </c>
      <c r="J259" s="38">
        <f t="shared" si="32"/>
        <v>1.5915263466666669</v>
      </c>
      <c r="K259" s="38">
        <f t="shared" si="33"/>
        <v>404.19991227061382</v>
      </c>
      <c r="L259" s="38">
        <f t="shared" si="34"/>
        <v>1.2334329186666668E-3</v>
      </c>
      <c r="M259" s="38">
        <f t="shared" si="35"/>
        <v>0.31325493200972659</v>
      </c>
    </row>
    <row r="260" spans="2:13">
      <c r="B260" s="48">
        <f t="shared" si="30"/>
        <v>256</v>
      </c>
      <c r="C260" s="47">
        <v>6600</v>
      </c>
      <c r="D260" s="47">
        <v>16.8</v>
      </c>
      <c r="E260" s="3">
        <f t="shared" si="28"/>
        <v>12.532800000000002</v>
      </c>
      <c r="F260" s="4">
        <f t="shared" ref="F260:F318" si="36">E260*60*1000/(2*PI()*C260)</f>
        <v>18.133246098019146</v>
      </c>
      <c r="G260" s="51">
        <v>457.16</v>
      </c>
      <c r="H260" s="38">
        <f t="shared" si="29"/>
        <v>3.4813333333333337E-3</v>
      </c>
      <c r="I260" s="38">
        <f t="shared" si="31"/>
        <v>1.5915263466666669</v>
      </c>
      <c r="J260" s="38">
        <f t="shared" si="32"/>
        <v>1.5915263466666669</v>
      </c>
      <c r="K260" s="38">
        <f t="shared" si="33"/>
        <v>405.79143861728051</v>
      </c>
      <c r="L260" s="38">
        <f t="shared" si="34"/>
        <v>1.2334329186666668E-3</v>
      </c>
      <c r="M260" s="38">
        <f t="shared" si="35"/>
        <v>0.31448836492839327</v>
      </c>
    </row>
    <row r="261" spans="2:13">
      <c r="B261" s="48">
        <f t="shared" si="30"/>
        <v>257</v>
      </c>
      <c r="C261" s="47">
        <v>6500</v>
      </c>
      <c r="D261" s="47">
        <v>18</v>
      </c>
      <c r="E261" s="3">
        <f t="shared" ref="E261:E318" si="37">D261*746/1000</f>
        <v>13.428000000000001</v>
      </c>
      <c r="F261" s="4">
        <f t="shared" si="36"/>
        <v>19.727377623119732</v>
      </c>
      <c r="G261" s="51">
        <v>457.16</v>
      </c>
      <c r="H261" s="38">
        <f t="shared" ref="H261:H318" si="38">((B261-B260)/3600)*E261</f>
        <v>3.7300000000000002E-3</v>
      </c>
      <c r="I261" s="38">
        <f t="shared" si="31"/>
        <v>1.7052068</v>
      </c>
      <c r="J261" s="38">
        <f t="shared" si="32"/>
        <v>1.7052068000000002</v>
      </c>
      <c r="K261" s="38">
        <f t="shared" si="33"/>
        <v>407.49664541728049</v>
      </c>
      <c r="L261" s="38">
        <f t="shared" si="34"/>
        <v>1.3215352700000002E-3</v>
      </c>
      <c r="M261" s="38">
        <f t="shared" si="35"/>
        <v>0.31580990019839328</v>
      </c>
    </row>
    <row r="262" spans="2:13">
      <c r="B262" s="48">
        <f t="shared" ref="B262:B313" si="39">B261+1</f>
        <v>258</v>
      </c>
      <c r="C262" s="47">
        <v>6500</v>
      </c>
      <c r="D262" s="47">
        <v>18</v>
      </c>
      <c r="E262" s="3">
        <f t="shared" si="37"/>
        <v>13.428000000000001</v>
      </c>
      <c r="F262" s="4">
        <f t="shared" si="36"/>
        <v>19.727377623119732</v>
      </c>
      <c r="G262" s="51">
        <v>504.5</v>
      </c>
      <c r="H262" s="38">
        <f t="shared" si="38"/>
        <v>3.7300000000000002E-3</v>
      </c>
      <c r="I262" s="38">
        <f t="shared" ref="I262:I318" si="40">E262*G262/3600</f>
        <v>1.881785</v>
      </c>
      <c r="J262" s="38">
        <f t="shared" ref="J262:J318" si="41">H262*G262</f>
        <v>1.881785</v>
      </c>
      <c r="K262" s="38">
        <f t="shared" ref="K262:K318" si="42">K261+J262</f>
        <v>409.37843041728047</v>
      </c>
      <c r="L262" s="38">
        <f t="shared" ref="L262:L318" si="43">J262/1000*0.775</f>
        <v>1.458383375E-3</v>
      </c>
      <c r="M262" s="38">
        <f t="shared" ref="M262:M318" si="44">M261+L262</f>
        <v>0.31726828357339326</v>
      </c>
    </row>
    <row r="263" spans="2:13">
      <c r="B263" s="48">
        <f t="shared" si="39"/>
        <v>259</v>
      </c>
      <c r="C263" s="47">
        <v>6500</v>
      </c>
      <c r="D263" s="47">
        <v>18</v>
      </c>
      <c r="E263" s="3">
        <f t="shared" si="37"/>
        <v>13.428000000000001</v>
      </c>
      <c r="F263" s="4">
        <f t="shared" si="36"/>
        <v>19.727377623119732</v>
      </c>
      <c r="G263" s="51">
        <v>504.5</v>
      </c>
      <c r="H263" s="38">
        <f t="shared" si="38"/>
        <v>3.7300000000000002E-3</v>
      </c>
      <c r="I263" s="38">
        <f t="shared" si="40"/>
        <v>1.881785</v>
      </c>
      <c r="J263" s="38">
        <f t="shared" si="41"/>
        <v>1.881785</v>
      </c>
      <c r="K263" s="38">
        <f t="shared" si="42"/>
        <v>411.26021541728045</v>
      </c>
      <c r="L263" s="38">
        <f t="shared" si="43"/>
        <v>1.458383375E-3</v>
      </c>
      <c r="M263" s="38">
        <f t="shared" si="44"/>
        <v>0.31872666694839324</v>
      </c>
    </row>
    <row r="264" spans="2:13">
      <c r="B264" s="48">
        <f t="shared" si="39"/>
        <v>260</v>
      </c>
      <c r="C264" s="47">
        <v>6500</v>
      </c>
      <c r="D264" s="47">
        <v>18</v>
      </c>
      <c r="E264" s="3">
        <f t="shared" si="37"/>
        <v>13.428000000000001</v>
      </c>
      <c r="F264" s="4">
        <f t="shared" si="36"/>
        <v>19.727377623119732</v>
      </c>
      <c r="G264" s="51">
        <v>504.5</v>
      </c>
      <c r="H264" s="38">
        <f t="shared" si="38"/>
        <v>3.7300000000000002E-3</v>
      </c>
      <c r="I264" s="38">
        <f t="shared" si="40"/>
        <v>1.881785</v>
      </c>
      <c r="J264" s="38">
        <f t="shared" si="41"/>
        <v>1.881785</v>
      </c>
      <c r="K264" s="38">
        <f t="shared" si="42"/>
        <v>413.14200041728043</v>
      </c>
      <c r="L264" s="38">
        <f t="shared" si="43"/>
        <v>1.458383375E-3</v>
      </c>
      <c r="M264" s="38">
        <f t="shared" si="44"/>
        <v>0.32018505032339323</v>
      </c>
    </row>
    <row r="265" spans="2:13">
      <c r="B265" s="48">
        <f t="shared" si="39"/>
        <v>261</v>
      </c>
      <c r="C265" s="47">
        <v>6400</v>
      </c>
      <c r="D265" s="47">
        <v>17.8</v>
      </c>
      <c r="E265" s="3">
        <f t="shared" si="37"/>
        <v>13.2788</v>
      </c>
      <c r="F265" s="4">
        <f t="shared" si="36"/>
        <v>19.812999921831189</v>
      </c>
      <c r="G265" s="51">
        <v>504.5</v>
      </c>
      <c r="H265" s="38">
        <f t="shared" si="38"/>
        <v>3.6885555555555556E-3</v>
      </c>
      <c r="I265" s="38">
        <f t="shared" si="40"/>
        <v>1.8608762777777776</v>
      </c>
      <c r="J265" s="38">
        <f t="shared" si="41"/>
        <v>1.8608762777777779</v>
      </c>
      <c r="K265" s="38">
        <f t="shared" si="42"/>
        <v>415.00287669505821</v>
      </c>
      <c r="L265" s="38">
        <f t="shared" si="43"/>
        <v>1.4421791152777778E-3</v>
      </c>
      <c r="M265" s="38">
        <f t="shared" si="44"/>
        <v>0.321627229438671</v>
      </c>
    </row>
    <row r="266" spans="2:13">
      <c r="B266" s="48">
        <f t="shared" si="39"/>
        <v>262</v>
      </c>
      <c r="C266" s="47">
        <v>6400</v>
      </c>
      <c r="D266" s="47">
        <v>17.8</v>
      </c>
      <c r="E266" s="3">
        <f t="shared" si="37"/>
        <v>13.2788</v>
      </c>
      <c r="F266" s="4">
        <f t="shared" si="36"/>
        <v>19.812999921831189</v>
      </c>
      <c r="G266" s="51">
        <v>504.5</v>
      </c>
      <c r="H266" s="38">
        <f t="shared" si="38"/>
        <v>3.6885555555555556E-3</v>
      </c>
      <c r="I266" s="38">
        <f t="shared" si="40"/>
        <v>1.8608762777777776</v>
      </c>
      <c r="J266" s="38">
        <f t="shared" si="41"/>
        <v>1.8608762777777779</v>
      </c>
      <c r="K266" s="38">
        <f t="shared" si="42"/>
        <v>416.86375297283598</v>
      </c>
      <c r="L266" s="38">
        <f t="shared" si="43"/>
        <v>1.4421791152777778E-3</v>
      </c>
      <c r="M266" s="38">
        <f t="shared" si="44"/>
        <v>0.32306940855394878</v>
      </c>
    </row>
    <row r="267" spans="2:13">
      <c r="B267" s="48">
        <f t="shared" si="39"/>
        <v>263</v>
      </c>
      <c r="C267" s="47">
        <v>6400</v>
      </c>
      <c r="D267" s="47">
        <v>17.8</v>
      </c>
      <c r="E267" s="3">
        <f t="shared" si="37"/>
        <v>13.2788</v>
      </c>
      <c r="F267" s="4">
        <f t="shared" si="36"/>
        <v>19.812999921831189</v>
      </c>
      <c r="G267" s="51">
        <v>504.5</v>
      </c>
      <c r="H267" s="38">
        <f t="shared" si="38"/>
        <v>3.6885555555555556E-3</v>
      </c>
      <c r="I267" s="38">
        <f t="shared" si="40"/>
        <v>1.8608762777777776</v>
      </c>
      <c r="J267" s="38">
        <f t="shared" si="41"/>
        <v>1.8608762777777779</v>
      </c>
      <c r="K267" s="38">
        <f t="shared" si="42"/>
        <v>418.72462925061376</v>
      </c>
      <c r="L267" s="38">
        <f t="shared" si="43"/>
        <v>1.4421791152777778E-3</v>
      </c>
      <c r="M267" s="38">
        <f t="shared" si="44"/>
        <v>0.32451158766922655</v>
      </c>
    </row>
    <row r="268" spans="2:13">
      <c r="B268" s="48">
        <f t="shared" si="39"/>
        <v>264</v>
      </c>
      <c r="C268" s="47">
        <v>6400</v>
      </c>
      <c r="D268" s="47">
        <v>17.8</v>
      </c>
      <c r="E268" s="3">
        <f t="shared" si="37"/>
        <v>13.2788</v>
      </c>
      <c r="F268" s="4">
        <f t="shared" si="36"/>
        <v>19.812999921831189</v>
      </c>
      <c r="G268" s="51">
        <v>504.5</v>
      </c>
      <c r="H268" s="38">
        <f t="shared" si="38"/>
        <v>3.6885555555555556E-3</v>
      </c>
      <c r="I268" s="38">
        <f t="shared" si="40"/>
        <v>1.8608762777777776</v>
      </c>
      <c r="J268" s="38">
        <f t="shared" si="41"/>
        <v>1.8608762777777779</v>
      </c>
      <c r="K268" s="38">
        <f t="shared" si="42"/>
        <v>420.58550552839154</v>
      </c>
      <c r="L268" s="38">
        <f t="shared" si="43"/>
        <v>1.4421791152777778E-3</v>
      </c>
      <c r="M268" s="38">
        <f t="shared" si="44"/>
        <v>0.32595376678450433</v>
      </c>
    </row>
    <row r="269" spans="2:13">
      <c r="B269" s="48">
        <f t="shared" si="39"/>
        <v>265</v>
      </c>
      <c r="C269" s="47">
        <v>6300</v>
      </c>
      <c r="D269" s="47">
        <v>17.5</v>
      </c>
      <c r="E269" s="3">
        <f t="shared" si="37"/>
        <v>13.055</v>
      </c>
      <c r="F269" s="4">
        <f t="shared" si="36"/>
        <v>19.788264591092322</v>
      </c>
      <c r="G269" s="51">
        <v>504.5</v>
      </c>
      <c r="H269" s="38">
        <f t="shared" si="38"/>
        <v>3.6263888888888886E-3</v>
      </c>
      <c r="I269" s="38">
        <f t="shared" si="40"/>
        <v>1.8295131944444443</v>
      </c>
      <c r="J269" s="38">
        <f t="shared" si="41"/>
        <v>1.8295131944444443</v>
      </c>
      <c r="K269" s="38">
        <f t="shared" si="42"/>
        <v>422.41501872283595</v>
      </c>
      <c r="L269" s="38">
        <f t="shared" si="43"/>
        <v>1.4178727256944443E-3</v>
      </c>
      <c r="M269" s="38">
        <f t="shared" si="44"/>
        <v>0.32737163951019876</v>
      </c>
    </row>
    <row r="270" spans="2:13">
      <c r="B270" s="48">
        <f t="shared" si="39"/>
        <v>266</v>
      </c>
      <c r="C270" s="47">
        <v>6200</v>
      </c>
      <c r="D270" s="47">
        <v>17.440000000000001</v>
      </c>
      <c r="E270" s="3">
        <f t="shared" si="37"/>
        <v>13.010240000000001</v>
      </c>
      <c r="F270" s="4">
        <f t="shared" si="36"/>
        <v>20.038490388502264</v>
      </c>
      <c r="G270" s="51">
        <v>504.5</v>
      </c>
      <c r="H270" s="38">
        <f t="shared" si="38"/>
        <v>3.6139555555555558E-3</v>
      </c>
      <c r="I270" s="38">
        <f t="shared" si="40"/>
        <v>1.823240577777778</v>
      </c>
      <c r="J270" s="38">
        <f t="shared" si="41"/>
        <v>1.8232405777777778</v>
      </c>
      <c r="K270" s="38">
        <f t="shared" si="42"/>
        <v>424.23825930061372</v>
      </c>
      <c r="L270" s="38">
        <f t="shared" si="43"/>
        <v>1.4130114477777778E-3</v>
      </c>
      <c r="M270" s="38">
        <f t="shared" si="44"/>
        <v>0.32878465095797654</v>
      </c>
    </row>
    <row r="271" spans="2:13">
      <c r="B271" s="48">
        <f t="shared" si="39"/>
        <v>267</v>
      </c>
      <c r="C271" s="47">
        <v>6200</v>
      </c>
      <c r="D271" s="47">
        <v>17.440000000000001</v>
      </c>
      <c r="E271" s="3">
        <f t="shared" si="37"/>
        <v>13.010240000000001</v>
      </c>
      <c r="F271" s="4">
        <f t="shared" si="36"/>
        <v>20.038490388502264</v>
      </c>
      <c r="G271" s="51">
        <v>504.5</v>
      </c>
      <c r="H271" s="38">
        <f t="shared" si="38"/>
        <v>3.6139555555555558E-3</v>
      </c>
      <c r="I271" s="38">
        <f t="shared" si="40"/>
        <v>1.823240577777778</v>
      </c>
      <c r="J271" s="38">
        <f t="shared" si="41"/>
        <v>1.8232405777777778</v>
      </c>
      <c r="K271" s="38">
        <f t="shared" si="42"/>
        <v>426.06149987839149</v>
      </c>
      <c r="L271" s="38">
        <f t="shared" si="43"/>
        <v>1.4130114477777778E-3</v>
      </c>
      <c r="M271" s="38">
        <f t="shared" si="44"/>
        <v>0.33019766240575432</v>
      </c>
    </row>
    <row r="272" spans="2:13">
      <c r="B272" s="48">
        <f t="shared" si="39"/>
        <v>268</v>
      </c>
      <c r="C272" s="47">
        <v>6100</v>
      </c>
      <c r="D272" s="47">
        <v>17.37</v>
      </c>
      <c r="E272" s="3">
        <f t="shared" si="37"/>
        <v>12.958020000000001</v>
      </c>
      <c r="F272" s="4">
        <f t="shared" si="36"/>
        <v>20.285241990330903</v>
      </c>
      <c r="G272" s="51">
        <v>504.5</v>
      </c>
      <c r="H272" s="38">
        <f t="shared" si="38"/>
        <v>3.5994500000000001E-3</v>
      </c>
      <c r="I272" s="38">
        <f t="shared" si="40"/>
        <v>1.8159225250000002</v>
      </c>
      <c r="J272" s="38">
        <f t="shared" si="41"/>
        <v>1.8159225250000002</v>
      </c>
      <c r="K272" s="38">
        <f t="shared" si="42"/>
        <v>427.87742240339151</v>
      </c>
      <c r="L272" s="38">
        <f t="shared" si="43"/>
        <v>1.4073399568750003E-3</v>
      </c>
      <c r="M272" s="38">
        <f t="shared" si="44"/>
        <v>0.3316050023626293</v>
      </c>
    </row>
    <row r="273" spans="2:13">
      <c r="B273" s="48">
        <f t="shared" si="39"/>
        <v>269</v>
      </c>
      <c r="C273" s="47">
        <v>6100</v>
      </c>
      <c r="D273" s="47">
        <v>17.37</v>
      </c>
      <c r="E273" s="3">
        <f t="shared" si="37"/>
        <v>12.958020000000001</v>
      </c>
      <c r="F273" s="4">
        <f t="shared" si="36"/>
        <v>20.285241990330903</v>
      </c>
      <c r="G273" s="51">
        <v>504.5</v>
      </c>
      <c r="H273" s="38">
        <f t="shared" si="38"/>
        <v>3.5994500000000001E-3</v>
      </c>
      <c r="I273" s="38">
        <f t="shared" si="40"/>
        <v>1.8159225250000002</v>
      </c>
      <c r="J273" s="38">
        <f t="shared" si="41"/>
        <v>1.8159225250000002</v>
      </c>
      <c r="K273" s="38">
        <f t="shared" si="42"/>
        <v>429.69334492839153</v>
      </c>
      <c r="L273" s="38">
        <f t="shared" si="43"/>
        <v>1.4073399568750003E-3</v>
      </c>
      <c r="M273" s="38">
        <f t="shared" si="44"/>
        <v>0.33301234231950427</v>
      </c>
    </row>
    <row r="274" spans="2:13">
      <c r="B274" s="48">
        <f t="shared" si="39"/>
        <v>270</v>
      </c>
      <c r="C274" s="47">
        <v>6000</v>
      </c>
      <c r="D274" s="47">
        <v>17.32</v>
      </c>
      <c r="E274" s="3">
        <f t="shared" si="37"/>
        <v>12.920719999999999</v>
      </c>
      <c r="F274" s="4">
        <f t="shared" si="36"/>
        <v>20.563964563063138</v>
      </c>
      <c r="G274" s="51">
        <v>504.5</v>
      </c>
      <c r="H274" s="38">
        <f t="shared" si="38"/>
        <v>3.5890888888888885E-3</v>
      </c>
      <c r="I274" s="38">
        <f t="shared" si="40"/>
        <v>1.8106953444444445</v>
      </c>
      <c r="J274" s="38">
        <f t="shared" si="41"/>
        <v>1.8106953444444442</v>
      </c>
      <c r="K274" s="38">
        <f t="shared" si="42"/>
        <v>431.50404027283599</v>
      </c>
      <c r="L274" s="38">
        <f t="shared" si="43"/>
        <v>1.4032888919444444E-3</v>
      </c>
      <c r="M274" s="38">
        <f t="shared" si="44"/>
        <v>0.33441563121144874</v>
      </c>
    </row>
    <row r="275" spans="2:13">
      <c r="B275" s="48">
        <f t="shared" si="39"/>
        <v>271</v>
      </c>
      <c r="C275" s="47">
        <v>5900</v>
      </c>
      <c r="D275" s="47">
        <v>17.239999999999998</v>
      </c>
      <c r="E275" s="3">
        <f t="shared" si="37"/>
        <v>12.861039999999999</v>
      </c>
      <c r="F275" s="4">
        <f t="shared" si="36"/>
        <v>20.815912772568705</v>
      </c>
      <c r="G275" s="51">
        <v>535.1</v>
      </c>
      <c r="H275" s="38">
        <f t="shared" si="38"/>
        <v>3.5725111111111108E-3</v>
      </c>
      <c r="I275" s="38">
        <f t="shared" si="40"/>
        <v>1.9116506955555554</v>
      </c>
      <c r="J275" s="38">
        <f t="shared" si="41"/>
        <v>1.9116506955555554</v>
      </c>
      <c r="K275" s="38">
        <f t="shared" si="42"/>
        <v>433.41569096839157</v>
      </c>
      <c r="L275" s="38">
        <f t="shared" si="43"/>
        <v>1.4815292890555554E-3</v>
      </c>
      <c r="M275" s="38">
        <f t="shared" si="44"/>
        <v>0.33589716050050428</v>
      </c>
    </row>
    <row r="276" spans="2:13">
      <c r="B276" s="48">
        <f t="shared" si="39"/>
        <v>272</v>
      </c>
      <c r="C276" s="47">
        <v>5800</v>
      </c>
      <c r="D276" s="47">
        <v>17.18</v>
      </c>
      <c r="E276" s="3">
        <f t="shared" si="37"/>
        <v>12.816280000000001</v>
      </c>
      <c r="F276" s="4">
        <f t="shared" si="36"/>
        <v>21.101113593618585</v>
      </c>
      <c r="G276" s="51">
        <v>535.1</v>
      </c>
      <c r="H276" s="38">
        <f t="shared" si="38"/>
        <v>3.560077777777778E-3</v>
      </c>
      <c r="I276" s="38">
        <f t="shared" si="40"/>
        <v>1.9049976188888889</v>
      </c>
      <c r="J276" s="38">
        <f t="shared" si="41"/>
        <v>1.9049976188888891</v>
      </c>
      <c r="K276" s="38">
        <f t="shared" si="42"/>
        <v>435.32068858728047</v>
      </c>
      <c r="L276" s="38">
        <f t="shared" si="43"/>
        <v>1.4763731546388889E-3</v>
      </c>
      <c r="M276" s="38">
        <f t="shared" si="44"/>
        <v>0.33737353365514317</v>
      </c>
    </row>
    <row r="277" spans="2:13">
      <c r="B277" s="48">
        <f t="shared" si="39"/>
        <v>273</v>
      </c>
      <c r="C277" s="47">
        <v>5800</v>
      </c>
      <c r="D277" s="47">
        <v>17.18</v>
      </c>
      <c r="E277" s="3">
        <f t="shared" si="37"/>
        <v>12.816280000000001</v>
      </c>
      <c r="F277" s="4">
        <f t="shared" si="36"/>
        <v>21.101113593618585</v>
      </c>
      <c r="G277" s="51">
        <v>535.1</v>
      </c>
      <c r="H277" s="38">
        <f t="shared" si="38"/>
        <v>3.560077777777778E-3</v>
      </c>
      <c r="I277" s="38">
        <f t="shared" si="40"/>
        <v>1.9049976188888889</v>
      </c>
      <c r="J277" s="38">
        <f t="shared" si="41"/>
        <v>1.9049976188888891</v>
      </c>
      <c r="K277" s="38">
        <f t="shared" si="42"/>
        <v>437.22568620616937</v>
      </c>
      <c r="L277" s="38">
        <f t="shared" si="43"/>
        <v>1.4763731546388889E-3</v>
      </c>
      <c r="M277" s="38">
        <f t="shared" si="44"/>
        <v>0.33884990680978205</v>
      </c>
    </row>
    <row r="278" spans="2:13">
      <c r="B278" s="48">
        <f t="shared" si="39"/>
        <v>274</v>
      </c>
      <c r="C278" s="47">
        <v>5800</v>
      </c>
      <c r="D278" s="47">
        <v>17.18</v>
      </c>
      <c r="E278" s="3">
        <f t="shared" si="37"/>
        <v>12.816280000000001</v>
      </c>
      <c r="F278" s="4">
        <f t="shared" si="36"/>
        <v>21.101113593618585</v>
      </c>
      <c r="G278" s="51">
        <v>535.1</v>
      </c>
      <c r="H278" s="38">
        <f t="shared" si="38"/>
        <v>3.560077777777778E-3</v>
      </c>
      <c r="I278" s="38">
        <f t="shared" si="40"/>
        <v>1.9049976188888889</v>
      </c>
      <c r="J278" s="38">
        <f t="shared" si="41"/>
        <v>1.9049976188888891</v>
      </c>
      <c r="K278" s="38">
        <f t="shared" si="42"/>
        <v>439.13068382505827</v>
      </c>
      <c r="L278" s="38">
        <f t="shared" si="43"/>
        <v>1.4763731546388889E-3</v>
      </c>
      <c r="M278" s="38">
        <f t="shared" si="44"/>
        <v>0.34032627996442094</v>
      </c>
    </row>
    <row r="279" spans="2:13">
      <c r="B279" s="48">
        <f t="shared" si="39"/>
        <v>275</v>
      </c>
      <c r="C279" s="47">
        <v>5600</v>
      </c>
      <c r="D279" s="47">
        <v>17.05</v>
      </c>
      <c r="E279" s="3">
        <f t="shared" si="37"/>
        <v>12.7193</v>
      </c>
      <c r="F279" s="4">
        <f t="shared" si="36"/>
        <v>21.689351439307977</v>
      </c>
      <c r="G279" s="51">
        <v>535.1</v>
      </c>
      <c r="H279" s="38">
        <f t="shared" si="38"/>
        <v>3.533138888888889E-3</v>
      </c>
      <c r="I279" s="38">
        <f t="shared" si="40"/>
        <v>1.8905826194444446</v>
      </c>
      <c r="J279" s="38">
        <f t="shared" si="41"/>
        <v>1.8905826194444446</v>
      </c>
      <c r="K279" s="38">
        <f t="shared" si="42"/>
        <v>441.02126644450271</v>
      </c>
      <c r="L279" s="38">
        <f t="shared" si="43"/>
        <v>1.4652015300694445E-3</v>
      </c>
      <c r="M279" s="38">
        <f t="shared" si="44"/>
        <v>0.3417914814944904</v>
      </c>
    </row>
    <row r="280" spans="2:13">
      <c r="B280" s="48">
        <f t="shared" si="39"/>
        <v>276</v>
      </c>
      <c r="C280" s="47">
        <v>5600</v>
      </c>
      <c r="D280" s="47">
        <v>17.05</v>
      </c>
      <c r="E280" s="3">
        <f t="shared" si="37"/>
        <v>12.7193</v>
      </c>
      <c r="F280" s="4">
        <f t="shared" si="36"/>
        <v>21.689351439307977</v>
      </c>
      <c r="G280" s="51">
        <v>535.1</v>
      </c>
      <c r="H280" s="38">
        <f t="shared" si="38"/>
        <v>3.533138888888889E-3</v>
      </c>
      <c r="I280" s="38">
        <f t="shared" si="40"/>
        <v>1.8905826194444446</v>
      </c>
      <c r="J280" s="38">
        <f t="shared" si="41"/>
        <v>1.8905826194444446</v>
      </c>
      <c r="K280" s="38">
        <f t="shared" si="42"/>
        <v>442.91184906394716</v>
      </c>
      <c r="L280" s="38">
        <f t="shared" si="43"/>
        <v>1.4652015300694445E-3</v>
      </c>
      <c r="M280" s="38">
        <f t="shared" si="44"/>
        <v>0.34325668302455986</v>
      </c>
    </row>
    <row r="281" spans="2:13">
      <c r="B281" s="48">
        <f t="shared" si="39"/>
        <v>277</v>
      </c>
      <c r="C281" s="47">
        <v>5700</v>
      </c>
      <c r="D281" s="47">
        <v>17.11</v>
      </c>
      <c r="E281" s="3">
        <f t="shared" si="37"/>
        <v>12.764059999999999</v>
      </c>
      <c r="F281" s="4">
        <f t="shared" si="36"/>
        <v>21.383823609700396</v>
      </c>
      <c r="G281" s="51">
        <v>450.79</v>
      </c>
      <c r="H281" s="38">
        <f t="shared" si="38"/>
        <v>3.5455722222222218E-3</v>
      </c>
      <c r="I281" s="38">
        <f t="shared" si="40"/>
        <v>1.5983085020555556</v>
      </c>
      <c r="J281" s="38">
        <f t="shared" si="41"/>
        <v>1.5983085020555554</v>
      </c>
      <c r="K281" s="38">
        <f t="shared" si="42"/>
        <v>444.5101575660027</v>
      </c>
      <c r="L281" s="38">
        <f t="shared" si="43"/>
        <v>1.2386890890930555E-3</v>
      </c>
      <c r="M281" s="38">
        <f t="shared" si="44"/>
        <v>0.34449537211365294</v>
      </c>
    </row>
    <row r="282" spans="2:13">
      <c r="B282" s="48">
        <f t="shared" si="39"/>
        <v>278</v>
      </c>
      <c r="C282" s="47">
        <v>5700</v>
      </c>
      <c r="D282" s="47">
        <v>17.11</v>
      </c>
      <c r="E282" s="3">
        <f t="shared" si="37"/>
        <v>12.764059999999999</v>
      </c>
      <c r="F282" s="4">
        <f t="shared" si="36"/>
        <v>21.383823609700396</v>
      </c>
      <c r="G282" s="51">
        <v>450.79</v>
      </c>
      <c r="H282" s="38">
        <f t="shared" si="38"/>
        <v>3.5455722222222218E-3</v>
      </c>
      <c r="I282" s="38">
        <f t="shared" si="40"/>
        <v>1.5983085020555556</v>
      </c>
      <c r="J282" s="38">
        <f t="shared" si="41"/>
        <v>1.5983085020555554</v>
      </c>
      <c r="K282" s="38">
        <f t="shared" si="42"/>
        <v>446.10846606805825</v>
      </c>
      <c r="L282" s="38">
        <f t="shared" si="43"/>
        <v>1.2386890890930555E-3</v>
      </c>
      <c r="M282" s="38">
        <f t="shared" si="44"/>
        <v>0.34573406120274602</v>
      </c>
    </row>
    <row r="283" spans="2:13">
      <c r="B283" s="48">
        <f t="shared" si="39"/>
        <v>279</v>
      </c>
      <c r="C283" s="47">
        <v>5800</v>
      </c>
      <c r="D283" s="47">
        <v>17.18</v>
      </c>
      <c r="E283" s="3">
        <f t="shared" si="37"/>
        <v>12.816280000000001</v>
      </c>
      <c r="F283" s="4">
        <f t="shared" si="36"/>
        <v>21.101113593618585</v>
      </c>
      <c r="G283" s="51">
        <v>450.79</v>
      </c>
      <c r="H283" s="38">
        <f t="shared" si="38"/>
        <v>3.560077777777778E-3</v>
      </c>
      <c r="I283" s="38">
        <f t="shared" si="40"/>
        <v>1.6048474614444448</v>
      </c>
      <c r="J283" s="38">
        <f t="shared" si="41"/>
        <v>1.6048474614444446</v>
      </c>
      <c r="K283" s="38">
        <f t="shared" si="42"/>
        <v>447.71331352950267</v>
      </c>
      <c r="L283" s="38">
        <f t="shared" si="43"/>
        <v>1.2437567826194445E-3</v>
      </c>
      <c r="M283" s="38">
        <f t="shared" si="44"/>
        <v>0.34697781798536548</v>
      </c>
    </row>
    <row r="284" spans="2:13">
      <c r="B284" s="48">
        <f t="shared" si="39"/>
        <v>280</v>
      </c>
      <c r="C284" s="47">
        <v>5900</v>
      </c>
      <c r="D284" s="47">
        <v>17.239999999999998</v>
      </c>
      <c r="E284" s="3">
        <f t="shared" si="37"/>
        <v>12.861039999999999</v>
      </c>
      <c r="F284" s="4">
        <f t="shared" si="36"/>
        <v>20.815912772568705</v>
      </c>
      <c r="G284" s="51">
        <v>450.79</v>
      </c>
      <c r="H284" s="38">
        <f t="shared" si="38"/>
        <v>3.5725111111111108E-3</v>
      </c>
      <c r="I284" s="38">
        <f t="shared" si="40"/>
        <v>1.6104522837777777</v>
      </c>
      <c r="J284" s="38">
        <f t="shared" si="41"/>
        <v>1.6104522837777777</v>
      </c>
      <c r="K284" s="38">
        <f t="shared" si="42"/>
        <v>449.32376581328043</v>
      </c>
      <c r="L284" s="38">
        <f t="shared" si="43"/>
        <v>1.2481005199277779E-3</v>
      </c>
      <c r="M284" s="38">
        <f t="shared" si="44"/>
        <v>0.34822591850529327</v>
      </c>
    </row>
    <row r="285" spans="2:13">
      <c r="B285" s="48">
        <f t="shared" si="39"/>
        <v>281</v>
      </c>
      <c r="C285" s="47">
        <v>5900</v>
      </c>
      <c r="D285" s="47">
        <v>17.239999999999998</v>
      </c>
      <c r="E285" s="3">
        <f t="shared" si="37"/>
        <v>12.861039999999999</v>
      </c>
      <c r="F285" s="4">
        <f t="shared" si="36"/>
        <v>20.815912772568705</v>
      </c>
      <c r="G285" s="51">
        <v>450.79</v>
      </c>
      <c r="H285" s="38">
        <f t="shared" si="38"/>
        <v>3.5725111111111108E-3</v>
      </c>
      <c r="I285" s="38">
        <f t="shared" si="40"/>
        <v>1.6104522837777777</v>
      </c>
      <c r="J285" s="38">
        <f t="shared" si="41"/>
        <v>1.6104522837777777</v>
      </c>
      <c r="K285" s="38">
        <f t="shared" si="42"/>
        <v>450.93421809705819</v>
      </c>
      <c r="L285" s="38">
        <f t="shared" si="43"/>
        <v>1.2481005199277779E-3</v>
      </c>
      <c r="M285" s="38">
        <f t="shared" si="44"/>
        <v>0.34947401902522107</v>
      </c>
    </row>
    <row r="286" spans="2:13">
      <c r="B286" s="48">
        <f t="shared" si="39"/>
        <v>282</v>
      </c>
      <c r="C286" s="47">
        <v>6000</v>
      </c>
      <c r="D286" s="47">
        <v>17.32</v>
      </c>
      <c r="E286" s="3">
        <f t="shared" si="37"/>
        <v>12.920719999999999</v>
      </c>
      <c r="F286" s="4">
        <f t="shared" si="36"/>
        <v>20.563964563063138</v>
      </c>
      <c r="G286" s="51">
        <v>450.79</v>
      </c>
      <c r="H286" s="38">
        <f t="shared" si="38"/>
        <v>3.5890888888888885E-3</v>
      </c>
      <c r="I286" s="38">
        <f t="shared" si="40"/>
        <v>1.6179253802222222</v>
      </c>
      <c r="J286" s="38">
        <f t="shared" si="41"/>
        <v>1.6179253802222222</v>
      </c>
      <c r="K286" s="38">
        <f t="shared" si="42"/>
        <v>452.55214347728042</v>
      </c>
      <c r="L286" s="38">
        <f t="shared" si="43"/>
        <v>1.2538921696722224E-3</v>
      </c>
      <c r="M286" s="38">
        <f t="shared" si="44"/>
        <v>0.35072791119489327</v>
      </c>
    </row>
    <row r="287" spans="2:13">
      <c r="B287" s="48">
        <f t="shared" si="39"/>
        <v>283</v>
      </c>
      <c r="C287" s="47">
        <v>6000</v>
      </c>
      <c r="D287" s="47">
        <v>17.32</v>
      </c>
      <c r="E287" s="3">
        <f t="shared" si="37"/>
        <v>12.920719999999999</v>
      </c>
      <c r="F287" s="4">
        <f t="shared" si="36"/>
        <v>20.563964563063138</v>
      </c>
      <c r="G287" s="51">
        <v>450.79</v>
      </c>
      <c r="H287" s="38">
        <f t="shared" si="38"/>
        <v>3.5890888888888885E-3</v>
      </c>
      <c r="I287" s="38">
        <f t="shared" si="40"/>
        <v>1.6179253802222222</v>
      </c>
      <c r="J287" s="38">
        <f t="shared" si="41"/>
        <v>1.6179253802222222</v>
      </c>
      <c r="K287" s="38">
        <f t="shared" si="42"/>
        <v>454.17006885750266</v>
      </c>
      <c r="L287" s="38">
        <f t="shared" si="43"/>
        <v>1.2538921696722224E-3</v>
      </c>
      <c r="M287" s="38">
        <f t="shared" si="44"/>
        <v>0.35198180336456547</v>
      </c>
    </row>
    <row r="288" spans="2:13">
      <c r="B288" s="48">
        <f t="shared" si="39"/>
        <v>284</v>
      </c>
      <c r="C288" s="47">
        <v>6000</v>
      </c>
      <c r="D288" s="47">
        <v>17.32</v>
      </c>
      <c r="E288" s="3">
        <f t="shared" si="37"/>
        <v>12.920719999999999</v>
      </c>
      <c r="F288" s="4">
        <f t="shared" si="36"/>
        <v>20.563964563063138</v>
      </c>
      <c r="G288" s="51">
        <v>426.9</v>
      </c>
      <c r="H288" s="38">
        <f t="shared" si="38"/>
        <v>3.5890888888888885E-3</v>
      </c>
      <c r="I288" s="38">
        <f t="shared" si="40"/>
        <v>1.5321820466666665</v>
      </c>
      <c r="J288" s="38">
        <f t="shared" si="41"/>
        <v>1.5321820466666665</v>
      </c>
      <c r="K288" s="38">
        <f t="shared" si="42"/>
        <v>455.70225090416932</v>
      </c>
      <c r="L288" s="38">
        <f t="shared" si="43"/>
        <v>1.1874410861666665E-3</v>
      </c>
      <c r="M288" s="38">
        <f t="shared" si="44"/>
        <v>0.35316924445073211</v>
      </c>
    </row>
    <row r="289" spans="2:13">
      <c r="B289" s="48">
        <f t="shared" si="39"/>
        <v>285</v>
      </c>
      <c r="C289" s="47">
        <v>6100</v>
      </c>
      <c r="D289" s="47">
        <v>17.37</v>
      </c>
      <c r="E289" s="3">
        <f t="shared" si="37"/>
        <v>12.958020000000001</v>
      </c>
      <c r="F289" s="4">
        <f t="shared" si="36"/>
        <v>20.285241990330903</v>
      </c>
      <c r="G289" s="51">
        <v>426.9</v>
      </c>
      <c r="H289" s="38">
        <f t="shared" si="38"/>
        <v>3.5994500000000001E-3</v>
      </c>
      <c r="I289" s="38">
        <f t="shared" si="40"/>
        <v>1.5366052050000001</v>
      </c>
      <c r="J289" s="38">
        <f t="shared" si="41"/>
        <v>1.5366052050000001</v>
      </c>
      <c r="K289" s="38">
        <f t="shared" si="42"/>
        <v>457.23885610916932</v>
      </c>
      <c r="L289" s="38">
        <f t="shared" si="43"/>
        <v>1.1908690338750002E-3</v>
      </c>
      <c r="M289" s="38">
        <f t="shared" si="44"/>
        <v>0.35436011348460711</v>
      </c>
    </row>
    <row r="290" spans="2:13">
      <c r="B290" s="48">
        <f t="shared" si="39"/>
        <v>286</v>
      </c>
      <c r="C290" s="47">
        <v>6100</v>
      </c>
      <c r="D290" s="47">
        <v>17.37</v>
      </c>
      <c r="E290" s="3">
        <f t="shared" si="37"/>
        <v>12.958020000000001</v>
      </c>
      <c r="F290" s="4">
        <f t="shared" si="36"/>
        <v>20.285241990330903</v>
      </c>
      <c r="G290" s="51">
        <v>426.9</v>
      </c>
      <c r="H290" s="38">
        <f t="shared" si="38"/>
        <v>3.5994500000000001E-3</v>
      </c>
      <c r="I290" s="38">
        <f t="shared" si="40"/>
        <v>1.5366052050000001</v>
      </c>
      <c r="J290" s="38">
        <f t="shared" si="41"/>
        <v>1.5366052050000001</v>
      </c>
      <c r="K290" s="38">
        <f t="shared" si="42"/>
        <v>458.77546131416932</v>
      </c>
      <c r="L290" s="38">
        <f t="shared" si="43"/>
        <v>1.1908690338750002E-3</v>
      </c>
      <c r="M290" s="38">
        <f t="shared" si="44"/>
        <v>0.35555098251848211</v>
      </c>
    </row>
    <row r="291" spans="2:13">
      <c r="B291" s="48">
        <f t="shared" si="39"/>
        <v>287</v>
      </c>
      <c r="C291" s="47">
        <v>6200</v>
      </c>
      <c r="D291" s="47">
        <v>17.440000000000001</v>
      </c>
      <c r="E291" s="3">
        <f t="shared" si="37"/>
        <v>13.010240000000001</v>
      </c>
      <c r="F291" s="4">
        <f t="shared" si="36"/>
        <v>20.038490388502264</v>
      </c>
      <c r="G291" s="51">
        <v>426.9</v>
      </c>
      <c r="H291" s="38">
        <f t="shared" si="38"/>
        <v>3.6139555555555558E-3</v>
      </c>
      <c r="I291" s="38">
        <f t="shared" si="40"/>
        <v>1.5427976266666668</v>
      </c>
      <c r="J291" s="38">
        <f t="shared" si="41"/>
        <v>1.5427976266666668</v>
      </c>
      <c r="K291" s="38">
        <f t="shared" si="42"/>
        <v>460.31825894083596</v>
      </c>
      <c r="L291" s="38">
        <f t="shared" si="43"/>
        <v>1.1956681606666668E-3</v>
      </c>
      <c r="M291" s="38">
        <f t="shared" si="44"/>
        <v>0.35674665067914879</v>
      </c>
    </row>
    <row r="292" spans="2:13">
      <c r="B292" s="48">
        <f t="shared" si="39"/>
        <v>288</v>
      </c>
      <c r="C292" s="47">
        <v>6200</v>
      </c>
      <c r="D292" s="47">
        <v>17.440000000000001</v>
      </c>
      <c r="E292" s="3">
        <f t="shared" si="37"/>
        <v>13.010240000000001</v>
      </c>
      <c r="F292" s="4">
        <f t="shared" si="36"/>
        <v>20.038490388502264</v>
      </c>
      <c r="G292" s="51">
        <v>426.9</v>
      </c>
      <c r="H292" s="38">
        <f t="shared" si="38"/>
        <v>3.6139555555555558E-3</v>
      </c>
      <c r="I292" s="38">
        <f t="shared" si="40"/>
        <v>1.5427976266666668</v>
      </c>
      <c r="J292" s="38">
        <f t="shared" si="41"/>
        <v>1.5427976266666668</v>
      </c>
      <c r="K292" s="38">
        <f t="shared" si="42"/>
        <v>461.8610565675026</v>
      </c>
      <c r="L292" s="38">
        <f t="shared" si="43"/>
        <v>1.1956681606666668E-3</v>
      </c>
      <c r="M292" s="38">
        <f t="shared" si="44"/>
        <v>0.35794231883981548</v>
      </c>
    </row>
    <row r="293" spans="2:13">
      <c r="B293" s="48">
        <f t="shared" si="39"/>
        <v>289</v>
      </c>
      <c r="C293" s="47">
        <v>6300</v>
      </c>
      <c r="D293" s="47">
        <v>17.5</v>
      </c>
      <c r="E293" s="3">
        <f t="shared" si="37"/>
        <v>13.055</v>
      </c>
      <c r="F293" s="4">
        <f t="shared" si="36"/>
        <v>19.788264591092322</v>
      </c>
      <c r="G293" s="51">
        <v>426.9</v>
      </c>
      <c r="H293" s="38">
        <f t="shared" si="38"/>
        <v>3.6263888888888886E-3</v>
      </c>
      <c r="I293" s="38">
        <f t="shared" si="40"/>
        <v>1.5481054166666666</v>
      </c>
      <c r="J293" s="38">
        <f t="shared" si="41"/>
        <v>1.5481054166666666</v>
      </c>
      <c r="K293" s="38">
        <f t="shared" si="42"/>
        <v>463.40916198416926</v>
      </c>
      <c r="L293" s="38">
        <f t="shared" si="43"/>
        <v>1.1997816979166665E-3</v>
      </c>
      <c r="M293" s="38">
        <f t="shared" si="44"/>
        <v>0.35914210053773216</v>
      </c>
    </row>
    <row r="294" spans="2:13">
      <c r="B294" s="48">
        <f t="shared" si="39"/>
        <v>290</v>
      </c>
      <c r="C294" s="47">
        <v>6400</v>
      </c>
      <c r="D294" s="47">
        <v>17.8</v>
      </c>
      <c r="E294" s="3">
        <f t="shared" si="37"/>
        <v>13.2788</v>
      </c>
      <c r="F294" s="4">
        <f t="shared" si="36"/>
        <v>19.812999921831189</v>
      </c>
      <c r="G294" s="51">
        <v>426.9</v>
      </c>
      <c r="H294" s="38">
        <f t="shared" si="38"/>
        <v>3.6885555555555556E-3</v>
      </c>
      <c r="I294" s="38">
        <f t="shared" si="40"/>
        <v>1.5746443666666667</v>
      </c>
      <c r="J294" s="38">
        <f t="shared" si="41"/>
        <v>1.5746443666666665</v>
      </c>
      <c r="K294" s="38">
        <f t="shared" si="42"/>
        <v>464.98380635083595</v>
      </c>
      <c r="L294" s="38">
        <f t="shared" si="43"/>
        <v>1.2203493841666665E-3</v>
      </c>
      <c r="M294" s="38">
        <f t="shared" si="44"/>
        <v>0.36036244992189881</v>
      </c>
    </row>
    <row r="295" spans="2:13">
      <c r="B295" s="48">
        <f t="shared" si="39"/>
        <v>291</v>
      </c>
      <c r="C295" s="47">
        <v>6400</v>
      </c>
      <c r="D295" s="47">
        <v>17.8</v>
      </c>
      <c r="E295" s="3">
        <f t="shared" si="37"/>
        <v>13.2788</v>
      </c>
      <c r="F295" s="4">
        <f t="shared" si="36"/>
        <v>19.812999921831189</v>
      </c>
      <c r="G295" s="51">
        <v>426.9</v>
      </c>
      <c r="H295" s="38">
        <f t="shared" si="38"/>
        <v>3.6885555555555556E-3</v>
      </c>
      <c r="I295" s="38">
        <f t="shared" si="40"/>
        <v>1.5746443666666667</v>
      </c>
      <c r="J295" s="38">
        <f t="shared" si="41"/>
        <v>1.5746443666666665</v>
      </c>
      <c r="K295" s="38">
        <f t="shared" si="42"/>
        <v>466.55845071750264</v>
      </c>
      <c r="L295" s="38">
        <f t="shared" si="43"/>
        <v>1.2203493841666665E-3</v>
      </c>
      <c r="M295" s="38">
        <f t="shared" si="44"/>
        <v>0.36158279930606546</v>
      </c>
    </row>
    <row r="296" spans="2:13">
      <c r="B296" s="48">
        <f t="shared" si="39"/>
        <v>292</v>
      </c>
      <c r="C296" s="47">
        <v>6500</v>
      </c>
      <c r="D296" s="47">
        <v>18</v>
      </c>
      <c r="E296" s="3">
        <f t="shared" si="37"/>
        <v>13.428000000000001</v>
      </c>
      <c r="F296" s="4">
        <f t="shared" si="36"/>
        <v>19.727377623119732</v>
      </c>
      <c r="G296" s="51">
        <v>426.9</v>
      </c>
      <c r="H296" s="38">
        <f t="shared" si="38"/>
        <v>3.7300000000000002E-3</v>
      </c>
      <c r="I296" s="38">
        <f t="shared" si="40"/>
        <v>1.5923369999999999</v>
      </c>
      <c r="J296" s="38">
        <f t="shared" si="41"/>
        <v>1.5923370000000001</v>
      </c>
      <c r="K296" s="38">
        <f t="shared" si="42"/>
        <v>468.15078771750262</v>
      </c>
      <c r="L296" s="38">
        <f t="shared" si="43"/>
        <v>1.234061175E-3</v>
      </c>
      <c r="M296" s="38">
        <f t="shared" si="44"/>
        <v>0.36281686048106548</v>
      </c>
    </row>
    <row r="297" spans="2:13">
      <c r="B297" s="48">
        <f t="shared" si="39"/>
        <v>293</v>
      </c>
      <c r="C297" s="47">
        <v>6500</v>
      </c>
      <c r="D297" s="47">
        <v>18</v>
      </c>
      <c r="E297" s="3">
        <f t="shared" si="37"/>
        <v>13.428000000000001</v>
      </c>
      <c r="F297" s="4">
        <f t="shared" si="36"/>
        <v>19.727377623119732</v>
      </c>
      <c r="G297" s="51">
        <v>426.9</v>
      </c>
      <c r="H297" s="38">
        <f t="shared" si="38"/>
        <v>3.7300000000000002E-3</v>
      </c>
      <c r="I297" s="38">
        <f t="shared" si="40"/>
        <v>1.5923369999999999</v>
      </c>
      <c r="J297" s="38">
        <f t="shared" si="41"/>
        <v>1.5923370000000001</v>
      </c>
      <c r="K297" s="38">
        <f t="shared" si="42"/>
        <v>469.74312471750261</v>
      </c>
      <c r="L297" s="38">
        <f t="shared" si="43"/>
        <v>1.234061175E-3</v>
      </c>
      <c r="M297" s="38">
        <f t="shared" si="44"/>
        <v>0.36405092165606551</v>
      </c>
    </row>
    <row r="298" spans="2:13">
      <c r="B298" s="48">
        <f t="shared" si="39"/>
        <v>294</v>
      </c>
      <c r="C298" s="47">
        <v>6600</v>
      </c>
      <c r="D298" s="47">
        <v>16.8</v>
      </c>
      <c r="E298" s="3">
        <f t="shared" si="37"/>
        <v>12.532800000000002</v>
      </c>
      <c r="F298" s="4">
        <f t="shared" si="36"/>
        <v>18.133246098019146</v>
      </c>
      <c r="G298" s="51">
        <v>426.9</v>
      </c>
      <c r="H298" s="38">
        <f t="shared" si="38"/>
        <v>3.4813333333333337E-3</v>
      </c>
      <c r="I298" s="38">
        <f t="shared" si="40"/>
        <v>1.4861812000000001</v>
      </c>
      <c r="J298" s="38">
        <f t="shared" si="41"/>
        <v>1.4861812000000001</v>
      </c>
      <c r="K298" s="38">
        <f t="shared" si="42"/>
        <v>471.22930591750259</v>
      </c>
      <c r="L298" s="38">
        <f t="shared" si="43"/>
        <v>1.1517904300000002E-3</v>
      </c>
      <c r="M298" s="38">
        <f t="shared" si="44"/>
        <v>0.36520271208606553</v>
      </c>
    </row>
    <row r="299" spans="2:13">
      <c r="B299" s="48">
        <f t="shared" si="39"/>
        <v>295</v>
      </c>
      <c r="C299" s="47">
        <v>5200</v>
      </c>
      <c r="D299" s="47">
        <v>15.92</v>
      </c>
      <c r="E299" s="3">
        <f t="shared" si="37"/>
        <v>11.87632</v>
      </c>
      <c r="F299" s="4">
        <f t="shared" si="36"/>
        <v>21.80971192778237</v>
      </c>
      <c r="G299" s="51">
        <v>426.9</v>
      </c>
      <c r="H299" s="38">
        <f t="shared" si="38"/>
        <v>3.2989777777777778E-3</v>
      </c>
      <c r="I299" s="38">
        <f t="shared" si="40"/>
        <v>1.4083336133333331</v>
      </c>
      <c r="J299" s="38">
        <f t="shared" si="41"/>
        <v>1.4083336133333333</v>
      </c>
      <c r="K299" s="38">
        <f t="shared" si="42"/>
        <v>472.63763953083594</v>
      </c>
      <c r="L299" s="38">
        <f t="shared" si="43"/>
        <v>1.0914585503333334E-3</v>
      </c>
      <c r="M299" s="38">
        <f t="shared" si="44"/>
        <v>0.36629417063639885</v>
      </c>
    </row>
    <row r="300" spans="2:13">
      <c r="B300" s="48">
        <f t="shared" si="39"/>
        <v>296</v>
      </c>
      <c r="C300" s="47">
        <v>5200</v>
      </c>
      <c r="D300" s="47">
        <v>15.92</v>
      </c>
      <c r="E300" s="3">
        <f t="shared" si="37"/>
        <v>11.87632</v>
      </c>
      <c r="F300" s="4">
        <f t="shared" si="36"/>
        <v>21.80971192778237</v>
      </c>
      <c r="G300" s="51">
        <v>426.9</v>
      </c>
      <c r="H300" s="38">
        <f t="shared" si="38"/>
        <v>3.2989777777777778E-3</v>
      </c>
      <c r="I300" s="38">
        <f t="shared" si="40"/>
        <v>1.4083336133333331</v>
      </c>
      <c r="J300" s="38">
        <f t="shared" si="41"/>
        <v>1.4083336133333333</v>
      </c>
      <c r="K300" s="38">
        <f t="shared" si="42"/>
        <v>474.0459731441693</v>
      </c>
      <c r="L300" s="38">
        <f t="shared" si="43"/>
        <v>1.0914585503333334E-3</v>
      </c>
      <c r="M300" s="38">
        <f t="shared" si="44"/>
        <v>0.36738562918673218</v>
      </c>
    </row>
    <row r="301" spans="2:13">
      <c r="B301" s="48">
        <f t="shared" si="39"/>
        <v>297</v>
      </c>
      <c r="C301" s="47">
        <v>5300</v>
      </c>
      <c r="D301" s="47">
        <v>16.25</v>
      </c>
      <c r="E301" s="3">
        <f t="shared" si="37"/>
        <v>12.1225</v>
      </c>
      <c r="F301" s="4">
        <f t="shared" si="36"/>
        <v>21.841763746771711</v>
      </c>
      <c r="G301" s="51">
        <v>426.9</v>
      </c>
      <c r="H301" s="38">
        <f t="shared" si="38"/>
        <v>3.3673611111111113E-3</v>
      </c>
      <c r="I301" s="38">
        <f t="shared" si="40"/>
        <v>1.4375264583333334</v>
      </c>
      <c r="J301" s="38">
        <f t="shared" si="41"/>
        <v>1.4375264583333334</v>
      </c>
      <c r="K301" s="38">
        <f t="shared" si="42"/>
        <v>475.4834996025026</v>
      </c>
      <c r="L301" s="38">
        <f t="shared" si="43"/>
        <v>1.1140830052083332E-3</v>
      </c>
      <c r="M301" s="38">
        <f t="shared" si="44"/>
        <v>0.3684997121919405</v>
      </c>
    </row>
    <row r="302" spans="2:13">
      <c r="B302" s="48">
        <f t="shared" si="39"/>
        <v>298</v>
      </c>
      <c r="C302" s="47">
        <v>5300</v>
      </c>
      <c r="D302" s="47">
        <v>16.25</v>
      </c>
      <c r="E302" s="3">
        <f t="shared" si="37"/>
        <v>12.1225</v>
      </c>
      <c r="F302" s="4">
        <f t="shared" si="36"/>
        <v>21.841763746771711</v>
      </c>
      <c r="G302" s="51">
        <v>426.9</v>
      </c>
      <c r="H302" s="38">
        <f t="shared" si="38"/>
        <v>3.3673611111111113E-3</v>
      </c>
      <c r="I302" s="38">
        <f t="shared" si="40"/>
        <v>1.4375264583333334</v>
      </c>
      <c r="J302" s="38">
        <f t="shared" si="41"/>
        <v>1.4375264583333334</v>
      </c>
      <c r="K302" s="38">
        <f t="shared" si="42"/>
        <v>476.92102606083591</v>
      </c>
      <c r="L302" s="38">
        <f t="shared" si="43"/>
        <v>1.1140830052083332E-3</v>
      </c>
      <c r="M302" s="38">
        <f t="shared" si="44"/>
        <v>0.36961379519714882</v>
      </c>
    </row>
    <row r="303" spans="2:13">
      <c r="B303" s="48">
        <f t="shared" si="39"/>
        <v>299</v>
      </c>
      <c r="C303" s="47">
        <v>5300</v>
      </c>
      <c r="D303" s="47">
        <v>16.25</v>
      </c>
      <c r="E303" s="3">
        <f t="shared" si="37"/>
        <v>12.1225</v>
      </c>
      <c r="F303" s="4">
        <f t="shared" si="36"/>
        <v>21.841763746771711</v>
      </c>
      <c r="G303" s="51">
        <v>426.9</v>
      </c>
      <c r="H303" s="38">
        <f t="shared" si="38"/>
        <v>3.3673611111111113E-3</v>
      </c>
      <c r="I303" s="38">
        <f t="shared" si="40"/>
        <v>1.4375264583333334</v>
      </c>
      <c r="J303" s="38">
        <f t="shared" si="41"/>
        <v>1.4375264583333334</v>
      </c>
      <c r="K303" s="38">
        <f t="shared" si="42"/>
        <v>478.35855251916922</v>
      </c>
      <c r="L303" s="38">
        <f t="shared" si="43"/>
        <v>1.1140830052083332E-3</v>
      </c>
      <c r="M303" s="38">
        <f t="shared" si="44"/>
        <v>0.37072787820235714</v>
      </c>
    </row>
    <row r="304" spans="2:13">
      <c r="B304" s="48">
        <f t="shared" si="39"/>
        <v>300</v>
      </c>
      <c r="C304" s="47">
        <v>5400</v>
      </c>
      <c r="D304" s="47">
        <v>16.579999999999998</v>
      </c>
      <c r="E304" s="3">
        <f t="shared" si="37"/>
        <v>12.368679999999998</v>
      </c>
      <c r="F304" s="4">
        <f t="shared" si="36"/>
        <v>21.87262846135404</v>
      </c>
      <c r="G304" s="51">
        <v>426.9</v>
      </c>
      <c r="H304" s="38">
        <f t="shared" si="38"/>
        <v>3.4357444444444436E-3</v>
      </c>
      <c r="I304" s="38">
        <f t="shared" si="40"/>
        <v>1.466719303333333</v>
      </c>
      <c r="J304" s="38">
        <f t="shared" si="41"/>
        <v>1.466719303333333</v>
      </c>
      <c r="K304" s="38">
        <f t="shared" si="42"/>
        <v>479.82527182250254</v>
      </c>
      <c r="L304" s="38">
        <f t="shared" si="43"/>
        <v>1.1367074600833332E-3</v>
      </c>
      <c r="M304" s="38">
        <f t="shared" si="44"/>
        <v>0.37186458566244046</v>
      </c>
    </row>
    <row r="305" spans="2:13">
      <c r="B305" s="48">
        <f t="shared" si="39"/>
        <v>301</v>
      </c>
      <c r="C305" s="47">
        <v>5400</v>
      </c>
      <c r="D305" s="47">
        <v>16.579999999999998</v>
      </c>
      <c r="E305" s="3">
        <f t="shared" si="37"/>
        <v>12.368679999999998</v>
      </c>
      <c r="F305" s="4">
        <f t="shared" si="36"/>
        <v>21.87262846135404</v>
      </c>
      <c r="G305" s="51">
        <v>504.47</v>
      </c>
      <c r="H305" s="38">
        <f t="shared" si="38"/>
        <v>3.4357444444444436E-3</v>
      </c>
      <c r="I305" s="38">
        <f t="shared" si="40"/>
        <v>1.7332299998888887</v>
      </c>
      <c r="J305" s="38">
        <f t="shared" si="41"/>
        <v>1.7332299998888885</v>
      </c>
      <c r="K305" s="38">
        <f t="shared" si="42"/>
        <v>481.55850182239141</v>
      </c>
      <c r="L305" s="38">
        <f t="shared" si="43"/>
        <v>1.3432532499138886E-3</v>
      </c>
      <c r="M305" s="38">
        <f t="shared" si="44"/>
        <v>0.37320783891235437</v>
      </c>
    </row>
    <row r="306" spans="2:13">
      <c r="B306" s="48">
        <f t="shared" si="39"/>
        <v>302</v>
      </c>
      <c r="C306" s="47">
        <v>5400</v>
      </c>
      <c r="D306" s="47">
        <v>16.579999999999998</v>
      </c>
      <c r="E306" s="3">
        <f t="shared" si="37"/>
        <v>12.368679999999998</v>
      </c>
      <c r="F306" s="4">
        <f t="shared" si="36"/>
        <v>21.87262846135404</v>
      </c>
      <c r="G306" s="51">
        <v>504.47</v>
      </c>
      <c r="H306" s="38">
        <f t="shared" si="38"/>
        <v>3.4357444444444436E-3</v>
      </c>
      <c r="I306" s="38">
        <f t="shared" si="40"/>
        <v>1.7332299998888887</v>
      </c>
      <c r="J306" s="38">
        <f t="shared" si="41"/>
        <v>1.7332299998888885</v>
      </c>
      <c r="K306" s="38">
        <f t="shared" si="42"/>
        <v>483.29173182228027</v>
      </c>
      <c r="L306" s="38">
        <f t="shared" si="43"/>
        <v>1.3432532499138886E-3</v>
      </c>
      <c r="M306" s="38">
        <f t="shared" si="44"/>
        <v>0.37455109216226828</v>
      </c>
    </row>
    <row r="307" spans="2:13">
      <c r="B307" s="48">
        <f t="shared" si="39"/>
        <v>303</v>
      </c>
      <c r="C307" s="47">
        <v>5500</v>
      </c>
      <c r="D307" s="47">
        <v>16.940000000000001</v>
      </c>
      <c r="E307" s="3">
        <f t="shared" si="37"/>
        <v>12.637240000000002</v>
      </c>
      <c r="F307" s="4">
        <f t="shared" si="36"/>
        <v>21.941227778603171</v>
      </c>
      <c r="G307" s="51">
        <v>504.47</v>
      </c>
      <c r="H307" s="38">
        <f t="shared" si="38"/>
        <v>3.5103444444444451E-3</v>
      </c>
      <c r="I307" s="38">
        <f t="shared" si="40"/>
        <v>1.7708634618888894</v>
      </c>
      <c r="J307" s="38">
        <f t="shared" si="41"/>
        <v>1.7708634618888892</v>
      </c>
      <c r="K307" s="38">
        <f t="shared" si="42"/>
        <v>485.06259528416916</v>
      </c>
      <c r="L307" s="38">
        <f t="shared" si="43"/>
        <v>1.3724191829638892E-3</v>
      </c>
      <c r="M307" s="38">
        <f t="shared" si="44"/>
        <v>0.37592351134523216</v>
      </c>
    </row>
    <row r="308" spans="2:13">
      <c r="B308" s="48">
        <f t="shared" si="39"/>
        <v>304</v>
      </c>
      <c r="C308" s="47">
        <v>5500</v>
      </c>
      <c r="D308" s="47">
        <v>16.940000000000001</v>
      </c>
      <c r="E308" s="3">
        <f t="shared" si="37"/>
        <v>12.637240000000002</v>
      </c>
      <c r="F308" s="4">
        <f t="shared" si="36"/>
        <v>21.941227778603171</v>
      </c>
      <c r="G308" s="51">
        <v>504.47</v>
      </c>
      <c r="H308" s="38">
        <f t="shared" si="38"/>
        <v>3.5103444444444451E-3</v>
      </c>
      <c r="I308" s="38">
        <f t="shared" si="40"/>
        <v>1.7708634618888894</v>
      </c>
      <c r="J308" s="38">
        <f t="shared" si="41"/>
        <v>1.7708634618888892</v>
      </c>
      <c r="K308" s="38">
        <f t="shared" si="42"/>
        <v>486.83345874605806</v>
      </c>
      <c r="L308" s="38">
        <f t="shared" si="43"/>
        <v>1.3724191829638892E-3</v>
      </c>
      <c r="M308" s="38">
        <f t="shared" si="44"/>
        <v>0.37729593052819604</v>
      </c>
    </row>
    <row r="309" spans="2:13">
      <c r="B309" s="48">
        <f t="shared" si="39"/>
        <v>305</v>
      </c>
      <c r="C309" s="47">
        <v>5500</v>
      </c>
      <c r="D309" s="47">
        <v>16.940000000000001</v>
      </c>
      <c r="E309" s="3">
        <f t="shared" si="37"/>
        <v>12.637240000000002</v>
      </c>
      <c r="F309" s="4">
        <f t="shared" si="36"/>
        <v>21.941227778603171</v>
      </c>
      <c r="G309" s="51">
        <v>457.1</v>
      </c>
      <c r="H309" s="38">
        <f t="shared" si="38"/>
        <v>3.5103444444444451E-3</v>
      </c>
      <c r="I309" s="38">
        <f t="shared" si="40"/>
        <v>1.6045784455555558</v>
      </c>
      <c r="J309" s="38">
        <f t="shared" si="41"/>
        <v>1.6045784455555558</v>
      </c>
      <c r="K309" s="38">
        <f t="shared" si="42"/>
        <v>488.4380371916136</v>
      </c>
      <c r="L309" s="38">
        <f t="shared" si="43"/>
        <v>1.243548295305556E-3</v>
      </c>
      <c r="M309" s="38">
        <f t="shared" si="44"/>
        <v>0.37853947882350159</v>
      </c>
    </row>
    <row r="310" spans="2:13">
      <c r="B310" s="48">
        <f t="shared" si="39"/>
        <v>306</v>
      </c>
      <c r="C310" s="47">
        <v>5600</v>
      </c>
      <c r="D310" s="47">
        <v>17.05</v>
      </c>
      <c r="E310" s="3">
        <f t="shared" si="37"/>
        <v>12.7193</v>
      </c>
      <c r="F310" s="4">
        <f t="shared" si="36"/>
        <v>21.689351439307977</v>
      </c>
      <c r="G310" s="51">
        <v>457.1</v>
      </c>
      <c r="H310" s="38">
        <f t="shared" si="38"/>
        <v>3.533138888888889E-3</v>
      </c>
      <c r="I310" s="38">
        <f t="shared" si="40"/>
        <v>1.6149977861111111</v>
      </c>
      <c r="J310" s="38">
        <f t="shared" si="41"/>
        <v>1.6149977861111113</v>
      </c>
      <c r="K310" s="38">
        <f t="shared" si="42"/>
        <v>490.05303497772474</v>
      </c>
      <c r="L310" s="38">
        <f t="shared" si="43"/>
        <v>1.2516232842361113E-3</v>
      </c>
      <c r="M310" s="38">
        <f t="shared" si="44"/>
        <v>0.3797911021077377</v>
      </c>
    </row>
    <row r="311" spans="2:13">
      <c r="B311" s="48">
        <f t="shared" si="39"/>
        <v>307</v>
      </c>
      <c r="C311" s="47">
        <v>5600</v>
      </c>
      <c r="D311" s="47">
        <v>17.05</v>
      </c>
      <c r="E311" s="3">
        <f t="shared" si="37"/>
        <v>12.7193</v>
      </c>
      <c r="F311" s="4">
        <f t="shared" si="36"/>
        <v>21.689351439307977</v>
      </c>
      <c r="G311" s="51">
        <v>457.1</v>
      </c>
      <c r="H311" s="38">
        <f t="shared" si="38"/>
        <v>3.533138888888889E-3</v>
      </c>
      <c r="I311" s="38">
        <f t="shared" si="40"/>
        <v>1.6149977861111111</v>
      </c>
      <c r="J311" s="38">
        <f t="shared" si="41"/>
        <v>1.6149977861111113</v>
      </c>
      <c r="K311" s="38">
        <f t="shared" si="42"/>
        <v>491.66803276383587</v>
      </c>
      <c r="L311" s="38">
        <f t="shared" si="43"/>
        <v>1.2516232842361113E-3</v>
      </c>
      <c r="M311" s="38">
        <f t="shared" si="44"/>
        <v>0.38104272539197381</v>
      </c>
    </row>
    <row r="312" spans="2:13">
      <c r="B312" s="48">
        <f t="shared" si="39"/>
        <v>308</v>
      </c>
      <c r="C312" s="47">
        <v>5700</v>
      </c>
      <c r="D312" s="47">
        <v>17.11</v>
      </c>
      <c r="E312" s="3">
        <f t="shared" si="37"/>
        <v>12.764059999999999</v>
      </c>
      <c r="F312" s="4">
        <f t="shared" si="36"/>
        <v>21.383823609700396</v>
      </c>
      <c r="G312" s="51">
        <v>457.1</v>
      </c>
      <c r="H312" s="38">
        <f t="shared" si="38"/>
        <v>3.5455722222222218E-3</v>
      </c>
      <c r="I312" s="38">
        <f t="shared" si="40"/>
        <v>1.6206810627777777</v>
      </c>
      <c r="J312" s="38">
        <f t="shared" si="41"/>
        <v>1.6206810627777777</v>
      </c>
      <c r="K312" s="38">
        <f t="shared" si="42"/>
        <v>493.28871382661367</v>
      </c>
      <c r="L312" s="38">
        <f t="shared" si="43"/>
        <v>1.2560278236527778E-3</v>
      </c>
      <c r="M312" s="38">
        <f t="shared" si="44"/>
        <v>0.38229875321562656</v>
      </c>
    </row>
    <row r="313" spans="2:13">
      <c r="B313" s="48">
        <f t="shared" si="39"/>
        <v>309</v>
      </c>
      <c r="C313" s="47">
        <v>5700</v>
      </c>
      <c r="D313" s="47">
        <v>17.11</v>
      </c>
      <c r="E313" s="3">
        <f t="shared" si="37"/>
        <v>12.764059999999999</v>
      </c>
      <c r="F313" s="4">
        <f t="shared" si="36"/>
        <v>21.383823609700396</v>
      </c>
      <c r="G313" s="51">
        <v>457.1</v>
      </c>
      <c r="H313" s="38">
        <f t="shared" si="38"/>
        <v>3.5455722222222218E-3</v>
      </c>
      <c r="I313" s="38">
        <f t="shared" si="40"/>
        <v>1.6206810627777777</v>
      </c>
      <c r="J313" s="38">
        <f t="shared" si="41"/>
        <v>1.6206810627777777</v>
      </c>
      <c r="K313" s="38">
        <f t="shared" si="42"/>
        <v>494.90939488939148</v>
      </c>
      <c r="L313" s="38">
        <f t="shared" si="43"/>
        <v>1.2560278236527778E-3</v>
      </c>
      <c r="M313" s="38">
        <f t="shared" si="44"/>
        <v>0.38355478103927931</v>
      </c>
    </row>
    <row r="314" spans="2:13">
      <c r="B314" s="48">
        <f>B313+1</f>
        <v>310</v>
      </c>
      <c r="C314" s="47">
        <v>5700</v>
      </c>
      <c r="D314" s="47">
        <v>17.11</v>
      </c>
      <c r="E314" s="3">
        <f t="shared" si="37"/>
        <v>12.764059999999999</v>
      </c>
      <c r="F314" s="4">
        <f t="shared" si="36"/>
        <v>21.383823609700396</v>
      </c>
      <c r="G314" s="51">
        <v>457.1</v>
      </c>
      <c r="H314" s="38">
        <f t="shared" si="38"/>
        <v>3.5455722222222218E-3</v>
      </c>
      <c r="I314" s="38">
        <f t="shared" si="40"/>
        <v>1.6206810627777777</v>
      </c>
      <c r="J314" s="38">
        <f t="shared" si="41"/>
        <v>1.6206810627777777</v>
      </c>
      <c r="K314" s="38">
        <f t="shared" si="42"/>
        <v>496.53007595216928</v>
      </c>
      <c r="L314" s="38">
        <f t="shared" si="43"/>
        <v>1.2560278236527778E-3</v>
      </c>
      <c r="M314" s="38">
        <f t="shared" si="44"/>
        <v>0.38481080886293206</v>
      </c>
    </row>
    <row r="315" spans="2:13">
      <c r="B315" s="48">
        <f t="shared" ref="B315:B318" si="45">B314+1</f>
        <v>311</v>
      </c>
      <c r="C315" s="47">
        <v>5700</v>
      </c>
      <c r="D315" s="47">
        <v>17.11</v>
      </c>
      <c r="E315" s="3">
        <f t="shared" si="37"/>
        <v>12.764059999999999</v>
      </c>
      <c r="F315" s="4">
        <f t="shared" si="36"/>
        <v>21.383823609700396</v>
      </c>
      <c r="G315" s="51">
        <v>457.1</v>
      </c>
      <c r="H315" s="38">
        <f t="shared" si="38"/>
        <v>3.5455722222222218E-3</v>
      </c>
      <c r="I315" s="38">
        <f t="shared" si="40"/>
        <v>1.6206810627777777</v>
      </c>
      <c r="J315" s="38">
        <f t="shared" si="41"/>
        <v>1.6206810627777777</v>
      </c>
      <c r="K315" s="38">
        <f t="shared" si="42"/>
        <v>498.15075701494709</v>
      </c>
      <c r="L315" s="38">
        <f t="shared" si="43"/>
        <v>1.2560278236527778E-3</v>
      </c>
      <c r="M315" s="38">
        <f t="shared" si="44"/>
        <v>0.38606683668658481</v>
      </c>
    </row>
    <row r="316" spans="2:13">
      <c r="B316" s="48">
        <f t="shared" si="45"/>
        <v>312</v>
      </c>
      <c r="C316" s="47">
        <v>5800</v>
      </c>
      <c r="D316" s="47">
        <v>17.18</v>
      </c>
      <c r="E316" s="3">
        <f t="shared" si="37"/>
        <v>12.816280000000001</v>
      </c>
      <c r="F316" s="4">
        <f t="shared" si="36"/>
        <v>21.101113593618585</v>
      </c>
      <c r="G316" s="51">
        <v>457.1</v>
      </c>
      <c r="H316" s="38">
        <f t="shared" si="38"/>
        <v>3.560077777777778E-3</v>
      </c>
      <c r="I316" s="38">
        <f t="shared" si="40"/>
        <v>1.6273115522222223</v>
      </c>
      <c r="J316" s="38">
        <f t="shared" si="41"/>
        <v>1.6273115522222223</v>
      </c>
      <c r="K316" s="38">
        <f t="shared" si="42"/>
        <v>499.77806856716933</v>
      </c>
      <c r="L316" s="38">
        <f t="shared" si="43"/>
        <v>1.2611664529722224E-3</v>
      </c>
      <c r="M316" s="38">
        <f t="shared" si="44"/>
        <v>0.38732800313955701</v>
      </c>
    </row>
    <row r="317" spans="2:13">
      <c r="B317" s="48">
        <f t="shared" si="45"/>
        <v>313</v>
      </c>
      <c r="C317" s="47">
        <v>5800</v>
      </c>
      <c r="D317" s="47">
        <v>17.18</v>
      </c>
      <c r="E317" s="3">
        <f t="shared" si="37"/>
        <v>12.816280000000001</v>
      </c>
      <c r="F317" s="4">
        <f t="shared" si="36"/>
        <v>21.101113593618585</v>
      </c>
      <c r="G317" s="51">
        <v>457.1</v>
      </c>
      <c r="H317" s="38">
        <f t="shared" si="38"/>
        <v>3.560077777777778E-3</v>
      </c>
      <c r="I317" s="38">
        <f t="shared" si="40"/>
        <v>1.6273115522222223</v>
      </c>
      <c r="J317" s="38">
        <f t="shared" si="41"/>
        <v>1.6273115522222223</v>
      </c>
      <c r="K317" s="38">
        <f t="shared" si="42"/>
        <v>501.40538011939157</v>
      </c>
      <c r="L317" s="38">
        <f t="shared" si="43"/>
        <v>1.2611664529722224E-3</v>
      </c>
      <c r="M317" s="38">
        <f t="shared" si="44"/>
        <v>0.3885891695925292</v>
      </c>
    </row>
    <row r="318" spans="2:13">
      <c r="B318" s="48">
        <f t="shared" si="45"/>
        <v>314</v>
      </c>
      <c r="C318" s="47">
        <v>5800</v>
      </c>
      <c r="D318" s="47">
        <v>17.18</v>
      </c>
      <c r="E318" s="3">
        <f t="shared" si="37"/>
        <v>12.816280000000001</v>
      </c>
      <c r="F318" s="4">
        <f t="shared" si="36"/>
        <v>21.101113593618585</v>
      </c>
      <c r="G318" s="51">
        <v>457.1</v>
      </c>
      <c r="H318" s="38">
        <f t="shared" si="38"/>
        <v>3.560077777777778E-3</v>
      </c>
      <c r="I318" s="38">
        <f t="shared" si="40"/>
        <v>1.6273115522222223</v>
      </c>
      <c r="J318" s="38">
        <f t="shared" si="41"/>
        <v>1.6273115522222223</v>
      </c>
      <c r="K318" s="38">
        <f t="shared" si="42"/>
        <v>503.0326916716138</v>
      </c>
      <c r="L318" s="38">
        <f t="shared" si="43"/>
        <v>1.2611664529722224E-3</v>
      </c>
      <c r="M318" s="38">
        <f t="shared" si="44"/>
        <v>0.3898503360455014</v>
      </c>
    </row>
    <row r="319" spans="2:13">
      <c r="B319" s="38"/>
    </row>
  </sheetData>
  <pageMargins left="0.7" right="0.7" top="0.75" bottom="0.75" header="0.3" footer="0.3"/>
  <tableParts count="2">
    <tablePart r:id="rId1"/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topLeftCell="A101" zoomScale="80" zoomScaleNormal="80" workbookViewId="0">
      <selection activeCell="O357" sqref="O357"/>
    </sheetView>
  </sheetViews>
  <sheetFormatPr defaultRowHeight="15"/>
  <cols>
    <col min="1" max="16384" width="9.140625" style="38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Specification &amp; Data</vt:lpstr>
      <vt:lpstr>Acceleration &amp; Deceleration</vt:lpstr>
      <vt:lpstr>Aerodynamic Resistance</vt:lpstr>
      <vt:lpstr>Net Resistive Force</vt:lpstr>
      <vt:lpstr>Simulation</vt:lpstr>
      <vt:lpstr>BSFC</vt:lpstr>
      <vt:lpstr>Fuel Consumption</vt:lpstr>
      <vt:lpstr>Graphs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Linux</dc:creator>
  <cp:lastModifiedBy>Linux</cp:lastModifiedBy>
  <dcterms:created xsi:type="dcterms:W3CDTF">2021-12-24T01:52:21Z</dcterms:created>
  <dcterms:modified xsi:type="dcterms:W3CDTF">2022-01-04T05:05:58Z</dcterms:modified>
</cp:coreProperties>
</file>