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C:\Users\Andy\Documents\Team Data\Nick Edgeley\Setup Sheets\2018\Test 1 - Almeria 08-130218\"/>
    </mc:Choice>
  </mc:AlternateContent>
  <bookViews>
    <workbookView xWindow="9732" yWindow="12" windowWidth="10872" windowHeight="8196" activeTab="1"/>
  </bookViews>
  <sheets>
    <sheet name="Gearbox 675R" sheetId="1" r:id="rId1"/>
    <sheet name="Gear Change Calc" sheetId="3" r:id="rId2"/>
    <sheet name="Gear Change Chart" sheetId="4" r:id="rId3"/>
    <sheet name="Dyno Curve" sheetId="6" r:id="rId4"/>
    <sheet name="Gear Change Chart (2)" sheetId="8" r:id="rId5"/>
  </sheets>
  <definedNames>
    <definedName name="ChainSize">#REF!</definedName>
    <definedName name="First">'Gearbox 675R'!$C$9</definedName>
    <definedName name="First_1">#REF!</definedName>
    <definedName name="FrontSprockets">#REF!</definedName>
    <definedName name="Number_of_Links">#REF!</definedName>
    <definedName name="RearSprockets">#REF!</definedName>
  </definedNames>
  <calcPr calcId="171027" calcOnSave="0"/>
</workbook>
</file>

<file path=xl/calcChain.xml><?xml version="1.0" encoding="utf-8"?>
<calcChain xmlns="http://schemas.openxmlformats.org/spreadsheetml/2006/main">
  <c r="AO13" i="3" l="1"/>
  <c r="AQ15" i="3" s="1"/>
  <c r="AK12" i="3"/>
  <c r="O2" i="3"/>
  <c r="P2" i="3"/>
  <c r="Q2" i="3"/>
  <c r="R2" i="3"/>
  <c r="S2" i="3"/>
  <c r="T2" i="3"/>
  <c r="AO28" i="3" l="1"/>
  <c r="AQ29" i="3"/>
  <c r="O16" i="3"/>
  <c r="P16" i="3"/>
  <c r="Q16" i="3"/>
  <c r="R16" i="3"/>
  <c r="S16" i="3"/>
  <c r="T16" i="3"/>
  <c r="O17" i="3"/>
  <c r="P17" i="3"/>
  <c r="Q17" i="3"/>
  <c r="R17" i="3"/>
  <c r="S17" i="3"/>
  <c r="T17" i="3"/>
  <c r="O18" i="3"/>
  <c r="P18" i="3"/>
  <c r="Q18" i="3"/>
  <c r="R18" i="3"/>
  <c r="S18" i="3"/>
  <c r="T18" i="3"/>
  <c r="O19" i="3"/>
  <c r="P19" i="3"/>
  <c r="Q19" i="3"/>
  <c r="R19" i="3"/>
  <c r="S19" i="3"/>
  <c r="T19" i="3"/>
  <c r="O20" i="3"/>
  <c r="P20" i="3"/>
  <c r="Q20" i="3"/>
  <c r="R20" i="3"/>
  <c r="S20" i="3"/>
  <c r="T20" i="3"/>
  <c r="O21" i="3"/>
  <c r="P21" i="3"/>
  <c r="Q21" i="3"/>
  <c r="R21" i="3"/>
  <c r="S21" i="3"/>
  <c r="T21" i="3"/>
  <c r="O22" i="3"/>
  <c r="P22" i="3"/>
  <c r="Q22" i="3"/>
  <c r="R22" i="3"/>
  <c r="S22" i="3"/>
  <c r="T22" i="3"/>
  <c r="O23" i="3"/>
  <c r="P23" i="3"/>
  <c r="Q23" i="3"/>
  <c r="R23" i="3"/>
  <c r="S23" i="3"/>
  <c r="T23" i="3"/>
  <c r="O24" i="3"/>
  <c r="P24" i="3"/>
  <c r="Q24" i="3"/>
  <c r="R24" i="3"/>
  <c r="S24" i="3"/>
  <c r="T24" i="3"/>
  <c r="O25" i="3"/>
  <c r="P25" i="3"/>
  <c r="Q25" i="3"/>
  <c r="R25" i="3"/>
  <c r="S25" i="3"/>
  <c r="T25" i="3"/>
  <c r="P15" i="3"/>
  <c r="Q15" i="3"/>
  <c r="R15" i="3"/>
  <c r="S15" i="3"/>
  <c r="T15" i="3"/>
  <c r="O15" i="3"/>
  <c r="M11" i="3"/>
  <c r="T11" i="3" s="1"/>
  <c r="AJ16" i="3" l="1"/>
  <c r="AK16" i="3"/>
  <c r="AL16" i="3"/>
  <c r="AM16" i="3"/>
  <c r="AN16" i="3"/>
  <c r="AO16" i="3"/>
  <c r="AJ17" i="3"/>
  <c r="AK17" i="3"/>
  <c r="AL17" i="3"/>
  <c r="AM17" i="3"/>
  <c r="AN17" i="3"/>
  <c r="AO17" i="3"/>
  <c r="AJ18" i="3"/>
  <c r="AK18" i="3"/>
  <c r="AL18" i="3"/>
  <c r="AM18" i="3"/>
  <c r="AN18" i="3"/>
  <c r="AO18" i="3"/>
  <c r="AJ19" i="3"/>
  <c r="AK19" i="3"/>
  <c r="AL19" i="3"/>
  <c r="AM19" i="3"/>
  <c r="AN19" i="3"/>
  <c r="AO19" i="3"/>
  <c r="AJ20" i="3"/>
  <c r="AK20" i="3"/>
  <c r="AL20" i="3"/>
  <c r="AM20" i="3"/>
  <c r="AN20" i="3"/>
  <c r="AO20" i="3"/>
  <c r="AJ21" i="3"/>
  <c r="AK21" i="3"/>
  <c r="AL21" i="3"/>
  <c r="AM21" i="3"/>
  <c r="AN21" i="3"/>
  <c r="AO21" i="3"/>
  <c r="AJ22" i="3"/>
  <c r="AK22" i="3"/>
  <c r="AL22" i="3"/>
  <c r="AM22" i="3"/>
  <c r="AN22" i="3"/>
  <c r="AO22" i="3"/>
  <c r="AJ23" i="3"/>
  <c r="AK23" i="3"/>
  <c r="AL23" i="3"/>
  <c r="AM23" i="3"/>
  <c r="AN23" i="3"/>
  <c r="AO23" i="3"/>
  <c r="AJ24" i="3"/>
  <c r="AK24" i="3"/>
  <c r="AL24" i="3"/>
  <c r="AM24" i="3"/>
  <c r="AN24" i="3"/>
  <c r="AO24" i="3"/>
  <c r="AJ25" i="3"/>
  <c r="AK25" i="3"/>
  <c r="AL25" i="3"/>
  <c r="AM25" i="3"/>
  <c r="AN25" i="3"/>
  <c r="AO25" i="3"/>
  <c r="AK15" i="3"/>
  <c r="AL15" i="3"/>
  <c r="AM15" i="3"/>
  <c r="AN15" i="3"/>
  <c r="AO15" i="3"/>
  <c r="AJ15" i="3"/>
  <c r="AK27" i="3" l="1"/>
  <c r="AQ28" i="3" s="1"/>
  <c r="H25" i="3" l="1"/>
  <c r="I25" i="3"/>
  <c r="J25" i="3"/>
  <c r="K25" i="3"/>
  <c r="L25" i="3"/>
  <c r="M25" i="3"/>
  <c r="C25" i="3"/>
  <c r="D25" i="3"/>
  <c r="AB14" i="1" l="1"/>
  <c r="D24" i="3" l="1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AA14" i="1" l="1"/>
  <c r="C2" i="3"/>
  <c r="D2" i="3"/>
  <c r="C3" i="3"/>
  <c r="D3" i="3"/>
  <c r="C4" i="3"/>
  <c r="D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BA16" i="1" l="1"/>
  <c r="BA15" i="1"/>
  <c r="AE4" i="1" s="1"/>
  <c r="BA14" i="1"/>
  <c r="D19" i="1"/>
  <c r="D17" i="1"/>
  <c r="D15" i="1"/>
  <c r="D13" i="1"/>
  <c r="D11" i="1"/>
  <c r="D9" i="1"/>
  <c r="C19" i="1"/>
  <c r="C17" i="1"/>
  <c r="C15" i="1"/>
  <c r="C11" i="1"/>
  <c r="C13" i="1"/>
  <c r="C9" i="1"/>
  <c r="AX10" i="1"/>
  <c r="AX9" i="1"/>
  <c r="AX8" i="1"/>
  <c r="AX7" i="1"/>
  <c r="AX6" i="1"/>
  <c r="AX5" i="1"/>
  <c r="W11" i="1" l="1"/>
  <c r="BH21" i="1" l="1"/>
  <c r="BH22" i="1"/>
  <c r="BH20" i="1" l="1"/>
  <c r="BH19" i="1"/>
  <c r="U5" i="1" l="1"/>
  <c r="X5" i="1" s="1"/>
  <c r="M5" i="1"/>
  <c r="E5" i="1"/>
  <c r="T11" i="1"/>
  <c r="S11" i="1"/>
  <c r="W17" i="1"/>
  <c r="W15" i="1"/>
  <c r="W13" i="1"/>
  <c r="W9" i="1"/>
  <c r="AB19" i="1"/>
  <c r="AA19" i="1"/>
  <c r="W19" i="1"/>
  <c r="T19" i="1"/>
  <c r="S19" i="1"/>
  <c r="T17" i="1"/>
  <c r="S17" i="1"/>
  <c r="T15" i="1"/>
  <c r="S15" i="1"/>
  <c r="T13" i="1"/>
  <c r="S13" i="1"/>
  <c r="T9" i="1"/>
  <c r="S9" i="1"/>
  <c r="AE14" i="1"/>
  <c r="AB9" i="1"/>
  <c r="AA9" i="1"/>
  <c r="AL5" i="1"/>
  <c r="AO5" i="1"/>
  <c r="AR5" i="1"/>
  <c r="AU5" i="1"/>
  <c r="AL6" i="1"/>
  <c r="AO6" i="1"/>
  <c r="AR6" i="1"/>
  <c r="AU6" i="1"/>
  <c r="AL7" i="1"/>
  <c r="AO7" i="1"/>
  <c r="AR7" i="1"/>
  <c r="AU7" i="1"/>
  <c r="K9" i="1"/>
  <c r="L9" i="1"/>
  <c r="AL8" i="1"/>
  <c r="AO8" i="1"/>
  <c r="AR8" i="1"/>
  <c r="AU8" i="1"/>
  <c r="G9" i="1"/>
  <c r="O9" i="1"/>
  <c r="L11" i="1"/>
  <c r="K11" i="1"/>
  <c r="AL9" i="1"/>
  <c r="AO9" i="1"/>
  <c r="AR9" i="1"/>
  <c r="AU9" i="1"/>
  <c r="AL10" i="1"/>
  <c r="AO10" i="1"/>
  <c r="AR10" i="1"/>
  <c r="AU10" i="1"/>
  <c r="G11" i="1"/>
  <c r="O11" i="1"/>
  <c r="L13" i="1"/>
  <c r="K13" i="1"/>
  <c r="G13" i="1"/>
  <c r="O13" i="1"/>
  <c r="L15" i="1"/>
  <c r="K15" i="1"/>
  <c r="G15" i="1"/>
  <c r="O15" i="1"/>
  <c r="L17" i="1"/>
  <c r="K17" i="1"/>
  <c r="G17" i="1"/>
  <c r="O17" i="1"/>
  <c r="L19" i="1"/>
  <c r="K19" i="1"/>
  <c r="G19" i="1"/>
  <c r="O19" i="1"/>
  <c r="AE9" i="1" l="1"/>
  <c r="N9" i="1"/>
  <c r="N10" i="1" s="1"/>
  <c r="V9" i="1"/>
  <c r="V10" i="1" s="1"/>
  <c r="P5" i="1"/>
  <c r="K15" i="3"/>
  <c r="K16" i="3"/>
  <c r="K17" i="3"/>
  <c r="K18" i="3"/>
  <c r="K19" i="3"/>
  <c r="K20" i="3"/>
  <c r="K21" i="3"/>
  <c r="K22" i="3"/>
  <c r="K23" i="3"/>
  <c r="K24" i="3"/>
  <c r="H24" i="3"/>
  <c r="H23" i="3"/>
  <c r="H22" i="3"/>
  <c r="H21" i="3"/>
  <c r="H20" i="3"/>
  <c r="H19" i="3"/>
  <c r="H18" i="3"/>
  <c r="H17" i="3"/>
  <c r="H16" i="3"/>
  <c r="H15" i="3"/>
  <c r="J15" i="3"/>
  <c r="J16" i="3"/>
  <c r="J17" i="3"/>
  <c r="J18" i="3"/>
  <c r="J19" i="3"/>
  <c r="J20" i="3"/>
  <c r="J21" i="3"/>
  <c r="J22" i="3"/>
  <c r="J23" i="3"/>
  <c r="J24" i="3"/>
  <c r="I15" i="3"/>
  <c r="M15" i="3"/>
  <c r="I16" i="3"/>
  <c r="M16" i="3"/>
  <c r="I17" i="3"/>
  <c r="M17" i="3"/>
  <c r="I18" i="3"/>
  <c r="M18" i="3"/>
  <c r="I19" i="3"/>
  <c r="M19" i="3"/>
  <c r="I20" i="3"/>
  <c r="M20" i="3"/>
  <c r="I21" i="3"/>
  <c r="M21" i="3"/>
  <c r="I22" i="3"/>
  <c r="M22" i="3"/>
  <c r="I23" i="3"/>
  <c r="M23" i="3"/>
  <c r="I24" i="3"/>
  <c r="M24" i="3"/>
  <c r="L15" i="3"/>
  <c r="L16" i="3"/>
  <c r="L17" i="3"/>
  <c r="L18" i="3"/>
  <c r="L19" i="3"/>
  <c r="L20" i="3"/>
  <c r="L21" i="3"/>
  <c r="L22" i="3"/>
  <c r="L23" i="3"/>
  <c r="L24" i="3"/>
  <c r="AE19" i="1"/>
  <c r="J2" i="3"/>
  <c r="I11" i="3"/>
  <c r="P11" i="3" s="1"/>
  <c r="I2" i="3"/>
  <c r="H2" i="3"/>
  <c r="F9" i="1"/>
  <c r="F10" i="1" s="1"/>
  <c r="J3" i="3"/>
  <c r="Q3" i="3" s="1"/>
  <c r="J4" i="3"/>
  <c r="Q4" i="3" s="1"/>
  <c r="J5" i="3"/>
  <c r="Q5" i="3" s="1"/>
  <c r="J6" i="3"/>
  <c r="Q6" i="3" s="1"/>
  <c r="J7" i="3"/>
  <c r="Q7" i="3" s="1"/>
  <c r="J8" i="3"/>
  <c r="Q8" i="3" s="1"/>
  <c r="J9" i="3"/>
  <c r="Q9" i="3" s="1"/>
  <c r="J10" i="3"/>
  <c r="Q10" i="3" s="1"/>
  <c r="J11" i="3"/>
  <c r="Q11" i="3" s="1"/>
  <c r="F13" i="1"/>
  <c r="F14" i="1" s="1"/>
  <c r="M3" i="3"/>
  <c r="T3" i="3" s="1"/>
  <c r="M4" i="3"/>
  <c r="T4" i="3" s="1"/>
  <c r="M5" i="3"/>
  <c r="T5" i="3" s="1"/>
  <c r="M6" i="3"/>
  <c r="T6" i="3" s="1"/>
  <c r="M7" i="3"/>
  <c r="T7" i="3" s="1"/>
  <c r="M8" i="3"/>
  <c r="T8" i="3" s="1"/>
  <c r="M9" i="3"/>
  <c r="T9" i="3" s="1"/>
  <c r="M10" i="3"/>
  <c r="T10" i="3" s="1"/>
  <c r="L3" i="3"/>
  <c r="S3" i="3" s="1"/>
  <c r="L4" i="3"/>
  <c r="S4" i="3" s="1"/>
  <c r="L5" i="3"/>
  <c r="S5" i="3" s="1"/>
  <c r="L6" i="3"/>
  <c r="S6" i="3" s="1"/>
  <c r="L7" i="3"/>
  <c r="S7" i="3" s="1"/>
  <c r="L8" i="3"/>
  <c r="S8" i="3" s="1"/>
  <c r="L9" i="3"/>
  <c r="S9" i="3" s="1"/>
  <c r="L10" i="3"/>
  <c r="S10" i="3" s="1"/>
  <c r="L11" i="3"/>
  <c r="S11" i="3" s="1"/>
  <c r="F15" i="1"/>
  <c r="F16" i="1" s="1"/>
  <c r="F11" i="1"/>
  <c r="F12" i="1" s="1"/>
  <c r="H5" i="1"/>
  <c r="I3" i="3"/>
  <c r="P3" i="3" s="1"/>
  <c r="I4" i="3"/>
  <c r="P4" i="3" s="1"/>
  <c r="I5" i="3"/>
  <c r="P5" i="3" s="1"/>
  <c r="I6" i="3"/>
  <c r="P6" i="3" s="1"/>
  <c r="I7" i="3"/>
  <c r="P7" i="3" s="1"/>
  <c r="I8" i="3"/>
  <c r="P8" i="3" s="1"/>
  <c r="I9" i="3"/>
  <c r="P9" i="3" s="1"/>
  <c r="I10" i="3"/>
  <c r="P10" i="3" s="1"/>
  <c r="H3" i="3"/>
  <c r="O3" i="3" s="1"/>
  <c r="H4" i="3"/>
  <c r="O4" i="3" s="1"/>
  <c r="H5" i="3"/>
  <c r="O5" i="3" s="1"/>
  <c r="H6" i="3"/>
  <c r="O6" i="3" s="1"/>
  <c r="H7" i="3"/>
  <c r="O7" i="3" s="1"/>
  <c r="H8" i="3"/>
  <c r="O8" i="3" s="1"/>
  <c r="H9" i="3"/>
  <c r="O9" i="3" s="1"/>
  <c r="H10" i="3"/>
  <c r="O10" i="3" s="1"/>
  <c r="H11" i="3"/>
  <c r="O11" i="3" s="1"/>
  <c r="K3" i="3"/>
  <c r="R3" i="3" s="1"/>
  <c r="K4" i="3"/>
  <c r="R4" i="3" s="1"/>
  <c r="K5" i="3"/>
  <c r="R5" i="3" s="1"/>
  <c r="K6" i="3"/>
  <c r="R6" i="3" s="1"/>
  <c r="K7" i="3"/>
  <c r="R7" i="3" s="1"/>
  <c r="K8" i="3"/>
  <c r="R8" i="3" s="1"/>
  <c r="K9" i="3"/>
  <c r="R9" i="3" s="1"/>
  <c r="K10" i="3"/>
  <c r="R10" i="3" s="1"/>
  <c r="K11" i="3"/>
  <c r="R11" i="3" s="1"/>
  <c r="K2" i="3"/>
  <c r="F19" i="1"/>
  <c r="F17" i="1"/>
  <c r="F18" i="1" s="1"/>
  <c r="M2" i="3"/>
  <c r="L2" i="3"/>
  <c r="F8" i="1"/>
  <c r="V19" i="1"/>
  <c r="V15" i="1"/>
  <c r="V16" i="1" s="1"/>
  <c r="V11" i="1"/>
  <c r="V12" i="1" s="1"/>
  <c r="E9" i="1"/>
  <c r="N11" i="1"/>
  <c r="N12" i="1" s="1"/>
  <c r="N19" i="1"/>
  <c r="N8" i="1"/>
  <c r="V13" i="1"/>
  <c r="V14" i="1" s="1"/>
  <c r="N15" i="1"/>
  <c r="N16" i="1" s="1"/>
  <c r="G18" i="1"/>
  <c r="H18" i="1" s="1"/>
  <c r="G16" i="1"/>
  <c r="H16" i="1" s="1"/>
  <c r="G10" i="1"/>
  <c r="H10" i="1" s="1"/>
  <c r="H9" i="1" s="1"/>
  <c r="M15" i="1"/>
  <c r="M17" i="1"/>
  <c r="E11" i="1"/>
  <c r="U15" i="1"/>
  <c r="U19" i="1"/>
  <c r="U11" i="1"/>
  <c r="U13" i="1"/>
  <c r="U17" i="1"/>
  <c r="M11" i="1"/>
  <c r="E13" i="1"/>
  <c r="O14" i="1"/>
  <c r="P14" i="1" s="1"/>
  <c r="W10" i="1"/>
  <c r="X10" i="1" s="1"/>
  <c r="X9" i="1" s="1"/>
  <c r="U9" i="1"/>
  <c r="W18" i="1"/>
  <c r="X18" i="1" s="1"/>
  <c r="V17" i="1"/>
  <c r="V18" i="1" s="1"/>
  <c r="W16" i="1"/>
  <c r="X16" i="1" s="1"/>
  <c r="W14" i="1"/>
  <c r="X14" i="1" s="1"/>
  <c r="W12" i="1"/>
  <c r="X12" i="1" s="1"/>
  <c r="V8" i="1"/>
  <c r="M9" i="1"/>
  <c r="O12" i="1"/>
  <c r="P12" i="1" s="1"/>
  <c r="N13" i="1"/>
  <c r="N14" i="1" s="1"/>
  <c r="E19" i="1"/>
  <c r="G14" i="1"/>
  <c r="H14" i="1" s="1"/>
  <c r="G12" i="1"/>
  <c r="H12" i="1" s="1"/>
  <c r="M13" i="1"/>
  <c r="E17" i="1"/>
  <c r="E15" i="1"/>
  <c r="M19" i="1"/>
  <c r="O18" i="1"/>
  <c r="P18" i="1" s="1"/>
  <c r="N17" i="1"/>
  <c r="N18" i="1" s="1"/>
  <c r="O16" i="1"/>
  <c r="P16" i="1" s="1"/>
  <c r="O10" i="1"/>
  <c r="P10" i="1" s="1"/>
  <c r="P9" i="1" s="1"/>
  <c r="AM5" i="3" l="1"/>
  <c r="AF5" i="3"/>
  <c r="Y5" i="3"/>
  <c r="AJ6" i="3"/>
  <c r="AC6" i="3"/>
  <c r="V6" i="3"/>
  <c r="AK6" i="3"/>
  <c r="AD6" i="3"/>
  <c r="W6" i="3"/>
  <c r="AN6" i="3"/>
  <c r="AG6" i="3"/>
  <c r="Z6" i="3"/>
  <c r="AO6" i="3"/>
  <c r="AH6" i="3"/>
  <c r="AA6" i="3"/>
  <c r="AL8" i="3"/>
  <c r="X8" i="3"/>
  <c r="AE8" i="3"/>
  <c r="AK2" i="3"/>
  <c r="W2" i="3"/>
  <c r="AD2" i="3"/>
  <c r="AN2" i="3"/>
  <c r="Z2" i="3"/>
  <c r="AG2" i="3"/>
  <c r="AM2" i="3"/>
  <c r="AF2" i="3"/>
  <c r="Y2" i="3"/>
  <c r="AM8" i="3"/>
  <c r="Y8" i="3"/>
  <c r="AF8" i="3"/>
  <c r="AM4" i="3"/>
  <c r="Y4" i="3"/>
  <c r="AF4" i="3"/>
  <c r="AJ9" i="3"/>
  <c r="V9" i="3"/>
  <c r="AC9" i="3"/>
  <c r="AJ5" i="3"/>
  <c r="V5" i="3"/>
  <c r="AC5" i="3"/>
  <c r="AK9" i="3"/>
  <c r="W9" i="3"/>
  <c r="AD9" i="3"/>
  <c r="AK5" i="3"/>
  <c r="W5" i="3"/>
  <c r="AD5" i="3"/>
  <c r="AN9" i="3"/>
  <c r="Z9" i="3"/>
  <c r="AG9" i="3"/>
  <c r="AN5" i="3"/>
  <c r="Z5" i="3"/>
  <c r="AG5" i="3"/>
  <c r="AO9" i="3"/>
  <c r="AA9" i="3"/>
  <c r="AH9" i="3"/>
  <c r="AO5" i="3"/>
  <c r="AA5" i="3"/>
  <c r="AH5" i="3"/>
  <c r="AL11" i="3"/>
  <c r="X11" i="3"/>
  <c r="AE11" i="3"/>
  <c r="AL7" i="3"/>
  <c r="X7" i="3"/>
  <c r="AE7" i="3"/>
  <c r="AL3" i="3"/>
  <c r="X3" i="3"/>
  <c r="AE3" i="3"/>
  <c r="AK11" i="3"/>
  <c r="W11" i="3"/>
  <c r="AD11" i="3"/>
  <c r="AM9" i="3"/>
  <c r="AF9" i="3"/>
  <c r="Y9" i="3"/>
  <c r="AJ10" i="3"/>
  <c r="AC10" i="3"/>
  <c r="V10" i="3"/>
  <c r="AK10" i="3"/>
  <c r="AD10" i="3"/>
  <c r="W10" i="3"/>
  <c r="AN10" i="3"/>
  <c r="Z10" i="3"/>
  <c r="AG10" i="3"/>
  <c r="AO10" i="3"/>
  <c r="AH10" i="3"/>
  <c r="AA10" i="3"/>
  <c r="AL4" i="3"/>
  <c r="X4" i="3"/>
  <c r="AE4" i="3"/>
  <c r="AO2" i="3"/>
  <c r="AA2" i="3"/>
  <c r="AH2" i="3"/>
  <c r="AM11" i="3"/>
  <c r="AF11" i="3"/>
  <c r="Y11" i="3"/>
  <c r="AM7" i="3"/>
  <c r="AF7" i="3"/>
  <c r="Y7" i="3"/>
  <c r="AM3" i="3"/>
  <c r="AF3" i="3"/>
  <c r="Y3" i="3"/>
  <c r="AJ8" i="3"/>
  <c r="AC8" i="3"/>
  <c r="V8" i="3"/>
  <c r="AJ4" i="3"/>
  <c r="V4" i="3"/>
  <c r="AC4" i="3"/>
  <c r="AK8" i="3"/>
  <c r="AD8" i="3"/>
  <c r="W8" i="3"/>
  <c r="AK4" i="3"/>
  <c r="AD4" i="3"/>
  <c r="W4" i="3"/>
  <c r="AN8" i="3"/>
  <c r="Z8" i="3"/>
  <c r="AG8" i="3"/>
  <c r="AN4" i="3"/>
  <c r="AG4" i="3"/>
  <c r="Z4" i="3"/>
  <c r="AO8" i="3"/>
  <c r="AH8" i="3"/>
  <c r="AA8" i="3"/>
  <c r="AO4" i="3"/>
  <c r="AH4" i="3"/>
  <c r="AA4" i="3"/>
  <c r="AL10" i="3"/>
  <c r="X10" i="3"/>
  <c r="AE10" i="3"/>
  <c r="AL6" i="3"/>
  <c r="X6" i="3"/>
  <c r="AE6" i="3"/>
  <c r="AL2" i="3"/>
  <c r="AE2" i="3"/>
  <c r="X2" i="3"/>
  <c r="AM10" i="3"/>
  <c r="Y10" i="3"/>
  <c r="AF10" i="3"/>
  <c r="AM6" i="3"/>
  <c r="Y6" i="3"/>
  <c r="AF6" i="3"/>
  <c r="AJ11" i="3"/>
  <c r="V11" i="3"/>
  <c r="AC11" i="3"/>
  <c r="AJ7" i="3"/>
  <c r="V7" i="3"/>
  <c r="AC7" i="3"/>
  <c r="V3" i="3"/>
  <c r="AJ3" i="3"/>
  <c r="AC3" i="3"/>
  <c r="AK7" i="3"/>
  <c r="W7" i="3"/>
  <c r="AD7" i="3"/>
  <c r="AK3" i="3"/>
  <c r="W3" i="3"/>
  <c r="AD3" i="3"/>
  <c r="AN11" i="3"/>
  <c r="Z11" i="3"/>
  <c r="AG11" i="3"/>
  <c r="AN7" i="3"/>
  <c r="Z7" i="3"/>
  <c r="AG7" i="3"/>
  <c r="AN3" i="3"/>
  <c r="Z3" i="3"/>
  <c r="AG3" i="3"/>
  <c r="AO7" i="3"/>
  <c r="AA7" i="3"/>
  <c r="AH7" i="3"/>
  <c r="AO3" i="3"/>
  <c r="AA3" i="3"/>
  <c r="AH3" i="3"/>
  <c r="AL9" i="3"/>
  <c r="AE9" i="3"/>
  <c r="X9" i="3"/>
  <c r="AL5" i="3"/>
  <c r="X5" i="3"/>
  <c r="AE5" i="3"/>
  <c r="AJ2" i="3"/>
  <c r="V2" i="3"/>
  <c r="AC2" i="3"/>
  <c r="AO11" i="3"/>
  <c r="AA11" i="3"/>
  <c r="AH11" i="3"/>
  <c r="AQ14" i="3" l="1"/>
  <c r="AS14" i="3" s="1"/>
  <c r="AS15" i="3"/>
  <c r="AS16" i="3" l="1"/>
</calcChain>
</file>

<file path=xl/sharedStrings.xml><?xml version="1.0" encoding="utf-8"?>
<sst xmlns="http://schemas.openxmlformats.org/spreadsheetml/2006/main" count="183" uniqueCount="85">
  <si>
    <t>Gear Calc.</t>
  </si>
  <si>
    <t>Gearbox N°</t>
  </si>
  <si>
    <t>Primary</t>
  </si>
  <si>
    <t>FINAL</t>
  </si>
  <si>
    <t>Gear</t>
  </si>
  <si>
    <t>Gearbox A</t>
  </si>
  <si>
    <t>Gearbox B</t>
  </si>
  <si>
    <t>Gearbox C</t>
  </si>
  <si>
    <t>Gearbox D</t>
  </si>
  <si>
    <t>Diam</t>
  </si>
  <si>
    <t>m</t>
  </si>
  <si>
    <t>A</t>
  </si>
  <si>
    <t>RPM</t>
  </si>
  <si>
    <t>tr/mn</t>
  </si>
  <si>
    <t>B</t>
  </si>
  <si>
    <t>Ratios</t>
  </si>
  <si>
    <t>Speeds</t>
  </si>
  <si>
    <t>Revs</t>
  </si>
  <si>
    <t>Falls</t>
  </si>
  <si>
    <t>C</t>
  </si>
  <si>
    <t>D</t>
  </si>
  <si>
    <t>1st</t>
  </si>
  <si>
    <t>2nd</t>
  </si>
  <si>
    <t>3rd</t>
  </si>
  <si>
    <t>Cluster 3-4</t>
  </si>
  <si>
    <t>A-A</t>
  </si>
  <si>
    <t>A-B</t>
  </si>
  <si>
    <t>4th</t>
  </si>
  <si>
    <t>A-D</t>
  </si>
  <si>
    <t>B-A</t>
  </si>
  <si>
    <t>B-B</t>
  </si>
  <si>
    <t>B-C</t>
  </si>
  <si>
    <t>5th</t>
  </si>
  <si>
    <t>Rear tyre diameter</t>
  </si>
  <si>
    <t>6th</t>
  </si>
  <si>
    <t>INTER</t>
  </si>
  <si>
    <t>RAIN</t>
  </si>
  <si>
    <t>Chain Size</t>
  </si>
  <si>
    <t>Dimension</t>
  </si>
  <si>
    <t>1/2"</t>
  </si>
  <si>
    <t>5/8"</t>
  </si>
  <si>
    <t>3/4"</t>
  </si>
  <si>
    <t>Number of Links</t>
  </si>
  <si>
    <t>Front Sprockets</t>
  </si>
  <si>
    <t>Rear Sprockets</t>
  </si>
  <si>
    <t>Chain size</t>
  </si>
  <si>
    <t>Front sprocket</t>
  </si>
  <si>
    <t>Rear sprocket</t>
  </si>
  <si>
    <t xml:space="preserve">Chain </t>
  </si>
  <si>
    <t>Distance between front sprocket and pivot</t>
  </si>
  <si>
    <t>Swing arm Length</t>
  </si>
  <si>
    <t>Gearbox 1</t>
  </si>
  <si>
    <t>Gearbox 2</t>
  </si>
  <si>
    <t>Chain Length</t>
  </si>
  <si>
    <t>Gearbox 3</t>
  </si>
  <si>
    <t>Width</t>
  </si>
  <si>
    <t>Aspect Ratio</t>
  </si>
  <si>
    <t>Rim Size</t>
  </si>
  <si>
    <t>A Tyre</t>
  </si>
  <si>
    <t>B Tyre</t>
  </si>
  <si>
    <t>Circ</t>
  </si>
  <si>
    <t>1 - Last Year</t>
  </si>
  <si>
    <t>2 - Current</t>
  </si>
  <si>
    <t>3 - New</t>
  </si>
  <si>
    <t>Gearbox Moto 2</t>
  </si>
  <si>
    <t>M</t>
  </si>
  <si>
    <t>Moto 2 Primary</t>
  </si>
  <si>
    <t>Power (hp)</t>
  </si>
  <si>
    <t>Torque (Nm)</t>
  </si>
  <si>
    <t>Power (Kw)</t>
  </si>
  <si>
    <t>Road Speed 1st</t>
  </si>
  <si>
    <t>Road Speed 2nd</t>
  </si>
  <si>
    <t>Road Speed 3rd</t>
  </si>
  <si>
    <t>Road Speed 4th</t>
  </si>
  <si>
    <t>Road Speed 5th</t>
  </si>
  <si>
    <t>Road Speed 6th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</si>
  <si>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</si>
  <si>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</si>
  <si>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</si>
  <si>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</si>
  <si>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</si>
  <si>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</si>
  <si>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TRIUMPH 675R 2015</t>
  </si>
  <si>
    <t>Percentage Increase</t>
  </si>
  <si>
    <t>Percentage Increase at New RPM's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</si>
</sst>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.75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6"/>
      <name val="Times New Roman"/>
      <family val="1"/>
    </font>
    <font>
      <b/>
      <i/>
      <sz val="16"/>
      <color indexed="12"/>
      <name val="Times New Roman"/>
      <family val="1"/>
    </font>
    <font>
      <b/>
      <i/>
      <sz val="16"/>
      <color indexed="10"/>
      <name val="Times New Roman"/>
      <family val="1"/>
    </font>
    <font>
      <b/>
      <i/>
      <sz val="16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11"/>
      <color indexed="10"/>
      <name val="Times New Roman"/>
      <family val="1"/>
    </font>
    <font>
      <sz val="14"/>
      <color indexed="10"/>
      <name val="Times New Roman"/>
      <family val="1"/>
    </font>
    <font>
      <b/>
      <sz val="9.75"/>
      <name val="Times New Roman"/>
      <family val="1"/>
    </font>
    <font>
      <b/>
      <sz val="11"/>
      <color indexed="12"/>
      <name val="Times New Roman"/>
      <family val="1"/>
    </font>
    <font>
      <sz val="12"/>
      <color indexed="9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10"/>
      <name val="Times New Roman"/>
      <family val="1"/>
    </font>
    <font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i/>
      <sz val="16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2"/>
      <color rgb="FF00B050"/>
      <name val="Times New Roman"/>
      <family val="1"/>
    </font>
    <font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1" fillId="0" borderId="0" xfId="0" applyFont="1" applyBorder="1" applyAlignment="1" applyProtection="1">
      <alignment horizontal="center"/>
      <protection hidden="1"/>
    </xf>
    <xf numFmtId="0" fontId="12" fillId="0" borderId="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3" fillId="2" borderId="0" xfId="0" applyFont="1" applyFill="1" applyBorder="1"/>
    <xf numFmtId="0" fontId="11" fillId="0" borderId="0" xfId="0" applyFont="1" applyBorder="1" applyAlignment="1" applyProtection="1">
      <alignment horizontal="center"/>
      <protection locked="0"/>
    </xf>
    <xf numFmtId="0" fontId="14" fillId="0" borderId="4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0" borderId="5" xfId="0" applyFont="1" applyBorder="1"/>
    <xf numFmtId="0" fontId="12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0" borderId="0" xfId="0" applyBorder="1"/>
    <xf numFmtId="0" fontId="3" fillId="0" borderId="5" xfId="0" applyFont="1" applyFill="1" applyBorder="1" applyAlignment="1" applyProtection="1">
      <alignment horizontal="center"/>
    </xf>
    <xf numFmtId="0" fontId="12" fillId="0" borderId="7" xfId="0" applyFont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0" fontId="3" fillId="3" borderId="5" xfId="0" applyFont="1" applyFill="1" applyBorder="1" applyAlignment="1" applyProtection="1">
      <alignment horizontal="center"/>
    </xf>
    <xf numFmtId="0" fontId="10" fillId="0" borderId="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" fontId="18" fillId="0" borderId="4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center"/>
    </xf>
    <xf numFmtId="1" fontId="18" fillId="0" borderId="0" xfId="0" applyNumberFormat="1" applyFont="1" applyBorder="1" applyAlignment="1" applyProtection="1">
      <alignment horizontal="center"/>
      <protection hidden="1"/>
    </xf>
    <xf numFmtId="1" fontId="19" fillId="0" borderId="0" xfId="0" applyNumberFormat="1" applyFont="1" applyBorder="1" applyAlignment="1" applyProtection="1">
      <alignment horizontal="center"/>
      <protection hidden="1"/>
    </xf>
    <xf numFmtId="1" fontId="11" fillId="0" borderId="4" xfId="0" applyNumberFormat="1" applyFont="1" applyBorder="1" applyAlignment="1">
      <alignment horizontal="center"/>
    </xf>
    <xf numFmtId="1" fontId="20" fillId="0" borderId="0" xfId="0" applyNumberFormat="1" applyFont="1" applyBorder="1" applyAlignment="1" applyProtection="1">
      <alignment horizontal="center"/>
      <protection hidden="1"/>
    </xf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2" borderId="0" xfId="0" applyFont="1" applyFill="1"/>
    <xf numFmtId="0" fontId="3" fillId="0" borderId="8" xfId="0" applyFont="1" applyBorder="1"/>
    <xf numFmtId="0" fontId="10" fillId="0" borderId="9" xfId="0" applyFont="1" applyBorder="1" applyAlignment="1">
      <alignment horizontal="center"/>
    </xf>
    <xf numFmtId="164" fontId="12" fillId="0" borderId="10" xfId="0" applyNumberFormat="1" applyFont="1" applyBorder="1" applyAlignment="1">
      <alignment horizontal="center"/>
    </xf>
    <xf numFmtId="1" fontId="11" fillId="0" borderId="10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/>
    <xf numFmtId="164" fontId="3" fillId="0" borderId="0" xfId="0" applyNumberFormat="1" applyFo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3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24" fillId="0" borderId="0" xfId="0" applyFont="1" applyBorder="1" applyAlignment="1">
      <alignment horizontal="center"/>
    </xf>
    <xf numFmtId="1" fontId="25" fillId="0" borderId="0" xfId="0" applyNumberFormat="1" applyFont="1" applyBorder="1" applyAlignment="1" applyProtection="1">
      <alignment horizontal="center"/>
      <protection hidden="1"/>
    </xf>
    <xf numFmtId="17" fontId="23" fillId="2" borderId="2" xfId="0" applyNumberFormat="1" applyFont="1" applyFill="1" applyBorder="1" applyAlignment="1">
      <alignment horizontal="left" vertical="center"/>
    </xf>
    <xf numFmtId="0" fontId="17" fillId="0" borderId="23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0" fontId="2" fillId="0" borderId="0" xfId="1"/>
    <xf numFmtId="1" fontId="2" fillId="0" borderId="0" xfId="1" applyNumberFormat="1"/>
    <xf numFmtId="2" fontId="2" fillId="0" borderId="0" xfId="1" applyNumberFormat="1"/>
    <xf numFmtId="0" fontId="3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" fontId="10" fillId="0" borderId="20" xfId="0" applyNumberFormat="1" applyFont="1" applyBorder="1" applyAlignment="1">
      <alignment horizontal="center" vertical="center"/>
    </xf>
    <xf numFmtId="1" fontId="10" fillId="0" borderId="21" xfId="0" applyNumberFormat="1" applyFont="1" applyBorder="1" applyAlignment="1">
      <alignment horizontal="center" vertical="center"/>
    </xf>
    <xf numFmtId="0" fontId="10" fillId="0" borderId="7" xfId="0" applyFont="1" applyBorder="1" applyAlignment="1" applyProtection="1">
      <alignment horizontal="center"/>
      <protection hidden="1"/>
    </xf>
    <xf numFmtId="0" fontId="12" fillId="0" borderId="0" xfId="0" applyFont="1" applyBorder="1" applyAlignment="1">
      <alignment horizontal="left"/>
    </xf>
    <xf numFmtId="164" fontId="26" fillId="0" borderId="15" xfId="0" applyNumberFormat="1" applyFont="1" applyBorder="1" applyAlignment="1">
      <alignment horizontal="center"/>
    </xf>
    <xf numFmtId="164" fontId="26" fillId="0" borderId="16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164" fontId="22" fillId="0" borderId="15" xfId="0" applyNumberFormat="1" applyFont="1" applyBorder="1" applyAlignment="1">
      <alignment horizontal="center"/>
    </xf>
    <xf numFmtId="164" fontId="22" fillId="0" borderId="16" xfId="0" applyNumberFormat="1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Revs</a:t>
            </a:r>
          </a:p>
        </c:rich>
      </c:tx>
      <c:layout>
        <c:manualLayout>
          <c:xMode val="edge"/>
          <c:yMode val="edge"/>
          <c:x val="0.10432331025735875"/>
          <c:y val="0.1337581846855130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"/>
          <c:y val="0.22929983848327953"/>
          <c:w val="0.76503759398496241"/>
          <c:h val="0.69639210206032309"/>
        </c:manualLayout>
      </c:layout>
      <c:scatterChart>
        <c:scatterStyle val="lineMarker"/>
        <c:varyColors val="0"/>
        <c:ser>
          <c:idx val="0"/>
          <c:order val="0"/>
          <c:spPr>
            <a:ln w="3175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675R'!$F$8:$F$19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143.97539452289871</c:v>
                </c:pt>
                <c:pt idx="2">
                  <c:v>143.97539452289871</c:v>
                </c:pt>
                <c:pt idx="3">
                  <c:v>180.99763882878699</c:v>
                </c:pt>
                <c:pt idx="4">
                  <c:v>180.99763882878699</c:v>
                </c:pt>
                <c:pt idx="5">
                  <c:v>211.16391196691819</c:v>
                </c:pt>
                <c:pt idx="6">
                  <c:v>211.16391196691819</c:v>
                </c:pt>
                <c:pt idx="7">
                  <c:v>234.6265688521313</c:v>
                </c:pt>
                <c:pt idx="8">
                  <c:v>234.6265688521313</c:v>
                </c:pt>
                <c:pt idx="9">
                  <c:v>255.83320103684315</c:v>
                </c:pt>
                <c:pt idx="10">
                  <c:v>255.83320103684315</c:v>
                </c:pt>
                <c:pt idx="11">
                  <c:v>277.15263445658013</c:v>
                </c:pt>
              </c:numCache>
            </c:numRef>
          </c:xVal>
          <c:yVal>
            <c:numRef>
              <c:f>'Gearbox 675R'!$G$8:$G$19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14200</c:v>
                </c:pt>
                <c:pt idx="2">
                  <c:v>11295.454545454544</c:v>
                </c:pt>
                <c:pt idx="3">
                  <c:v>14200</c:v>
                </c:pt>
                <c:pt idx="4">
                  <c:v>12171.428571428571</c:v>
                </c:pt>
                <c:pt idx="5">
                  <c:v>14200</c:v>
                </c:pt>
                <c:pt idx="6">
                  <c:v>12780</c:v>
                </c:pt>
                <c:pt idx="7">
                  <c:v>14200</c:v>
                </c:pt>
                <c:pt idx="8">
                  <c:v>13022.927689594357</c:v>
                </c:pt>
                <c:pt idx="9">
                  <c:v>14200</c:v>
                </c:pt>
                <c:pt idx="10">
                  <c:v>13107.692307692307</c:v>
                </c:pt>
                <c:pt idx="11">
                  <c:v>14200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796-4B99-8CED-533E4BD191B2}"/>
            </c:ext>
          </c:extLst>
        </c:ser>
        <c:ser>
          <c:idx val="1"/>
          <c:order val="1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675R'!$N$8:$N$19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143.84020635902749</c:v>
                </c:pt>
                <c:pt idx="2">
                  <c:v>143.84020635902749</c:v>
                </c:pt>
                <c:pt idx="3">
                  <c:v>180.82768799420595</c:v>
                </c:pt>
                <c:pt idx="4">
                  <c:v>180.82768799420595</c:v>
                </c:pt>
                <c:pt idx="5">
                  <c:v>210.96563599324031</c:v>
                </c:pt>
                <c:pt idx="6">
                  <c:v>210.96563599324031</c:v>
                </c:pt>
                <c:pt idx="7">
                  <c:v>234.40626221471143</c:v>
                </c:pt>
                <c:pt idx="8">
                  <c:v>234.40626221471143</c:v>
                </c:pt>
                <c:pt idx="9">
                  <c:v>255.59298206873348</c:v>
                </c:pt>
                <c:pt idx="10">
                  <c:v>255.59298206873348</c:v>
                </c:pt>
                <c:pt idx="11">
                  <c:v>276.89239724112792</c:v>
                </c:pt>
              </c:numCache>
            </c:numRef>
          </c:xVal>
          <c:yVal>
            <c:numRef>
              <c:f>'Gearbox 675R'!$O$8:$O$19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15200</c:v>
                </c:pt>
                <c:pt idx="2">
                  <c:v>12090.90909090909</c:v>
                </c:pt>
                <c:pt idx="3">
                  <c:v>15200</c:v>
                </c:pt>
                <c:pt idx="4">
                  <c:v>13028.571428571428</c:v>
                </c:pt>
                <c:pt idx="5">
                  <c:v>15200</c:v>
                </c:pt>
                <c:pt idx="6">
                  <c:v>13680</c:v>
                </c:pt>
                <c:pt idx="7">
                  <c:v>15200</c:v>
                </c:pt>
                <c:pt idx="8">
                  <c:v>13940.035273368607</c:v>
                </c:pt>
                <c:pt idx="9">
                  <c:v>15200</c:v>
                </c:pt>
                <c:pt idx="10">
                  <c:v>14030.76923076923</c:v>
                </c:pt>
                <c:pt idx="11">
                  <c:v>15200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796-4B99-8CED-533E4BD191B2}"/>
            </c:ext>
          </c:extLst>
        </c:ser>
        <c:ser>
          <c:idx val="2"/>
          <c:order val="2"/>
          <c:tx>
            <c:v>Series3</c:v>
          </c:tx>
          <c:xVal>
            <c:numRef>
              <c:f>'Gearbox 675R'!$V$8:$V$19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155.32257125634862</c:v>
                </c:pt>
                <c:pt idx="2">
                  <c:v>155.32257125634862</c:v>
                </c:pt>
                <c:pt idx="3">
                  <c:v>195.26266100798114</c:v>
                </c:pt>
                <c:pt idx="4">
                  <c:v>195.26266100798114</c:v>
                </c:pt>
                <c:pt idx="5">
                  <c:v>227.80643784264473</c:v>
                </c:pt>
                <c:pt idx="6">
                  <c:v>227.80643784264473</c:v>
                </c:pt>
                <c:pt idx="7">
                  <c:v>253.11826426960516</c:v>
                </c:pt>
                <c:pt idx="8">
                  <c:v>253.11826426960516</c:v>
                </c:pt>
                <c:pt idx="9">
                  <c:v>275.9962612324349</c:v>
                </c:pt>
                <c:pt idx="10">
                  <c:v>275.9962612324349</c:v>
                </c:pt>
                <c:pt idx="11">
                  <c:v>298.99594966847116</c:v>
                </c:pt>
              </c:numCache>
            </c:numRef>
          </c:xVal>
          <c:yVal>
            <c:numRef>
              <c:f>'Gearbox 675R'!$W$8:$W$19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15000</c:v>
                </c:pt>
                <c:pt idx="2">
                  <c:v>11931.818181818182</c:v>
                </c:pt>
                <c:pt idx="3">
                  <c:v>15000</c:v>
                </c:pt>
                <c:pt idx="4">
                  <c:v>12857.142857142855</c:v>
                </c:pt>
                <c:pt idx="5">
                  <c:v>15000</c:v>
                </c:pt>
                <c:pt idx="6">
                  <c:v>13500</c:v>
                </c:pt>
                <c:pt idx="7">
                  <c:v>15000</c:v>
                </c:pt>
                <c:pt idx="8">
                  <c:v>13756.613756613757</c:v>
                </c:pt>
                <c:pt idx="9">
                  <c:v>15000</c:v>
                </c:pt>
                <c:pt idx="10">
                  <c:v>13846.153846153846</c:v>
                </c:pt>
                <c:pt idx="11">
                  <c:v>15000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796-4B99-8CED-533E4BD191B2}"/>
            </c:ext>
          </c:extLst>
        </c:ser>
        <c:ser>
          <c:idx val="0"/>
          <c:order val="3"/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675R'!$F$8:$F$19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143.97539452289871</c:v>
                </c:pt>
                <c:pt idx="2">
                  <c:v>143.97539452289871</c:v>
                </c:pt>
                <c:pt idx="3">
                  <c:v>180.99763882878699</c:v>
                </c:pt>
                <c:pt idx="4">
                  <c:v>180.99763882878699</c:v>
                </c:pt>
                <c:pt idx="5">
                  <c:v>211.16391196691819</c:v>
                </c:pt>
                <c:pt idx="6">
                  <c:v>211.16391196691819</c:v>
                </c:pt>
                <c:pt idx="7">
                  <c:v>234.6265688521313</c:v>
                </c:pt>
                <c:pt idx="8">
                  <c:v>234.6265688521313</c:v>
                </c:pt>
                <c:pt idx="9">
                  <c:v>255.83320103684315</c:v>
                </c:pt>
                <c:pt idx="10">
                  <c:v>255.83320103684315</c:v>
                </c:pt>
                <c:pt idx="11">
                  <c:v>277.15263445658013</c:v>
                </c:pt>
              </c:numCache>
            </c:numRef>
          </c:xVal>
          <c:yVal>
            <c:numRef>
              <c:f>'Gearbox 675R'!$F$8:$F$19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143.97539452289871</c:v>
                </c:pt>
                <c:pt idx="2">
                  <c:v>143.97539452289871</c:v>
                </c:pt>
                <c:pt idx="3">
                  <c:v>180.99763882878699</c:v>
                </c:pt>
                <c:pt idx="4">
                  <c:v>180.99763882878699</c:v>
                </c:pt>
                <c:pt idx="5">
                  <c:v>211.16391196691819</c:v>
                </c:pt>
                <c:pt idx="6">
                  <c:v>211.16391196691819</c:v>
                </c:pt>
                <c:pt idx="7">
                  <c:v>234.6265688521313</c:v>
                </c:pt>
                <c:pt idx="8">
                  <c:v>234.6265688521313</c:v>
                </c:pt>
                <c:pt idx="9">
                  <c:v>255.83320103684315</c:v>
                </c:pt>
                <c:pt idx="10">
                  <c:v>255.83320103684315</c:v>
                </c:pt>
                <c:pt idx="11">
                  <c:v>277.15263445658013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796-4B99-8CED-533E4BD191B2}"/>
            </c:ext>
          </c:extLst>
        </c:ser>
        <c:ser>
          <c:idx val="1"/>
          <c:order val="4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x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675R'!$N$8:$N$19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143.84020635902749</c:v>
                </c:pt>
                <c:pt idx="2">
                  <c:v>143.84020635902749</c:v>
                </c:pt>
                <c:pt idx="3">
                  <c:v>180.82768799420595</c:v>
                </c:pt>
                <c:pt idx="4">
                  <c:v>180.82768799420595</c:v>
                </c:pt>
                <c:pt idx="5">
                  <c:v>210.96563599324031</c:v>
                </c:pt>
                <c:pt idx="6">
                  <c:v>210.96563599324031</c:v>
                </c:pt>
                <c:pt idx="7">
                  <c:v>234.40626221471143</c:v>
                </c:pt>
                <c:pt idx="8">
                  <c:v>234.40626221471143</c:v>
                </c:pt>
                <c:pt idx="9">
                  <c:v>255.59298206873348</c:v>
                </c:pt>
                <c:pt idx="10">
                  <c:v>255.59298206873348</c:v>
                </c:pt>
                <c:pt idx="11">
                  <c:v>276.89239724112792</c:v>
                </c:pt>
              </c:numCache>
            </c:numRef>
          </c:xVal>
          <c:yVal>
            <c:numRef>
              <c:f>'Gearbox 675R'!$N$8:$N$19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143.84020635902749</c:v>
                </c:pt>
                <c:pt idx="2">
                  <c:v>143.84020635902749</c:v>
                </c:pt>
                <c:pt idx="3">
                  <c:v>180.82768799420595</c:v>
                </c:pt>
                <c:pt idx="4">
                  <c:v>180.82768799420595</c:v>
                </c:pt>
                <c:pt idx="5">
                  <c:v>210.96563599324031</c:v>
                </c:pt>
                <c:pt idx="6">
                  <c:v>210.96563599324031</c:v>
                </c:pt>
                <c:pt idx="7">
                  <c:v>234.40626221471143</c:v>
                </c:pt>
                <c:pt idx="8">
                  <c:v>234.40626221471143</c:v>
                </c:pt>
                <c:pt idx="9">
                  <c:v>255.59298206873348</c:v>
                </c:pt>
                <c:pt idx="10">
                  <c:v>255.59298206873348</c:v>
                </c:pt>
                <c:pt idx="11">
                  <c:v>276.89239724112792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796-4B99-8CED-533E4BD191B2}"/>
            </c:ext>
          </c:extLst>
        </c:ser>
        <c:ser>
          <c:idx val="3"/>
          <c:order val="5"/>
          <c:tx>
            <c:v>Series3</c:v>
          </c:tx>
          <c:xVal>
            <c:numRef>
              <c:f>'Gearbox 675R'!$V$8:$V$19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155.32257125634862</c:v>
                </c:pt>
                <c:pt idx="2">
                  <c:v>155.32257125634862</c:v>
                </c:pt>
                <c:pt idx="3">
                  <c:v>195.26266100798114</c:v>
                </c:pt>
                <c:pt idx="4">
                  <c:v>195.26266100798114</c:v>
                </c:pt>
                <c:pt idx="5">
                  <c:v>227.80643784264473</c:v>
                </c:pt>
                <c:pt idx="6">
                  <c:v>227.80643784264473</c:v>
                </c:pt>
                <c:pt idx="7">
                  <c:v>253.11826426960516</c:v>
                </c:pt>
                <c:pt idx="8">
                  <c:v>253.11826426960516</c:v>
                </c:pt>
                <c:pt idx="9">
                  <c:v>275.9962612324349</c:v>
                </c:pt>
                <c:pt idx="10">
                  <c:v>275.9962612324349</c:v>
                </c:pt>
                <c:pt idx="11">
                  <c:v>298.99594966847116</c:v>
                </c:pt>
              </c:numCache>
            </c:numRef>
          </c:xVal>
          <c:yVal>
            <c:numRef>
              <c:f>'Gearbox 675R'!$V$8:$V$19</c:f>
              <c:numCache>
                <c:formatCode>0</c:formatCode>
                <c:ptCount val="12"/>
                <c:pt idx="0">
                  <c:v>96.321566758277314</c:v>
                </c:pt>
                <c:pt idx="1">
                  <c:v>155.32257125634862</c:v>
                </c:pt>
                <c:pt idx="2">
                  <c:v>155.32257125634862</c:v>
                </c:pt>
                <c:pt idx="3">
                  <c:v>195.26266100798114</c:v>
                </c:pt>
                <c:pt idx="4">
                  <c:v>195.26266100798114</c:v>
                </c:pt>
                <c:pt idx="5">
                  <c:v>227.80643784264473</c:v>
                </c:pt>
                <c:pt idx="6">
                  <c:v>227.80643784264473</c:v>
                </c:pt>
                <c:pt idx="7">
                  <c:v>253.11826426960516</c:v>
                </c:pt>
                <c:pt idx="8">
                  <c:v>253.11826426960516</c:v>
                </c:pt>
                <c:pt idx="9">
                  <c:v>275.9962612324349</c:v>
                </c:pt>
                <c:pt idx="10">
                  <c:v>275.9962612324349</c:v>
                </c:pt>
                <c:pt idx="11">
                  <c:v>298.99594966847116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796-4B99-8CED-533E4BD191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98592"/>
        <c:axId val="82445440"/>
      </c:scatterChart>
      <c:valAx>
        <c:axId val="82398592"/>
        <c:scaling>
          <c:orientation val="minMax"/>
          <c:max val="310"/>
          <c:min val="80"/>
        </c:scaling>
        <c:delete val="0"/>
        <c:axPos val="b"/>
        <c:numFmt formatCode="0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82445440"/>
        <c:crossesAt val="0"/>
        <c:crossBetween val="midCat"/>
        <c:majorUnit val="50"/>
        <c:minorUnit val="16.666666666666668"/>
      </c:valAx>
      <c:valAx>
        <c:axId val="82445440"/>
        <c:scaling>
          <c:orientation val="minMax"/>
          <c:max val="16200"/>
          <c:min val="90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398592"/>
        <c:crossesAt val="0"/>
        <c:crossBetween val="midCat"/>
        <c:majorUnit val="1000"/>
        <c:minorUnit val="25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714280681359556"/>
          <c:y val="0.46496904447453619"/>
          <c:w val="5.088067101321752E-2"/>
          <c:h val="0.230267107600499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1180555555555562" footer="0.51180555555555562"/>
    <c:pageSetup firstPageNumber="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45112781955028E-2"/>
          <c:y val="0.19899268807153481"/>
          <c:w val="0.89379699248120303"/>
          <c:h val="0.72040390871465365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rgbClr val="0000FF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675R'!$H$10,'Gearbox 675R'!$H$12,'Gearbox 675R'!$H$14,'Gearbox 675R'!$H$16,'Gearbox 675R'!$H$18)</c:f>
              <c:numCache>
                <c:formatCode>0</c:formatCode>
                <c:ptCount val="5"/>
                <c:pt idx="0">
                  <c:v>2904.5454545454559</c:v>
                </c:pt>
                <c:pt idx="1">
                  <c:v>2028.5714285714294</c:v>
                </c:pt>
                <c:pt idx="2">
                  <c:v>1420</c:v>
                </c:pt>
                <c:pt idx="3">
                  <c:v>1177.0723104056433</c:v>
                </c:pt>
                <c:pt idx="4">
                  <c:v>1092.3076923076933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77-41EE-88BA-A3C17395FC91}"/>
            </c:ext>
          </c:extLst>
        </c:ser>
        <c:ser>
          <c:idx val="1"/>
          <c:order val="1"/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675R'!$P$10,'Gearbox 675R'!$P$12,'Gearbox 675R'!$P$14,'Gearbox 675R'!$P$16,'Gearbox 675R'!$P$18)</c:f>
              <c:numCache>
                <c:formatCode>0</c:formatCode>
                <c:ptCount val="5"/>
                <c:pt idx="0">
                  <c:v>3109.0909090909099</c:v>
                </c:pt>
                <c:pt idx="1">
                  <c:v>2171.4285714285725</c:v>
                </c:pt>
                <c:pt idx="2">
                  <c:v>1520</c:v>
                </c:pt>
                <c:pt idx="3">
                  <c:v>1259.9647266313932</c:v>
                </c:pt>
                <c:pt idx="4">
                  <c:v>1169.2307692307695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77-41EE-88BA-A3C17395FC91}"/>
            </c:ext>
          </c:extLst>
        </c:ser>
        <c:ser>
          <c:idx val="2"/>
          <c:order val="2"/>
          <c:tx>
            <c:v>Series 3</c:v>
          </c:tx>
          <c:val>
            <c:numRef>
              <c:f>('Gearbox 675R'!$X$10,'Gearbox 675R'!$X$12,'Gearbox 675R'!$X$14,'Gearbox 675R'!$X$16,'Gearbox 675R'!$X$18)</c:f>
              <c:numCache>
                <c:formatCode>0</c:formatCode>
                <c:ptCount val="5"/>
                <c:pt idx="0">
                  <c:v>3068.181818181818</c:v>
                </c:pt>
                <c:pt idx="1">
                  <c:v>2142.8571428571449</c:v>
                </c:pt>
                <c:pt idx="2">
                  <c:v>1500</c:v>
                </c:pt>
                <c:pt idx="3">
                  <c:v>1243.3862433862432</c:v>
                </c:pt>
                <c:pt idx="4">
                  <c:v>1153.8461538461543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77-41EE-88BA-A3C17395F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656256"/>
        <c:axId val="82690816"/>
      </c:lineChart>
      <c:catAx>
        <c:axId val="82656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6908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2690816"/>
        <c:scaling>
          <c:orientation val="minMax"/>
          <c:max val="3500"/>
          <c:min val="5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656256"/>
        <c:crossesAt val="1"/>
        <c:crossBetween val="midCat"/>
        <c:majorUnit val="500"/>
        <c:minorUnit val="10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1180555555555562" footer="0.51180555555555562"/>
    <c:pageSetup firstPageNumber="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marker>
            <c:symbol val="none"/>
          </c:marker>
          <c:xVal>
            <c:numRef>
              <c:f>'Gear Change Calc'!$H$2:$H$11</c:f>
              <c:numCache>
                <c:formatCode>0</c:formatCode>
                <c:ptCount val="10"/>
                <c:pt idx="0">
                  <c:v>50.695561451724906</c:v>
                </c:pt>
                <c:pt idx="1">
                  <c:v>60.834673742069896</c:v>
                </c:pt>
                <c:pt idx="2">
                  <c:v>70.973786032414878</c:v>
                </c:pt>
                <c:pt idx="3">
                  <c:v>81.112898322759861</c:v>
                </c:pt>
                <c:pt idx="4">
                  <c:v>91.252010613104829</c:v>
                </c:pt>
                <c:pt idx="5">
                  <c:v>101.39112290344981</c:v>
                </c:pt>
                <c:pt idx="6">
                  <c:v>111.53023519379481</c:v>
                </c:pt>
                <c:pt idx="7">
                  <c:v>121.66934748413979</c:v>
                </c:pt>
                <c:pt idx="8">
                  <c:v>131.80845977448476</c:v>
                </c:pt>
                <c:pt idx="9">
                  <c:v>141.94757206482976</c:v>
                </c:pt>
              </c:numCache>
            </c:numRef>
          </c:xVal>
          <c:yVal>
            <c:numRef>
              <c:f>'Gear Change Calc'!$O$2:$O$11</c:f>
              <c:numCache>
                <c:formatCode>0</c:formatCode>
                <c:ptCount val="10"/>
                <c:pt idx="0">
                  <c:v>2512.8520950495013</c:v>
                </c:pt>
                <c:pt idx="1">
                  <c:v>2694.2875969006245</c:v>
                </c:pt>
                <c:pt idx="2">
                  <c:v>2704.4611998805699</c:v>
                </c:pt>
                <c:pt idx="3">
                  <c:v>2904.5931154670084</c:v>
                </c:pt>
                <c:pt idx="4">
                  <c:v>2995.2425051749601</c:v>
                </c:pt>
                <c:pt idx="5">
                  <c:v>3193.8979780093059</c:v>
                </c:pt>
                <c:pt idx="6">
                  <c:v>3037.2142365248624</c:v>
                </c:pt>
                <c:pt idx="7">
                  <c:v>3098.8568870823333</c:v>
                </c:pt>
                <c:pt idx="8">
                  <c:v>2900.20551254054</c:v>
                </c:pt>
                <c:pt idx="9">
                  <c:v>2628.9258691645646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72-4E8B-97D0-2B7A25C4594A}"/>
            </c:ext>
          </c:extLst>
        </c:ser>
        <c:ser>
          <c:idx val="1"/>
          <c:order val="1"/>
          <c:tx>
            <c:v>2nd Gear</c:v>
          </c:tx>
          <c:marker>
            <c:symbol val="none"/>
          </c:marker>
          <c:xVal>
            <c:numRef>
              <c:f>'Gear Change Calc'!$I$2:$I$11</c:f>
              <c:numCache>
                <c:formatCode>0</c:formatCode>
                <c:ptCount val="10"/>
                <c:pt idx="0">
                  <c:v>63.731562967882738</c:v>
                </c:pt>
                <c:pt idx="1">
                  <c:v>76.4778755614593</c:v>
                </c:pt>
                <c:pt idx="2">
                  <c:v>89.224188155035833</c:v>
                </c:pt>
                <c:pt idx="3">
                  <c:v>101.97050074861238</c:v>
                </c:pt>
                <c:pt idx="4">
                  <c:v>114.71681334218896</c:v>
                </c:pt>
                <c:pt idx="5">
                  <c:v>127.46312593576548</c:v>
                </c:pt>
                <c:pt idx="6">
                  <c:v>140.20943852934204</c:v>
                </c:pt>
                <c:pt idx="7">
                  <c:v>152.9557511229186</c:v>
                </c:pt>
                <c:pt idx="8">
                  <c:v>165.70206371649513</c:v>
                </c:pt>
                <c:pt idx="9">
                  <c:v>178.44837631007167</c:v>
                </c:pt>
              </c:numCache>
            </c:numRef>
          </c:xVal>
          <c:yVal>
            <c:numRef>
              <c:f>'Gear Change Calc'!$P$2:$P$11</c:f>
              <c:numCache>
                <c:formatCode>0</c:formatCode>
                <c:ptCount val="10"/>
                <c:pt idx="0">
                  <c:v>1976.1526222420389</c:v>
                </c:pt>
                <c:pt idx="1">
                  <c:v>2110.485237415513</c:v>
                </c:pt>
                <c:pt idx="2">
                  <c:v>2106.7702367631273</c:v>
                </c:pt>
                <c:pt idx="3">
                  <c:v>2252.341879414847</c:v>
                </c:pt>
                <c:pt idx="4">
                  <c:v>2309.0085893030728</c:v>
                </c:pt>
                <c:pt idx="5">
                  <c:v>2449.7726690453264</c:v>
                </c:pt>
                <c:pt idx="6">
                  <c:v>2306.0639956738473</c:v>
                </c:pt>
                <c:pt idx="7">
                  <c:v>2334.2074833391939</c:v>
                </c:pt>
                <c:pt idx="8">
                  <c:v>2153.4823456790673</c:v>
                </c:pt>
                <c:pt idx="9">
                  <c:v>1913.1681615406903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72-4E8B-97D0-2B7A25C4594A}"/>
            </c:ext>
          </c:extLst>
        </c:ser>
        <c:ser>
          <c:idx val="2"/>
          <c:order val="2"/>
          <c:tx>
            <c:v>3rd Gear</c:v>
          </c:tx>
          <c:marker>
            <c:symbol val="none"/>
          </c:marker>
          <c:xVal>
            <c:numRef>
              <c:f>'Gear Change Calc'!$J$2:$J$11</c:f>
              <c:numCache>
                <c:formatCode>0</c:formatCode>
                <c:ptCount val="10"/>
                <c:pt idx="0">
                  <c:v>74.35349012919653</c:v>
                </c:pt>
                <c:pt idx="1">
                  <c:v>89.224188155035833</c:v>
                </c:pt>
                <c:pt idx="2">
                  <c:v>104.09488618087514</c:v>
                </c:pt>
                <c:pt idx="3">
                  <c:v>118.96558420671445</c:v>
                </c:pt>
                <c:pt idx="4">
                  <c:v>133.83628223255377</c:v>
                </c:pt>
                <c:pt idx="5">
                  <c:v>148.70698025839306</c:v>
                </c:pt>
                <c:pt idx="6">
                  <c:v>163.57767828423241</c:v>
                </c:pt>
                <c:pt idx="7">
                  <c:v>178.44837631007167</c:v>
                </c:pt>
                <c:pt idx="8">
                  <c:v>193.31907433591101</c:v>
                </c:pt>
                <c:pt idx="9">
                  <c:v>208.18977236175027</c:v>
                </c:pt>
              </c:numCache>
            </c:numRef>
          </c:xVal>
          <c:yVal>
            <c:numRef>
              <c:f>'Gear Change Calc'!$Q$2:$Q$11</c:f>
              <c:numCache>
                <c:formatCode>0</c:formatCode>
                <c:ptCount val="10"/>
                <c:pt idx="0">
                  <c:v>1670.8048017652889</c:v>
                </c:pt>
                <c:pt idx="1">
                  <c:v>1775.8093100165684</c:v>
                </c:pt>
                <c:pt idx="2">
                  <c:v>1760.6440661760216</c:v>
                </c:pt>
                <c:pt idx="3">
                  <c:v>1871.5955780693344</c:v>
                </c:pt>
                <c:pt idx="4">
                  <c:v>1904.4996376385648</c:v>
                </c:pt>
                <c:pt idx="5">
                  <c:v>2007.6439328415881</c:v>
                </c:pt>
                <c:pt idx="6">
                  <c:v>1865.1112154203227</c:v>
                </c:pt>
                <c:pt idx="7">
                  <c:v>1868.0371260752506</c:v>
                </c:pt>
                <c:pt idx="8">
                  <c:v>1690.0895622101109</c:v>
                </c:pt>
                <c:pt idx="9">
                  <c:v>1459.2224485510983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72-4E8B-97D0-2B7A25C4594A}"/>
            </c:ext>
          </c:extLst>
        </c:ser>
        <c:ser>
          <c:idx val="3"/>
          <c:order val="3"/>
          <c:tx>
            <c:v>4th Gear</c:v>
          </c:tx>
          <c:marker>
            <c:symbol val="none"/>
          </c:marker>
          <c:xVal>
            <c:numRef>
              <c:f>'Gear Change Calc'!$K$2:$K$11</c:f>
              <c:numCache>
                <c:formatCode>0</c:formatCode>
                <c:ptCount val="10"/>
                <c:pt idx="0">
                  <c:v>82.614989032440576</c:v>
                </c:pt>
                <c:pt idx="1">
                  <c:v>99.137986838928683</c:v>
                </c:pt>
                <c:pt idx="2">
                  <c:v>115.66098464541682</c:v>
                </c:pt>
                <c:pt idx="3">
                  <c:v>132.18398245190497</c:v>
                </c:pt>
                <c:pt idx="4">
                  <c:v>148.70698025839306</c:v>
                </c:pt>
                <c:pt idx="5">
                  <c:v>165.22997806488115</c:v>
                </c:pt>
                <c:pt idx="6">
                  <c:v>181.75297587136933</c:v>
                </c:pt>
                <c:pt idx="7">
                  <c:v>198.27597367785737</c:v>
                </c:pt>
                <c:pt idx="8">
                  <c:v>214.79897148434554</c:v>
                </c:pt>
                <c:pt idx="9">
                  <c:v>231.32196929083364</c:v>
                </c:pt>
              </c:numCache>
            </c:numRef>
          </c:xVal>
          <c:yVal>
            <c:numRef>
              <c:f>'Gear Change Calc'!$R$2:$R$11</c:f>
              <c:numCache>
                <c:formatCode>0</c:formatCode>
                <c:ptCount val="10"/>
                <c:pt idx="0">
                  <c:v>1482.9051781453531</c:v>
                </c:pt>
                <c:pt idx="1">
                  <c:v>1568.2488124564054</c:v>
                </c:pt>
                <c:pt idx="2">
                  <c:v>1543.7741384093413</c:v>
                </c:pt>
                <c:pt idx="3">
                  <c:v>1631.1390130472778</c:v>
                </c:pt>
                <c:pt idx="4">
                  <c:v>1646.5956491180691</c:v>
                </c:pt>
                <c:pt idx="5">
                  <c:v>1723.6029657838005</c:v>
                </c:pt>
                <c:pt idx="6">
                  <c:v>1577.8354396121995</c:v>
                </c:pt>
                <c:pt idx="7">
                  <c:v>1561.3151472337004</c:v>
                </c:pt>
                <c:pt idx="8">
                  <c:v>1380.3431963116668</c:v>
                </c:pt>
                <c:pt idx="9">
                  <c:v>1150.0781190996759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72-4E8B-97D0-2B7A25C4594A}"/>
            </c:ext>
          </c:extLst>
        </c:ser>
        <c:ser>
          <c:idx val="4"/>
          <c:order val="4"/>
          <c:tx>
            <c:v>5th Gear</c:v>
          </c:tx>
          <c:marker>
            <c:symbol val="none"/>
          </c:marker>
          <c:xVal>
            <c:numRef>
              <c:f>'Gear Change Calc'!$L$2:$L$11</c:f>
              <c:numCache>
                <c:formatCode>0</c:formatCode>
                <c:ptCount val="10"/>
                <c:pt idx="0">
                  <c:v>90.082113041141966</c:v>
                </c:pt>
                <c:pt idx="1">
                  <c:v>108.09853564937033</c:v>
                </c:pt>
                <c:pt idx="2">
                  <c:v>126.11495825759874</c:v>
                </c:pt>
                <c:pt idx="3">
                  <c:v>144.13138086582717</c:v>
                </c:pt>
                <c:pt idx="4">
                  <c:v>162.14780347405554</c:v>
                </c:pt>
                <c:pt idx="5">
                  <c:v>180.16422608228393</c:v>
                </c:pt>
                <c:pt idx="6">
                  <c:v>198.18064869051227</c:v>
                </c:pt>
                <c:pt idx="7">
                  <c:v>216.19707129874067</c:v>
                </c:pt>
                <c:pt idx="8">
                  <c:v>234.21349390696906</c:v>
                </c:pt>
                <c:pt idx="9">
                  <c:v>252.22991651519749</c:v>
                </c:pt>
              </c:numCache>
            </c:numRef>
          </c:xVal>
          <c:yVal>
            <c:numRef>
              <c:f>'Gear Change Calc'!$S$2:$S$11</c:f>
              <c:numCache>
                <c:formatCode>0</c:formatCode>
                <c:ptCount val="10"/>
                <c:pt idx="0">
                  <c:v>1339.100599226296</c:v>
                </c:pt>
                <c:pt idx="1">
                  <c:v>1408.1813797854968</c:v>
                </c:pt>
                <c:pt idx="2">
                  <c:v>1374.8763180586968</c:v>
                </c:pt>
                <c:pt idx="3">
                  <c:v>1442.4695157432877</c:v>
                </c:pt>
                <c:pt idx="4">
                  <c:v>1442.4444836485882</c:v>
                </c:pt>
                <c:pt idx="5">
                  <c:v>1497.1974086604614</c:v>
                </c:pt>
                <c:pt idx="6">
                  <c:v>1345.9711969785892</c:v>
                </c:pt>
                <c:pt idx="7">
                  <c:v>1311.6079647366987</c:v>
                </c:pt>
                <c:pt idx="8">
                  <c:v>1124.7542304267681</c:v>
                </c:pt>
                <c:pt idx="9">
                  <c:v>891.02275731486134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72-4E8B-97D0-2B7A25C4594A}"/>
            </c:ext>
          </c:extLst>
        </c:ser>
        <c:ser>
          <c:idx val="5"/>
          <c:order val="5"/>
          <c:tx>
            <c:v>6th Gear</c:v>
          </c:tx>
          <c:marker>
            <c:symbol val="none"/>
          </c:marker>
          <c:xVal>
            <c:numRef>
              <c:f>'Gear Change Calc'!$M$2:$M$11</c:f>
              <c:numCache>
                <c:formatCode>0</c:formatCode>
                <c:ptCount val="10"/>
                <c:pt idx="0">
                  <c:v>97.588955794570424</c:v>
                </c:pt>
                <c:pt idx="1">
                  <c:v>117.10674695348453</c:v>
                </c:pt>
                <c:pt idx="2">
                  <c:v>136.62453811239862</c:v>
                </c:pt>
                <c:pt idx="3">
                  <c:v>156.14232927131272</c:v>
                </c:pt>
                <c:pt idx="4">
                  <c:v>175.66012043022678</c:v>
                </c:pt>
                <c:pt idx="5">
                  <c:v>195.17791158914085</c:v>
                </c:pt>
                <c:pt idx="6">
                  <c:v>214.695702748055</c:v>
                </c:pt>
                <c:pt idx="7">
                  <c:v>234.21349390696906</c:v>
                </c:pt>
                <c:pt idx="8">
                  <c:v>253.73128506588316</c:v>
                </c:pt>
                <c:pt idx="9">
                  <c:v>273.24907622479725</c:v>
                </c:pt>
              </c:numCache>
            </c:numRef>
          </c:xVal>
          <c:yVal>
            <c:numRef>
              <c:f>'Gear Change Calc'!$T$2:$T$11</c:f>
              <c:numCache>
                <c:formatCode>0</c:formatCode>
                <c:ptCount val="10"/>
                <c:pt idx="0">
                  <c:v>1213.209490155295</c:v>
                </c:pt>
                <c:pt idx="1">
                  <c:v>1266.9076814232831</c:v>
                </c:pt>
                <c:pt idx="2">
                  <c:v>1224.2651947737527</c:v>
                </c:pt>
                <c:pt idx="3">
                  <c:v>1272.9288933119883</c:v>
                </c:pt>
                <c:pt idx="4">
                  <c:v>1257.3450947081296</c:v>
                </c:pt>
                <c:pt idx="5">
                  <c:v>1290.4948945491274</c:v>
                </c:pt>
                <c:pt idx="6">
                  <c:v>1131.679437019302</c:v>
                </c:pt>
                <c:pt idx="7">
                  <c:v>1078.9068293190198</c:v>
                </c:pt>
                <c:pt idx="8">
                  <c:v>883.54308851779831</c:v>
                </c:pt>
                <c:pt idx="9">
                  <c:v>643.07691916892554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372-4E8B-97D0-2B7A25C45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281280"/>
        <c:axId val="195282816"/>
      </c:scatterChart>
      <c:valAx>
        <c:axId val="1952812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5282816"/>
        <c:crosses val="autoZero"/>
        <c:crossBetween val="midCat"/>
      </c:valAx>
      <c:valAx>
        <c:axId val="19528281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52812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991796554552916"/>
          <c:y val="0.38693467336683718"/>
          <c:w val="9.1878589007383105E-2"/>
          <c:h val="0.22487437185929648"/>
        </c:manualLayout>
      </c:layout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Dyno</a:t>
            </a:r>
            <a:r>
              <a:rPr lang="en-GB" baseline="0"/>
              <a:t> Curve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BHP 765</c:v>
          </c:tx>
          <c:marker>
            <c:symbol val="none"/>
          </c:marker>
          <c:xVal>
            <c:numRef>
              <c:f>'Gear Change Calc'!$A$2:$A$11</c:f>
              <c:numCache>
                <c:formatCode>General</c:formatCode>
                <c:ptCount val="10"/>
                <c:pt idx="0">
                  <c:v>5000</c:v>
                </c:pt>
                <c:pt idx="1">
                  <c:v>6000</c:v>
                </c:pt>
                <c:pt idx="2">
                  <c:v>7000</c:v>
                </c:pt>
                <c:pt idx="3">
                  <c:v>8000</c:v>
                </c:pt>
                <c:pt idx="4">
                  <c:v>9000</c:v>
                </c:pt>
                <c:pt idx="5">
                  <c:v>10000</c:v>
                </c:pt>
                <c:pt idx="6">
                  <c:v>11000</c:v>
                </c:pt>
                <c:pt idx="7">
                  <c:v>12000</c:v>
                </c:pt>
                <c:pt idx="8">
                  <c:v>13000</c:v>
                </c:pt>
                <c:pt idx="9">
                  <c:v>14000</c:v>
                </c:pt>
              </c:numCache>
            </c:numRef>
          </c:xVal>
          <c:yVal>
            <c:numRef>
              <c:f>'Gear Change Calc'!$B$2:$B$11</c:f>
              <c:numCache>
                <c:formatCode>General</c:formatCode>
                <c:ptCount val="10"/>
                <c:pt idx="0">
                  <c:v>48</c:v>
                </c:pt>
                <c:pt idx="1">
                  <c:v>62</c:v>
                </c:pt>
                <c:pt idx="2">
                  <c:v>73</c:v>
                </c:pt>
                <c:pt idx="3">
                  <c:v>90</c:v>
                </c:pt>
                <c:pt idx="4">
                  <c:v>105</c:v>
                </c:pt>
                <c:pt idx="5">
                  <c:v>125</c:v>
                </c:pt>
                <c:pt idx="6">
                  <c:v>132</c:v>
                </c:pt>
                <c:pt idx="7">
                  <c:v>148</c:v>
                </c:pt>
                <c:pt idx="8">
                  <c:v>152</c:v>
                </c:pt>
                <c:pt idx="9">
                  <c:v>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A4-420F-99CF-A45AB471FEFD}"/>
            </c:ext>
          </c:extLst>
        </c:ser>
        <c:ser>
          <c:idx val="1"/>
          <c:order val="1"/>
          <c:tx>
            <c:v>BHP 675</c:v>
          </c:tx>
          <c:marker>
            <c:symbol val="none"/>
          </c:marker>
          <c:xVal>
            <c:numRef>
              <c:f>'Gear Change Calc'!$A$15:$A$25</c:f>
              <c:numCache>
                <c:formatCode>General</c:formatCode>
                <c:ptCount val="11"/>
                <c:pt idx="0">
                  <c:v>5000</c:v>
                </c:pt>
                <c:pt idx="1">
                  <c:v>6000</c:v>
                </c:pt>
                <c:pt idx="2">
                  <c:v>7000</c:v>
                </c:pt>
                <c:pt idx="3">
                  <c:v>8000</c:v>
                </c:pt>
                <c:pt idx="4">
                  <c:v>9000</c:v>
                </c:pt>
                <c:pt idx="5">
                  <c:v>10000</c:v>
                </c:pt>
                <c:pt idx="6">
                  <c:v>11000</c:v>
                </c:pt>
                <c:pt idx="7">
                  <c:v>12000</c:v>
                </c:pt>
                <c:pt idx="8">
                  <c:v>13000</c:v>
                </c:pt>
                <c:pt idx="9">
                  <c:v>14000</c:v>
                </c:pt>
                <c:pt idx="10">
                  <c:v>15000</c:v>
                </c:pt>
              </c:numCache>
            </c:numRef>
          </c:xVal>
          <c:yVal>
            <c:numRef>
              <c:f>'Gear Change Calc'!$B$15:$B$25</c:f>
              <c:numCache>
                <c:formatCode>General</c:formatCode>
                <c:ptCount val="11"/>
                <c:pt idx="0">
                  <c:v>35</c:v>
                </c:pt>
                <c:pt idx="1">
                  <c:v>43</c:v>
                </c:pt>
                <c:pt idx="2">
                  <c:v>56</c:v>
                </c:pt>
                <c:pt idx="3">
                  <c:v>65</c:v>
                </c:pt>
                <c:pt idx="4">
                  <c:v>80</c:v>
                </c:pt>
                <c:pt idx="5">
                  <c:v>92</c:v>
                </c:pt>
                <c:pt idx="6">
                  <c:v>103</c:v>
                </c:pt>
                <c:pt idx="7">
                  <c:v>121</c:v>
                </c:pt>
                <c:pt idx="8">
                  <c:v>127</c:v>
                </c:pt>
                <c:pt idx="9">
                  <c:v>139</c:v>
                </c:pt>
                <c:pt idx="10">
                  <c:v>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62-4EA8-85D6-00EC48CA9AE0}"/>
            </c:ext>
          </c:extLst>
        </c:ser>
        <c:ser>
          <c:idx val="2"/>
          <c:order val="2"/>
          <c:tx>
            <c:v>Torque 765</c:v>
          </c:tx>
          <c:marker>
            <c:symbol val="none"/>
          </c:marker>
          <c:xVal>
            <c:numRef>
              <c:f>'Gear Change Calc'!$A$2:$A$11</c:f>
              <c:numCache>
                <c:formatCode>General</c:formatCode>
                <c:ptCount val="10"/>
                <c:pt idx="0">
                  <c:v>5000</c:v>
                </c:pt>
                <c:pt idx="1">
                  <c:v>6000</c:v>
                </c:pt>
                <c:pt idx="2">
                  <c:v>7000</c:v>
                </c:pt>
                <c:pt idx="3">
                  <c:v>8000</c:v>
                </c:pt>
                <c:pt idx="4">
                  <c:v>9000</c:v>
                </c:pt>
                <c:pt idx="5">
                  <c:v>10000</c:v>
                </c:pt>
                <c:pt idx="6">
                  <c:v>11000</c:v>
                </c:pt>
                <c:pt idx="7">
                  <c:v>12000</c:v>
                </c:pt>
                <c:pt idx="8">
                  <c:v>13000</c:v>
                </c:pt>
                <c:pt idx="9">
                  <c:v>14000</c:v>
                </c:pt>
              </c:numCache>
            </c:numRef>
          </c:xVal>
          <c:yVal>
            <c:numRef>
              <c:f>'Gear Change Calc'!$C$2:$C$11</c:f>
              <c:numCache>
                <c:formatCode>0</c:formatCode>
                <c:ptCount val="10"/>
                <c:pt idx="0">
                  <c:v>50.419199999999996</c:v>
                </c:pt>
                <c:pt idx="1">
                  <c:v>54.270666666666664</c:v>
                </c:pt>
                <c:pt idx="2">
                  <c:v>54.770857142857146</c:v>
                </c:pt>
                <c:pt idx="3">
                  <c:v>59.085000000000001</c:v>
                </c:pt>
                <c:pt idx="4">
                  <c:v>61.273333333333333</c:v>
                </c:pt>
                <c:pt idx="5">
                  <c:v>65.650000000000006</c:v>
                </c:pt>
                <c:pt idx="6">
                  <c:v>63.024000000000001</c:v>
                </c:pt>
                <c:pt idx="7">
                  <c:v>64.774666666666661</c:v>
                </c:pt>
                <c:pt idx="8">
                  <c:v>61.408000000000001</c:v>
                </c:pt>
                <c:pt idx="9">
                  <c:v>56.646571428571427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62-4EA8-85D6-00EC48CA9AE0}"/>
            </c:ext>
          </c:extLst>
        </c:ser>
        <c:ser>
          <c:idx val="3"/>
          <c:order val="3"/>
          <c:tx>
            <c:v>Torque 675</c:v>
          </c:tx>
          <c:marker>
            <c:symbol val="none"/>
          </c:marker>
          <c:xVal>
            <c:numRef>
              <c:f>'Gear Change Calc'!$A$15:$A$25</c:f>
              <c:numCache>
                <c:formatCode>General</c:formatCode>
                <c:ptCount val="11"/>
                <c:pt idx="0">
                  <c:v>5000</c:v>
                </c:pt>
                <c:pt idx="1">
                  <c:v>6000</c:v>
                </c:pt>
                <c:pt idx="2">
                  <c:v>7000</c:v>
                </c:pt>
                <c:pt idx="3">
                  <c:v>8000</c:v>
                </c:pt>
                <c:pt idx="4">
                  <c:v>9000</c:v>
                </c:pt>
                <c:pt idx="5">
                  <c:v>10000</c:v>
                </c:pt>
                <c:pt idx="6">
                  <c:v>11000</c:v>
                </c:pt>
                <c:pt idx="7">
                  <c:v>12000</c:v>
                </c:pt>
                <c:pt idx="8">
                  <c:v>13000</c:v>
                </c:pt>
                <c:pt idx="9">
                  <c:v>14000</c:v>
                </c:pt>
                <c:pt idx="10">
                  <c:v>15000</c:v>
                </c:pt>
              </c:numCache>
            </c:numRef>
          </c:xVal>
          <c:yVal>
            <c:numRef>
              <c:f>'Gear Change Calc'!$C$15:$C$25</c:f>
              <c:numCache>
                <c:formatCode>0</c:formatCode>
                <c:ptCount val="11"/>
                <c:pt idx="0">
                  <c:v>36.764000000000003</c:v>
                </c:pt>
                <c:pt idx="1">
                  <c:v>37.639333333333333</c:v>
                </c:pt>
                <c:pt idx="2">
                  <c:v>42.015999999999998</c:v>
                </c:pt>
                <c:pt idx="3">
                  <c:v>42.672499999999999</c:v>
                </c:pt>
                <c:pt idx="4">
                  <c:v>46.684444444444445</c:v>
                </c:pt>
                <c:pt idx="5">
                  <c:v>48.318399999999997</c:v>
                </c:pt>
                <c:pt idx="6">
                  <c:v>49.177818181818182</c:v>
                </c:pt>
                <c:pt idx="7">
                  <c:v>52.957666666666668</c:v>
                </c:pt>
                <c:pt idx="8">
                  <c:v>51.308</c:v>
                </c:pt>
                <c:pt idx="9">
                  <c:v>52.144857142857141</c:v>
                </c:pt>
                <c:pt idx="10" formatCode="General">
                  <c:v>49.718933333333332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62-4EA8-85D6-00EC48CA9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67328"/>
        <c:axId val="82868864"/>
      </c:scatterChart>
      <c:valAx>
        <c:axId val="82867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2868864"/>
        <c:crosses val="autoZero"/>
        <c:crossBetween val="midCat"/>
      </c:valAx>
      <c:valAx>
        <c:axId val="82868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28673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 765</c:v>
          </c:tx>
          <c:marker>
            <c:symbol val="none"/>
          </c:marker>
          <c:xVal>
            <c:numRef>
              <c:f>'Gear Change Calc'!$H$2:$H$11</c:f>
              <c:numCache>
                <c:formatCode>0</c:formatCode>
                <c:ptCount val="10"/>
                <c:pt idx="0">
                  <c:v>50.695561451724906</c:v>
                </c:pt>
                <c:pt idx="1">
                  <c:v>60.834673742069896</c:v>
                </c:pt>
                <c:pt idx="2">
                  <c:v>70.973786032414878</c:v>
                </c:pt>
                <c:pt idx="3">
                  <c:v>81.112898322759861</c:v>
                </c:pt>
                <c:pt idx="4">
                  <c:v>91.252010613104829</c:v>
                </c:pt>
                <c:pt idx="5">
                  <c:v>101.39112290344981</c:v>
                </c:pt>
                <c:pt idx="6">
                  <c:v>111.53023519379481</c:v>
                </c:pt>
                <c:pt idx="7">
                  <c:v>121.66934748413979</c:v>
                </c:pt>
                <c:pt idx="8">
                  <c:v>131.80845977448476</c:v>
                </c:pt>
                <c:pt idx="9">
                  <c:v>141.94757206482976</c:v>
                </c:pt>
              </c:numCache>
            </c:numRef>
          </c:xVal>
          <c:yVal>
            <c:numRef>
              <c:f>'Gear Change Calc'!$O$2:$O$11</c:f>
              <c:numCache>
                <c:formatCode>0</c:formatCode>
                <c:ptCount val="10"/>
                <c:pt idx="0">
                  <c:v>2512.8520950495013</c:v>
                </c:pt>
                <c:pt idx="1">
                  <c:v>2694.2875969006245</c:v>
                </c:pt>
                <c:pt idx="2">
                  <c:v>2704.4611998805699</c:v>
                </c:pt>
                <c:pt idx="3">
                  <c:v>2904.5931154670084</c:v>
                </c:pt>
                <c:pt idx="4">
                  <c:v>2995.2425051749601</c:v>
                </c:pt>
                <c:pt idx="5">
                  <c:v>3193.8979780093059</c:v>
                </c:pt>
                <c:pt idx="6">
                  <c:v>3037.2142365248624</c:v>
                </c:pt>
                <c:pt idx="7">
                  <c:v>3098.8568870823333</c:v>
                </c:pt>
                <c:pt idx="8">
                  <c:v>2900.20551254054</c:v>
                </c:pt>
                <c:pt idx="9">
                  <c:v>2628.9258691645646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402-4443-900D-B861E61EAEBA}"/>
            </c:ext>
          </c:extLst>
        </c:ser>
        <c:ser>
          <c:idx val="1"/>
          <c:order val="1"/>
          <c:tx>
            <c:v>2nd Gear 765</c:v>
          </c:tx>
          <c:marker>
            <c:symbol val="none"/>
          </c:marker>
          <c:xVal>
            <c:numRef>
              <c:f>'Gear Change Calc'!$I$2:$I$11</c:f>
              <c:numCache>
                <c:formatCode>0</c:formatCode>
                <c:ptCount val="10"/>
                <c:pt idx="0">
                  <c:v>63.731562967882738</c:v>
                </c:pt>
                <c:pt idx="1">
                  <c:v>76.4778755614593</c:v>
                </c:pt>
                <c:pt idx="2">
                  <c:v>89.224188155035833</c:v>
                </c:pt>
                <c:pt idx="3">
                  <c:v>101.97050074861238</c:v>
                </c:pt>
                <c:pt idx="4">
                  <c:v>114.71681334218896</c:v>
                </c:pt>
                <c:pt idx="5">
                  <c:v>127.46312593576548</c:v>
                </c:pt>
                <c:pt idx="6">
                  <c:v>140.20943852934204</c:v>
                </c:pt>
                <c:pt idx="7">
                  <c:v>152.9557511229186</c:v>
                </c:pt>
                <c:pt idx="8">
                  <c:v>165.70206371649513</c:v>
                </c:pt>
                <c:pt idx="9">
                  <c:v>178.44837631007167</c:v>
                </c:pt>
              </c:numCache>
            </c:numRef>
          </c:xVal>
          <c:yVal>
            <c:numRef>
              <c:f>'Gear Change Calc'!$P$2:$P$11</c:f>
              <c:numCache>
                <c:formatCode>0</c:formatCode>
                <c:ptCount val="10"/>
                <c:pt idx="0">
                  <c:v>1976.1526222420389</c:v>
                </c:pt>
                <c:pt idx="1">
                  <c:v>2110.485237415513</c:v>
                </c:pt>
                <c:pt idx="2">
                  <c:v>2106.7702367631273</c:v>
                </c:pt>
                <c:pt idx="3">
                  <c:v>2252.341879414847</c:v>
                </c:pt>
                <c:pt idx="4">
                  <c:v>2309.0085893030728</c:v>
                </c:pt>
                <c:pt idx="5">
                  <c:v>2449.7726690453264</c:v>
                </c:pt>
                <c:pt idx="6">
                  <c:v>2306.0639956738473</c:v>
                </c:pt>
                <c:pt idx="7">
                  <c:v>2334.2074833391939</c:v>
                </c:pt>
                <c:pt idx="8">
                  <c:v>2153.4823456790673</c:v>
                </c:pt>
                <c:pt idx="9">
                  <c:v>1913.1681615406903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402-4443-900D-B861E61EAEBA}"/>
            </c:ext>
          </c:extLst>
        </c:ser>
        <c:ser>
          <c:idx val="2"/>
          <c:order val="2"/>
          <c:tx>
            <c:v>3rd Gear 765</c:v>
          </c:tx>
          <c:marker>
            <c:symbol val="none"/>
          </c:marker>
          <c:xVal>
            <c:numRef>
              <c:f>'Gear Change Calc'!$J$2:$J$11</c:f>
              <c:numCache>
                <c:formatCode>0</c:formatCode>
                <c:ptCount val="10"/>
                <c:pt idx="0">
                  <c:v>74.35349012919653</c:v>
                </c:pt>
                <c:pt idx="1">
                  <c:v>89.224188155035833</c:v>
                </c:pt>
                <c:pt idx="2">
                  <c:v>104.09488618087514</c:v>
                </c:pt>
                <c:pt idx="3">
                  <c:v>118.96558420671445</c:v>
                </c:pt>
                <c:pt idx="4">
                  <c:v>133.83628223255377</c:v>
                </c:pt>
                <c:pt idx="5">
                  <c:v>148.70698025839306</c:v>
                </c:pt>
                <c:pt idx="6">
                  <c:v>163.57767828423241</c:v>
                </c:pt>
                <c:pt idx="7">
                  <c:v>178.44837631007167</c:v>
                </c:pt>
                <c:pt idx="8">
                  <c:v>193.31907433591101</c:v>
                </c:pt>
                <c:pt idx="9">
                  <c:v>208.18977236175027</c:v>
                </c:pt>
              </c:numCache>
            </c:numRef>
          </c:xVal>
          <c:yVal>
            <c:numRef>
              <c:f>'Gear Change Calc'!$Q$2:$Q$11</c:f>
              <c:numCache>
                <c:formatCode>0</c:formatCode>
                <c:ptCount val="10"/>
                <c:pt idx="0">
                  <c:v>1670.8048017652889</c:v>
                </c:pt>
                <c:pt idx="1">
                  <c:v>1775.8093100165684</c:v>
                </c:pt>
                <c:pt idx="2">
                  <c:v>1760.6440661760216</c:v>
                </c:pt>
                <c:pt idx="3">
                  <c:v>1871.5955780693344</c:v>
                </c:pt>
                <c:pt idx="4">
                  <c:v>1904.4996376385648</c:v>
                </c:pt>
                <c:pt idx="5">
                  <c:v>2007.6439328415881</c:v>
                </c:pt>
                <c:pt idx="6">
                  <c:v>1865.1112154203227</c:v>
                </c:pt>
                <c:pt idx="7">
                  <c:v>1868.0371260752506</c:v>
                </c:pt>
                <c:pt idx="8">
                  <c:v>1690.0895622101109</c:v>
                </c:pt>
                <c:pt idx="9">
                  <c:v>1459.2224485510983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402-4443-900D-B861E61EAEBA}"/>
            </c:ext>
          </c:extLst>
        </c:ser>
        <c:ser>
          <c:idx val="3"/>
          <c:order val="3"/>
          <c:tx>
            <c:v>4th Gear 765</c:v>
          </c:tx>
          <c:marker>
            <c:symbol val="none"/>
          </c:marker>
          <c:xVal>
            <c:numRef>
              <c:f>'Gear Change Calc'!$K$2:$K$11</c:f>
              <c:numCache>
                <c:formatCode>0</c:formatCode>
                <c:ptCount val="10"/>
                <c:pt idx="0">
                  <c:v>82.614989032440576</c:v>
                </c:pt>
                <c:pt idx="1">
                  <c:v>99.137986838928683</c:v>
                </c:pt>
                <c:pt idx="2">
                  <c:v>115.66098464541682</c:v>
                </c:pt>
                <c:pt idx="3">
                  <c:v>132.18398245190497</c:v>
                </c:pt>
                <c:pt idx="4">
                  <c:v>148.70698025839306</c:v>
                </c:pt>
                <c:pt idx="5">
                  <c:v>165.22997806488115</c:v>
                </c:pt>
                <c:pt idx="6">
                  <c:v>181.75297587136933</c:v>
                </c:pt>
                <c:pt idx="7">
                  <c:v>198.27597367785737</c:v>
                </c:pt>
                <c:pt idx="8">
                  <c:v>214.79897148434554</c:v>
                </c:pt>
                <c:pt idx="9">
                  <c:v>231.32196929083364</c:v>
                </c:pt>
              </c:numCache>
            </c:numRef>
          </c:xVal>
          <c:yVal>
            <c:numRef>
              <c:f>'Gear Change Calc'!$R$2:$R$11</c:f>
              <c:numCache>
                <c:formatCode>0</c:formatCode>
                <c:ptCount val="10"/>
                <c:pt idx="0">
                  <c:v>1482.9051781453531</c:v>
                </c:pt>
                <c:pt idx="1">
                  <c:v>1568.2488124564054</c:v>
                </c:pt>
                <c:pt idx="2">
                  <c:v>1543.7741384093413</c:v>
                </c:pt>
                <c:pt idx="3">
                  <c:v>1631.1390130472778</c:v>
                </c:pt>
                <c:pt idx="4">
                  <c:v>1646.5956491180691</c:v>
                </c:pt>
                <c:pt idx="5">
                  <c:v>1723.6029657838005</c:v>
                </c:pt>
                <c:pt idx="6">
                  <c:v>1577.8354396121995</c:v>
                </c:pt>
                <c:pt idx="7">
                  <c:v>1561.3151472337004</c:v>
                </c:pt>
                <c:pt idx="8">
                  <c:v>1380.3431963116668</c:v>
                </c:pt>
                <c:pt idx="9">
                  <c:v>1150.0781190996759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402-4443-900D-B861E61EAEBA}"/>
            </c:ext>
          </c:extLst>
        </c:ser>
        <c:ser>
          <c:idx val="4"/>
          <c:order val="4"/>
          <c:tx>
            <c:v>5th Gear 765</c:v>
          </c:tx>
          <c:marker>
            <c:symbol val="none"/>
          </c:marker>
          <c:xVal>
            <c:numRef>
              <c:f>'Gear Change Calc'!$L$2:$L$11</c:f>
              <c:numCache>
                <c:formatCode>0</c:formatCode>
                <c:ptCount val="10"/>
                <c:pt idx="0">
                  <c:v>90.082113041141966</c:v>
                </c:pt>
                <c:pt idx="1">
                  <c:v>108.09853564937033</c:v>
                </c:pt>
                <c:pt idx="2">
                  <c:v>126.11495825759874</c:v>
                </c:pt>
                <c:pt idx="3">
                  <c:v>144.13138086582717</c:v>
                </c:pt>
                <c:pt idx="4">
                  <c:v>162.14780347405554</c:v>
                </c:pt>
                <c:pt idx="5">
                  <c:v>180.16422608228393</c:v>
                </c:pt>
                <c:pt idx="6">
                  <c:v>198.18064869051227</c:v>
                </c:pt>
                <c:pt idx="7">
                  <c:v>216.19707129874067</c:v>
                </c:pt>
                <c:pt idx="8">
                  <c:v>234.21349390696906</c:v>
                </c:pt>
                <c:pt idx="9">
                  <c:v>252.22991651519749</c:v>
                </c:pt>
              </c:numCache>
            </c:numRef>
          </c:xVal>
          <c:yVal>
            <c:numRef>
              <c:f>'Gear Change Calc'!$S$2:$S$11</c:f>
              <c:numCache>
                <c:formatCode>0</c:formatCode>
                <c:ptCount val="10"/>
                <c:pt idx="0">
                  <c:v>1339.100599226296</c:v>
                </c:pt>
                <c:pt idx="1">
                  <c:v>1408.1813797854968</c:v>
                </c:pt>
                <c:pt idx="2">
                  <c:v>1374.8763180586968</c:v>
                </c:pt>
                <c:pt idx="3">
                  <c:v>1442.4695157432877</c:v>
                </c:pt>
                <c:pt idx="4">
                  <c:v>1442.4444836485882</c:v>
                </c:pt>
                <c:pt idx="5">
                  <c:v>1497.1974086604614</c:v>
                </c:pt>
                <c:pt idx="6">
                  <c:v>1345.9711969785892</c:v>
                </c:pt>
                <c:pt idx="7">
                  <c:v>1311.6079647366987</c:v>
                </c:pt>
                <c:pt idx="8">
                  <c:v>1124.7542304267681</c:v>
                </c:pt>
                <c:pt idx="9">
                  <c:v>891.02275731486134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402-4443-900D-B861E61EAEBA}"/>
            </c:ext>
          </c:extLst>
        </c:ser>
        <c:ser>
          <c:idx val="5"/>
          <c:order val="5"/>
          <c:tx>
            <c:v>6th Gear 765</c:v>
          </c:tx>
          <c:marker>
            <c:symbol val="none"/>
          </c:marker>
          <c:xVal>
            <c:numRef>
              <c:f>'Gear Change Calc'!$M$2:$M$11</c:f>
              <c:numCache>
                <c:formatCode>0</c:formatCode>
                <c:ptCount val="10"/>
                <c:pt idx="0">
                  <c:v>97.588955794570424</c:v>
                </c:pt>
                <c:pt idx="1">
                  <c:v>117.10674695348453</c:v>
                </c:pt>
                <c:pt idx="2">
                  <c:v>136.62453811239862</c:v>
                </c:pt>
                <c:pt idx="3">
                  <c:v>156.14232927131272</c:v>
                </c:pt>
                <c:pt idx="4">
                  <c:v>175.66012043022678</c:v>
                </c:pt>
                <c:pt idx="5">
                  <c:v>195.17791158914085</c:v>
                </c:pt>
                <c:pt idx="6">
                  <c:v>214.695702748055</c:v>
                </c:pt>
                <c:pt idx="7">
                  <c:v>234.21349390696906</c:v>
                </c:pt>
                <c:pt idx="8">
                  <c:v>253.73128506588316</c:v>
                </c:pt>
                <c:pt idx="9">
                  <c:v>273.24907622479725</c:v>
                </c:pt>
              </c:numCache>
            </c:numRef>
          </c:xVal>
          <c:yVal>
            <c:numRef>
              <c:f>'Gear Change Calc'!$T$2:$T$11</c:f>
              <c:numCache>
                <c:formatCode>0</c:formatCode>
                <c:ptCount val="10"/>
                <c:pt idx="0">
                  <c:v>1213.209490155295</c:v>
                </c:pt>
                <c:pt idx="1">
                  <c:v>1266.9076814232831</c:v>
                </c:pt>
                <c:pt idx="2">
                  <c:v>1224.2651947737527</c:v>
                </c:pt>
                <c:pt idx="3">
                  <c:v>1272.9288933119883</c:v>
                </c:pt>
                <c:pt idx="4">
                  <c:v>1257.3450947081296</c:v>
                </c:pt>
                <c:pt idx="5">
                  <c:v>1290.4948945491274</c:v>
                </c:pt>
                <c:pt idx="6">
                  <c:v>1131.679437019302</c:v>
                </c:pt>
                <c:pt idx="7">
                  <c:v>1078.9068293190198</c:v>
                </c:pt>
                <c:pt idx="8">
                  <c:v>883.54308851779831</c:v>
                </c:pt>
                <c:pt idx="9">
                  <c:v>643.07691916892554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402-4443-900D-B861E61EAEBA}"/>
            </c:ext>
          </c:extLst>
        </c:ser>
        <c:ser>
          <c:idx val="6"/>
          <c:order val="6"/>
          <c:tx>
            <c:v>1st Gear 675</c:v>
          </c:tx>
          <c:marker>
            <c:symbol val="none"/>
          </c:marker>
          <c:xVal>
            <c:numRef>
              <c:f>'Gear Change Calc'!$H$15:$H$25</c:f>
              <c:numCache>
                <c:formatCode>0</c:formatCode>
                <c:ptCount val="11"/>
                <c:pt idx="0">
                  <c:v>47.31585735494324</c:v>
                </c:pt>
                <c:pt idx="1">
                  <c:v>56.779028825931903</c:v>
                </c:pt>
                <c:pt idx="2">
                  <c:v>66.242200296920544</c:v>
                </c:pt>
                <c:pt idx="3">
                  <c:v>75.705371767909199</c:v>
                </c:pt>
                <c:pt idx="4">
                  <c:v>85.168543238897854</c:v>
                </c:pt>
                <c:pt idx="5">
                  <c:v>94.631714709886481</c:v>
                </c:pt>
                <c:pt idx="6">
                  <c:v>104.09488618087515</c:v>
                </c:pt>
                <c:pt idx="7">
                  <c:v>113.55805765186381</c:v>
                </c:pt>
                <c:pt idx="8">
                  <c:v>123.02122912285243</c:v>
                </c:pt>
                <c:pt idx="9">
                  <c:v>132.48440059384109</c:v>
                </c:pt>
                <c:pt idx="10">
                  <c:v>141.94757206482973</c:v>
                </c:pt>
              </c:numCache>
            </c:numRef>
          </c:xVal>
          <c:yVal>
            <c:numRef>
              <c:f>'Gear Change Calc'!$O$15:$O$25</c:f>
              <c:numCache>
                <c:formatCode>0</c:formatCode>
                <c:ptCount val="11"/>
                <c:pt idx="0">
                  <c:v>1960.5662129977634</c:v>
                </c:pt>
                <c:pt idx="1">
                  <c:v>1996.7586324982283</c:v>
                </c:pt>
                <c:pt idx="2">
                  <c:v>2220.0556337696294</c:v>
                </c:pt>
                <c:pt idx="3">
                  <c:v>2240.3961245749488</c:v>
                </c:pt>
                <c:pt idx="4">
                  <c:v>2439.9611750858094</c:v>
                </c:pt>
                <c:pt idx="5">
                  <c:v>2509.0659181322167</c:v>
                </c:pt>
                <c:pt idx="6">
                  <c:v>2534.3189598692757</c:v>
                </c:pt>
                <c:pt idx="7">
                  <c:v>2715.2997682441542</c:v>
                </c:pt>
                <c:pt idx="8">
                  <c:v>2600.9955558692604</c:v>
                </c:pt>
                <c:pt idx="9">
                  <c:v>2618.982145403822</c:v>
                </c:pt>
                <c:pt idx="10">
                  <c:v>2458.7173925520497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402-4443-900D-B861E61EAEBA}"/>
            </c:ext>
          </c:extLst>
        </c:ser>
        <c:ser>
          <c:idx val="7"/>
          <c:order val="7"/>
          <c:tx>
            <c:v>2nd Gear 675</c:v>
          </c:tx>
          <c:marker>
            <c:symbol val="none"/>
          </c:marker>
          <c:xVal>
            <c:numRef>
              <c:f>'Gear Change Calc'!$I$15:$I$25</c:f>
              <c:numCache>
                <c:formatCode>0</c:formatCode>
                <c:ptCount val="11"/>
                <c:pt idx="0">
                  <c:v>59.482792103357227</c:v>
                </c:pt>
                <c:pt idx="1">
                  <c:v>71.379350524028681</c:v>
                </c:pt>
                <c:pt idx="2">
                  <c:v>83.275908944700106</c:v>
                </c:pt>
                <c:pt idx="3">
                  <c:v>95.172467365371546</c:v>
                </c:pt>
                <c:pt idx="4">
                  <c:v>107.06902578604303</c:v>
                </c:pt>
                <c:pt idx="5">
                  <c:v>118.96558420671445</c:v>
                </c:pt>
                <c:pt idx="6">
                  <c:v>130.86214262738591</c:v>
                </c:pt>
                <c:pt idx="7">
                  <c:v>142.75870104805736</c:v>
                </c:pt>
                <c:pt idx="8">
                  <c:v>154.65525946872879</c:v>
                </c:pt>
                <c:pt idx="9">
                  <c:v>166.55181788940021</c:v>
                </c:pt>
                <c:pt idx="10">
                  <c:v>178.44837631007167</c:v>
                </c:pt>
              </c:numCache>
            </c:numRef>
          </c:xVal>
          <c:yVal>
            <c:numRef>
              <c:f>'Gear Change Calc'!$P$15:$P$25</c:f>
              <c:numCache>
                <c:formatCode>0</c:formatCode>
                <c:ptCount val="11"/>
                <c:pt idx="0">
                  <c:v>1539.7609868215302</c:v>
                </c:pt>
                <c:pt idx="1">
                  <c:v>1559.8470710764291</c:v>
                </c:pt>
                <c:pt idx="2">
                  <c:v>1727.183919858619</c:v>
                </c:pt>
                <c:pt idx="3">
                  <c:v>1731.4956643432004</c:v>
                </c:pt>
                <c:pt idx="4">
                  <c:v>1876.7899739848713</c:v>
                </c:pt>
                <c:pt idx="5">
                  <c:v>1916.7266135347738</c:v>
                </c:pt>
                <c:pt idx="6">
                  <c:v>1920.1987924344694</c:v>
                </c:pt>
                <c:pt idx="7">
                  <c:v>2045.9629056419312</c:v>
                </c:pt>
                <c:pt idx="8">
                  <c:v>1935.258781371575</c:v>
                </c:pt>
                <c:pt idx="9">
                  <c:v>1928.203551284151</c:v>
                </c:pt>
                <c:pt idx="10">
                  <c:v>1777.7750551443712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402-4443-900D-B861E61EAEBA}"/>
            </c:ext>
          </c:extLst>
        </c:ser>
        <c:ser>
          <c:idx val="8"/>
          <c:order val="8"/>
          <c:tx>
            <c:v>3rd Gear 675</c:v>
          </c:tx>
          <c:marker>
            <c:symbol val="none"/>
          </c:marker>
          <c:xVal>
            <c:numRef>
              <c:f>'Gear Change Calc'!$J$15:$J$25</c:f>
              <c:numCache>
                <c:formatCode>0</c:formatCode>
                <c:ptCount val="11"/>
                <c:pt idx="0">
                  <c:v>69.396590787250105</c:v>
                </c:pt>
                <c:pt idx="1">
                  <c:v>83.275908944700106</c:v>
                </c:pt>
                <c:pt idx="2">
                  <c:v>97.155227102150135</c:v>
                </c:pt>
                <c:pt idx="3">
                  <c:v>111.03454525960015</c:v>
                </c:pt>
                <c:pt idx="4">
                  <c:v>124.91386341705018</c:v>
                </c:pt>
                <c:pt idx="5">
                  <c:v>138.79318157450021</c:v>
                </c:pt>
                <c:pt idx="6">
                  <c:v>152.67249973195024</c:v>
                </c:pt>
                <c:pt idx="7">
                  <c:v>166.55181788940021</c:v>
                </c:pt>
                <c:pt idx="8">
                  <c:v>180.43113604685027</c:v>
                </c:pt>
                <c:pt idx="9">
                  <c:v>194.31045420430027</c:v>
                </c:pt>
                <c:pt idx="10">
                  <c:v>208.1897723617503</c:v>
                </c:pt>
              </c:numCache>
            </c:numRef>
          </c:xVal>
          <c:yVal>
            <c:numRef>
              <c:f>'Gear Change Calc'!$Q$15:$Q$25</c:f>
              <c:numCache>
                <c:formatCode>0</c:formatCode>
                <c:ptCount val="11"/>
                <c:pt idx="0">
                  <c:v>1299.7244676027963</c:v>
                </c:pt>
                <c:pt idx="1">
                  <c:v>1308.1100191081064</c:v>
                </c:pt>
                <c:pt idx="2">
                  <c:v>1441.1048585201268</c:v>
                </c:pt>
                <c:pt idx="3">
                  <c:v>1432.7582411318015</c:v>
                </c:pt>
                <c:pt idx="4">
                  <c:v>1543.6481693328722</c:v>
                </c:pt>
                <c:pt idx="5">
                  <c:v>1562.6258700528883</c:v>
                </c:pt>
                <c:pt idx="6">
                  <c:v>1548.7426656703319</c:v>
                </c:pt>
                <c:pt idx="7">
                  <c:v>1638.0754661491803</c:v>
                </c:pt>
                <c:pt idx="8">
                  <c:v>1523.1155528160734</c:v>
                </c:pt>
                <c:pt idx="9">
                  <c:v>1495.391895665942</c:v>
                </c:pt>
                <c:pt idx="10">
                  <c:v>1343.1712144971098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402-4443-900D-B861E61EAEBA}"/>
            </c:ext>
          </c:extLst>
        </c:ser>
        <c:ser>
          <c:idx val="9"/>
          <c:order val="9"/>
          <c:tx>
            <c:v>4th Gear 675</c:v>
          </c:tx>
          <c:marker>
            <c:symbol val="none"/>
          </c:marker>
          <c:xVal>
            <c:numRef>
              <c:f>'Gear Change Calc'!$K$15:$K$25</c:f>
              <c:numCache>
                <c:formatCode>0</c:formatCode>
                <c:ptCount val="11"/>
                <c:pt idx="0">
                  <c:v>77.10732309694454</c:v>
                </c:pt>
                <c:pt idx="1">
                  <c:v>92.52878771633344</c:v>
                </c:pt>
                <c:pt idx="2">
                  <c:v>107.95025233572237</c:v>
                </c:pt>
                <c:pt idx="3">
                  <c:v>123.3717169551113</c:v>
                </c:pt>
                <c:pt idx="4">
                  <c:v>138.79318157450021</c:v>
                </c:pt>
                <c:pt idx="5">
                  <c:v>154.21464619388908</c:v>
                </c:pt>
                <c:pt idx="6">
                  <c:v>169.63611081327804</c:v>
                </c:pt>
                <c:pt idx="7">
                  <c:v>185.05757543266688</c:v>
                </c:pt>
                <c:pt idx="8">
                  <c:v>200.47904005205584</c:v>
                </c:pt>
                <c:pt idx="9">
                  <c:v>215.90050467144474</c:v>
                </c:pt>
                <c:pt idx="10">
                  <c:v>231.32196929083361</c:v>
                </c:pt>
              </c:numCache>
            </c:numRef>
          </c:xVal>
          <c:yVal>
            <c:numRef>
              <c:f>'Gear Change Calc'!$R$15:$R$25</c:f>
              <c:numCache>
                <c:formatCode>0</c:formatCode>
                <c:ptCount val="11"/>
                <c:pt idx="0">
                  <c:v>1151.6162336651487</c:v>
                </c:pt>
                <c:pt idx="1">
                  <c:v>1151.1834836618859</c:v>
                </c:pt>
                <c:pt idx="2">
                  <c:v>1261.4482298004725</c:v>
                </c:pt>
                <c:pt idx="3">
                  <c:v>1243.0548018445588</c:v>
                </c:pt>
                <c:pt idx="4">
                  <c:v>1330.5234019449124</c:v>
                </c:pt>
                <c:pt idx="5">
                  <c:v>1333.8201343381274</c:v>
                </c:pt>
                <c:pt idx="6">
                  <c:v>1306.0911891648368</c:v>
                </c:pt>
                <c:pt idx="7">
                  <c:v>1369.8057853926225</c:v>
                </c:pt>
                <c:pt idx="8">
                  <c:v>1248.2060762154576</c:v>
                </c:pt>
                <c:pt idx="9">
                  <c:v>1203.6681346287819</c:v>
                </c:pt>
                <c:pt idx="10">
                  <c:v>1045.6320084510864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402-4443-900D-B861E61EAEBA}"/>
            </c:ext>
          </c:extLst>
        </c:ser>
        <c:ser>
          <c:idx val="10"/>
          <c:order val="10"/>
          <c:tx>
            <c:v>5th Gear 675</c:v>
          </c:tx>
          <c:marker>
            <c:symbol val="none"/>
          </c:marker>
          <c:xVal>
            <c:numRef>
              <c:f>'Gear Change Calc'!$L$15:$L$25</c:f>
              <c:numCache>
                <c:formatCode>0</c:formatCode>
                <c:ptCount val="11"/>
                <c:pt idx="0">
                  <c:v>84.076638838399177</c:v>
                </c:pt>
                <c:pt idx="1">
                  <c:v>100.89196660607898</c:v>
                </c:pt>
                <c:pt idx="2">
                  <c:v>117.70729437375883</c:v>
                </c:pt>
                <c:pt idx="3">
                  <c:v>134.52262214143869</c:v>
                </c:pt>
                <c:pt idx="4">
                  <c:v>151.33794990911852</c:v>
                </c:pt>
                <c:pt idx="5">
                  <c:v>168.15327767679835</c:v>
                </c:pt>
                <c:pt idx="6">
                  <c:v>184.96860544447813</c:v>
                </c:pt>
                <c:pt idx="7">
                  <c:v>201.78393321215796</c:v>
                </c:pt>
                <c:pt idx="8">
                  <c:v>218.59926097983779</c:v>
                </c:pt>
                <c:pt idx="9">
                  <c:v>235.41458874751766</c:v>
                </c:pt>
                <c:pt idx="10">
                  <c:v>252.22991651519746</c:v>
                </c:pt>
              </c:numCache>
            </c:numRef>
          </c:xVal>
          <c:yVal>
            <c:numRef>
              <c:f>'Gear Change Calc'!$S$15:$S$25</c:f>
              <c:numCache>
                <c:formatCode>0</c:formatCode>
                <c:ptCount val="11"/>
                <c:pt idx="0">
                  <c:v>1037.9645806424828</c:v>
                </c:pt>
                <c:pt idx="1">
                  <c:v>1029.5634859588922</c:v>
                </c:pt>
                <c:pt idx="2">
                  <c:v>1121.2285924238627</c:v>
                </c:pt>
                <c:pt idx="3">
                  <c:v>1093.4449996442706</c:v>
                </c:pt>
                <c:pt idx="4">
                  <c:v>1161.2929635608548</c:v>
                </c:pt>
                <c:pt idx="5">
                  <c:v>1150.4909571948292</c:v>
                </c:pt>
                <c:pt idx="6">
                  <c:v>1109.7797545728797</c:v>
                </c:pt>
                <c:pt idx="7">
                  <c:v>1151.4768051890803</c:v>
                </c:pt>
                <c:pt idx="8">
                  <c:v>1021.7653888685956</c:v>
                </c:pt>
                <c:pt idx="9">
                  <c:v>961.27259195644683</c:v>
                </c:pt>
                <c:pt idx="10">
                  <c:v>795.23443714331574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402-4443-900D-B861E61EAEBA}"/>
            </c:ext>
          </c:extLst>
        </c:ser>
        <c:ser>
          <c:idx val="11"/>
          <c:order val="11"/>
          <c:tx>
            <c:v>6th Gear 675</c:v>
          </c:tx>
          <c:marker>
            <c:symbol val="none"/>
          </c:marker>
          <c:xVal>
            <c:numRef>
              <c:f>'Gear Change Calc'!$M$15:$M$25</c:f>
              <c:numCache>
                <c:formatCode>0</c:formatCode>
                <c:ptCount val="11"/>
                <c:pt idx="0">
                  <c:v>91.083025408265726</c:v>
                </c:pt>
                <c:pt idx="1">
                  <c:v>109.2996304899189</c:v>
                </c:pt>
                <c:pt idx="2">
                  <c:v>127.51623557157205</c:v>
                </c:pt>
                <c:pt idx="3">
                  <c:v>145.7328406532252</c:v>
                </c:pt>
                <c:pt idx="4">
                  <c:v>163.94944573487831</c:v>
                </c:pt>
                <c:pt idx="5">
                  <c:v>182.16605081653145</c:v>
                </c:pt>
                <c:pt idx="6">
                  <c:v>200.38265589818468</c:v>
                </c:pt>
                <c:pt idx="7">
                  <c:v>218.59926097983779</c:v>
                </c:pt>
                <c:pt idx="8">
                  <c:v>236.81586606149096</c:v>
                </c:pt>
                <c:pt idx="9">
                  <c:v>255.03247114314411</c:v>
                </c:pt>
                <c:pt idx="10">
                  <c:v>273.24907622479725</c:v>
                </c:pt>
              </c:numCache>
            </c:numRef>
          </c:xVal>
          <c:yVal>
            <c:numRef>
              <c:f>'Gear Change Calc'!$T$15:$T$25</c:f>
              <c:numCache>
                <c:formatCode>0</c:formatCode>
                <c:ptCount val="11"/>
                <c:pt idx="0">
                  <c:v>938.18719291287096</c:v>
                </c:pt>
                <c:pt idx="1">
                  <c:v>921.66139456411815</c:v>
                </c:pt>
                <c:pt idx="2">
                  <c:v>995.90968059962313</c:v>
                </c:pt>
                <c:pt idx="3">
                  <c:v>958.30291219496235</c:v>
                </c:pt>
                <c:pt idx="4">
                  <c:v>1007.3767102185107</c:v>
                </c:pt>
                <c:pt idx="5">
                  <c:v>982.25581899754241</c:v>
                </c:pt>
                <c:pt idx="6">
                  <c:v>927.93172224899649</c:v>
                </c:pt>
                <c:pt idx="7">
                  <c:v>948.0820656597142</c:v>
                </c:pt>
                <c:pt idx="8">
                  <c:v>808.41449214523004</c:v>
                </c:pt>
                <c:pt idx="9">
                  <c:v>731.04631217787198</c:v>
                </c:pt>
                <c:pt idx="10">
                  <c:v>554.65693131826811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402-4443-900D-B861E61E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281280"/>
        <c:axId val="195282816"/>
      </c:scatterChart>
      <c:valAx>
        <c:axId val="1952812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5282816"/>
        <c:crosses val="autoZero"/>
        <c:crossBetween val="midCat"/>
      </c:valAx>
      <c:valAx>
        <c:axId val="19528281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952812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991796554552916"/>
          <c:y val="0.38693467336683718"/>
          <c:w val="0.10008199744262736"/>
          <c:h val="0.45491606002079926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0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8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29578</xdr:colOff>
      <xdr:row>20</xdr:row>
      <xdr:rowOff>19552</xdr:rowOff>
    </xdr:from>
    <xdr:to>
      <xdr:col>29</xdr:col>
      <xdr:colOff>905878</xdr:colOff>
      <xdr:row>47</xdr:row>
      <xdr:rowOff>143878</xdr:rowOff>
    </xdr:to>
    <xdr:graphicFrame macro="">
      <xdr:nvGraphicFramePr>
        <xdr:cNvPr id="1377" name="Chart 1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29578</xdr:colOff>
      <xdr:row>48</xdr:row>
      <xdr:rowOff>3509</xdr:rowOff>
    </xdr:from>
    <xdr:to>
      <xdr:col>29</xdr:col>
      <xdr:colOff>905878</xdr:colOff>
      <xdr:row>70</xdr:row>
      <xdr:rowOff>68680</xdr:rowOff>
    </xdr:to>
    <xdr:graphicFrame macro="">
      <xdr:nvGraphicFramePr>
        <xdr:cNvPr id="1378" name="Chart 2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85725</xdr:colOff>
      <xdr:row>44</xdr:row>
      <xdr:rowOff>114300</xdr:rowOff>
    </xdr:from>
    <xdr:to>
      <xdr:col>7</xdr:col>
      <xdr:colOff>9525</xdr:colOff>
      <xdr:row>46</xdr:row>
      <xdr:rowOff>85725</xdr:rowOff>
    </xdr:to>
    <xdr:sp macro="" textlink="" fLocksText="0">
      <xdr:nvSpPr>
        <xdr:cNvPr id="1027" name="Testo 2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2305050" y="8201025"/>
          <a:ext cx="8382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xdr:txBody>
    </xdr:sp>
    <xdr:clientData/>
  </xdr:twoCellAnchor>
  <xdr:twoCellAnchor>
    <xdr:from>
      <xdr:col>7</xdr:col>
      <xdr:colOff>381000</xdr:colOff>
      <xdr:row>44</xdr:row>
      <xdr:rowOff>104775</xdr:rowOff>
    </xdr:from>
    <xdr:to>
      <xdr:col>10</xdr:col>
      <xdr:colOff>200025</xdr:colOff>
      <xdr:row>46</xdr:row>
      <xdr:rowOff>85725</xdr:rowOff>
    </xdr:to>
    <xdr:sp macro="" textlink="" fLocksText="0">
      <xdr:nvSpPr>
        <xdr:cNvPr id="1028" name="Testo 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514725" y="8191500"/>
          <a:ext cx="94297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xdr:txBody>
    </xdr:sp>
    <xdr:clientData/>
  </xdr:twoCellAnchor>
  <xdr:twoCellAnchor>
    <xdr:from>
      <xdr:col>10</xdr:col>
      <xdr:colOff>314325</xdr:colOff>
      <xdr:row>44</xdr:row>
      <xdr:rowOff>114300</xdr:rowOff>
    </xdr:from>
    <xdr:to>
      <xdr:col>12</xdr:col>
      <xdr:colOff>333375</xdr:colOff>
      <xdr:row>46</xdr:row>
      <xdr:rowOff>85725</xdr:rowOff>
    </xdr:to>
    <xdr:sp macro="" textlink="" fLocksText="0">
      <xdr:nvSpPr>
        <xdr:cNvPr id="1029" name="Testo 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4572000" y="8201025"/>
          <a:ext cx="9144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xdr:txBody>
    </xdr:sp>
    <xdr:clientData/>
  </xdr:twoCellAnchor>
  <xdr:twoCellAnchor>
    <xdr:from>
      <xdr:col>12</xdr:col>
      <xdr:colOff>381000</xdr:colOff>
      <xdr:row>44</xdr:row>
      <xdr:rowOff>114300</xdr:rowOff>
    </xdr:from>
    <xdr:to>
      <xdr:col>14</xdr:col>
      <xdr:colOff>171450</xdr:colOff>
      <xdr:row>46</xdr:row>
      <xdr:rowOff>85725</xdr:rowOff>
    </xdr:to>
    <xdr:sp macro="" textlink="" fLocksText="0">
      <xdr:nvSpPr>
        <xdr:cNvPr id="1030" name="Testo 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5534025" y="8201025"/>
          <a:ext cx="904875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xdr:txBody>
    </xdr:sp>
    <xdr:clientData/>
  </xdr:twoCellAnchor>
  <xdr:twoCellAnchor>
    <xdr:from>
      <xdr:col>14</xdr:col>
      <xdr:colOff>238125</xdr:colOff>
      <xdr:row>44</xdr:row>
      <xdr:rowOff>123825</xdr:rowOff>
    </xdr:from>
    <xdr:to>
      <xdr:col>24</xdr:col>
      <xdr:colOff>266700</xdr:colOff>
      <xdr:row>46</xdr:row>
      <xdr:rowOff>104775</xdr:rowOff>
    </xdr:to>
    <xdr:sp macro="" textlink="" fLocksText="0">
      <xdr:nvSpPr>
        <xdr:cNvPr id="1031" name="Testo 5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6505575" y="8210550"/>
          <a:ext cx="92392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0.39846</cdr:x>
      <cdr:y>0.49927</cdr:y>
    </cdr:from>
    <cdr:to>
      <cdr:x>0.40688</cdr:x>
      <cdr:y>0.53401</cdr:y>
    </cdr:to>
    <cdr:sp macro="" textlink="">
      <cdr:nvSpPr>
        <cdr:cNvPr id="2049" name="Text 1">
          <a:extLst xmlns:a="http://schemas.openxmlformats.org/drawingml/2006/main">
            <a:ext uri="{FF2B5EF4-FFF2-40B4-BE49-F238E27FC236}">
              <a16:creationId xmlns:a16="http://schemas.microsoft.com/office/drawing/2014/main" id="{9F429D20-5505-4D50-A9E3-10FED33F71C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45228" y="2247775"/>
          <a:ext cx="85415" cy="156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0" name="Text Box 2">
          <a:extLst xmlns:a="http://schemas.openxmlformats.org/drawingml/2006/main">
            <a:ext uri="{FF2B5EF4-FFF2-40B4-BE49-F238E27FC236}">
              <a16:creationId xmlns:a16="http://schemas.microsoft.com/office/drawing/2014/main" id="{CBDC9368-D116-4B5B-8B1A-038339ABCA2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1" name="Text Box 3">
          <a:extLst xmlns:a="http://schemas.openxmlformats.org/drawingml/2006/main">
            <a:ext uri="{FF2B5EF4-FFF2-40B4-BE49-F238E27FC236}">
              <a16:creationId xmlns:a16="http://schemas.microsoft.com/office/drawing/2014/main" id="{A86039B0-1332-4FA6-B236-1014F8B35B2F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2" name="Text Box 4">
          <a:extLst xmlns:a="http://schemas.openxmlformats.org/drawingml/2006/main">
            <a:ext uri="{FF2B5EF4-FFF2-40B4-BE49-F238E27FC236}">
              <a16:creationId xmlns:a16="http://schemas.microsoft.com/office/drawing/2014/main" id="{D37F6DAC-CC2F-4183-BB92-6C2B8AA9C17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3" name="Text Box 5">
          <a:extLst xmlns:a="http://schemas.openxmlformats.org/drawingml/2006/main">
            <a:ext uri="{FF2B5EF4-FFF2-40B4-BE49-F238E27FC236}">
              <a16:creationId xmlns:a16="http://schemas.microsoft.com/office/drawing/2014/main" id="{C0D45448-126E-4B3C-94A4-A4074D49829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4" name="Text Box 6">
          <a:extLst xmlns:a="http://schemas.openxmlformats.org/drawingml/2006/main">
            <a:ext uri="{FF2B5EF4-FFF2-40B4-BE49-F238E27FC236}">
              <a16:creationId xmlns:a16="http://schemas.microsoft.com/office/drawing/2014/main" id="{15EDD796-D579-475F-BBC1-3BF6310AA61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0.41402</cdr:x>
      <cdr:y>0.47487</cdr:y>
    </cdr:from>
    <cdr:to>
      <cdr:x>0.44135</cdr:x>
      <cdr:y>0.52513</cdr:y>
    </cdr:to>
    <cdr:sp macro="" textlink="" fLocksText="0">
      <cdr:nvSpPr>
        <cdr:cNvPr id="3073" name="Testo 1">
          <a:extLst xmlns:a="http://schemas.openxmlformats.org/drawingml/2006/main">
            <a:ext uri="{FF2B5EF4-FFF2-40B4-BE49-F238E27FC236}">
              <a16:creationId xmlns:a16="http://schemas.microsoft.com/office/drawing/2014/main" id="{9994B172-466B-4C66-B288-AA7A8F39C25F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17288" y="1778319"/>
          <a:ext cx="311429" cy="1881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20160" tIns="20160" rIns="20160" bIns="201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1000" b="0" i="0" strike="noStrike">
              <a:solidFill>
                <a:srgbClr val="000000"/>
              </a:solidFill>
              <a:latin typeface="Arial"/>
              <a:cs typeface="Arial"/>
            </a:rPr>
            <a:t>Falls</a:t>
          </a:r>
        </a:p>
      </cdr:txBody>
    </cdr:sp>
  </cdr:relSizeAnchor>
  <cdr:relSizeAnchor xmlns:cdr="http://schemas.openxmlformats.org/drawingml/2006/chartDrawing">
    <cdr:from>
      <cdr:x>0.1778</cdr:x>
      <cdr:y>0.82293</cdr:y>
    </cdr:from>
    <cdr:to>
      <cdr:x>0.27587</cdr:x>
      <cdr:y>0.8746</cdr:y>
    </cdr:to>
    <cdr:sp macro="" textlink="" fLocksText="0">
      <cdr:nvSpPr>
        <cdr:cNvPr id="3074" name="Testo 2">
          <a:extLst xmlns:a="http://schemas.openxmlformats.org/drawingml/2006/main">
            <a:ext uri="{FF2B5EF4-FFF2-40B4-BE49-F238E27FC236}">
              <a16:creationId xmlns:a16="http://schemas.microsoft.com/office/drawing/2014/main" id="{696BE3CA-256A-42FC-B0F9-2182BE8C4702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06841" y="3122851"/>
          <a:ext cx="994839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cdr:txBody>
    </cdr:sp>
  </cdr:relSizeAnchor>
  <cdr:relSizeAnchor xmlns:cdr="http://schemas.openxmlformats.org/drawingml/2006/chartDrawing">
    <cdr:from>
      <cdr:x>0.34373</cdr:x>
      <cdr:y>0.82293</cdr:y>
    </cdr:from>
    <cdr:to>
      <cdr:x>0.45196</cdr:x>
      <cdr:y>0.87386</cdr:y>
    </cdr:to>
    <cdr:sp macro="" textlink="" fLocksText="0">
      <cdr:nvSpPr>
        <cdr:cNvPr id="3075" name="Testo 3">
          <a:extLst xmlns:a="http://schemas.openxmlformats.org/drawingml/2006/main">
            <a:ext uri="{FF2B5EF4-FFF2-40B4-BE49-F238E27FC236}">
              <a16:creationId xmlns:a16="http://schemas.microsoft.com/office/drawing/2014/main" id="{D98C0E2C-C495-4733-8FC0-25EB3C33216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90027" y="3122851"/>
          <a:ext cx="1097840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cdr:txBody>
    </cdr:sp>
  </cdr:relSizeAnchor>
  <cdr:relSizeAnchor xmlns:cdr="http://schemas.openxmlformats.org/drawingml/2006/chartDrawing">
    <cdr:from>
      <cdr:x>0.49034</cdr:x>
      <cdr:y>0.82293</cdr:y>
    </cdr:from>
    <cdr:to>
      <cdr:x>0.59658</cdr:x>
      <cdr:y>0.87386</cdr:y>
    </cdr:to>
    <cdr:sp macro="" textlink="" fLocksText="0">
      <cdr:nvSpPr>
        <cdr:cNvPr id="3076" name="Testo 4">
          <a:extLst xmlns:a="http://schemas.openxmlformats.org/drawingml/2006/main">
            <a:ext uri="{FF2B5EF4-FFF2-40B4-BE49-F238E27FC236}">
              <a16:creationId xmlns:a16="http://schemas.microsoft.com/office/drawing/2014/main" id="{534580F2-E8F2-4C54-A3A2-B5CB76A81A4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7261" y="3122851"/>
          <a:ext cx="1077742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cdr:txBody>
    </cdr:sp>
  </cdr:relSizeAnchor>
  <cdr:relSizeAnchor xmlns:cdr="http://schemas.openxmlformats.org/drawingml/2006/chartDrawing">
    <cdr:from>
      <cdr:x>0.64933</cdr:x>
      <cdr:y>0.82293</cdr:y>
    </cdr:from>
    <cdr:to>
      <cdr:x>0.7536</cdr:x>
      <cdr:y>0.87386</cdr:y>
    </cdr:to>
    <cdr:sp macro="" textlink="" fLocksText="0">
      <cdr:nvSpPr>
        <cdr:cNvPr id="3077" name="Testo 5">
          <a:extLst xmlns:a="http://schemas.openxmlformats.org/drawingml/2006/main">
            <a:ext uri="{FF2B5EF4-FFF2-40B4-BE49-F238E27FC236}">
              <a16:creationId xmlns:a16="http://schemas.microsoft.com/office/drawing/2014/main" id="{4CBB0FEE-06A6-4017-BA68-D915D15DD62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590105" y="3122851"/>
          <a:ext cx="1057645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cdr:txBody>
    </cdr:sp>
  </cdr:relSizeAnchor>
  <cdr:relSizeAnchor xmlns:cdr="http://schemas.openxmlformats.org/drawingml/2006/chartDrawing">
    <cdr:from>
      <cdr:x>0.81972</cdr:x>
      <cdr:y>0.82293</cdr:y>
    </cdr:from>
    <cdr:to>
      <cdr:x>0.92522</cdr:x>
      <cdr:y>0.8746</cdr:y>
    </cdr:to>
    <cdr:sp macro="" textlink="" fLocksText="0">
      <cdr:nvSpPr>
        <cdr:cNvPr id="3078" name="Testo 5">
          <a:extLst xmlns:a="http://schemas.openxmlformats.org/drawingml/2006/main">
            <a:ext uri="{FF2B5EF4-FFF2-40B4-BE49-F238E27FC236}">
              <a16:creationId xmlns:a16="http://schemas.microsoft.com/office/drawing/2014/main" id="{04411429-EE48-4B76-BCE1-19250BCB94D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18512" y="3122851"/>
          <a:ext cx="1070205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48700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48700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48700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717979-E106-40F0-9BE5-0247748323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28"/>
  <sheetViews>
    <sheetView showGridLines="0" zoomScale="95" zoomScaleNormal="95" workbookViewId="0">
      <selection activeCell="D4" sqref="D4"/>
    </sheetView>
  </sheetViews>
  <sheetFormatPr defaultColWidth="9.109375" defaultRowHeight="12.6" x14ac:dyDescent="0.25"/>
  <cols>
    <col min="1" max="1" width="5.33203125" style="1" customWidth="1"/>
    <col min="2" max="2" width="4.88671875" style="1" customWidth="1"/>
    <col min="3" max="4" width="6.6640625" style="1" customWidth="1"/>
    <col min="5" max="5" width="9.6640625" style="1" customWidth="1"/>
    <col min="6" max="6" width="7" style="1" customWidth="1"/>
    <col min="7" max="7" width="8.88671875" style="1" bestFit="1" customWidth="1"/>
    <col min="8" max="8" width="6.6640625" style="1" customWidth="1"/>
    <col min="9" max="9" width="5.33203125" style="1" customWidth="1"/>
    <col min="10" max="10" width="4.88671875" style="1" customWidth="1"/>
    <col min="11" max="12" width="6.6640625" style="1" customWidth="1"/>
    <col min="13" max="13" width="9.6640625" style="1" customWidth="1"/>
    <col min="14" max="14" width="7" style="1" customWidth="1"/>
    <col min="15" max="20" width="6.6640625" style="1" customWidth="1"/>
    <col min="21" max="21" width="7.88671875" style="1" bestFit="1" customWidth="1"/>
    <col min="22" max="24" width="6.6640625" style="1" customWidth="1"/>
    <col min="25" max="25" width="10.6640625" style="1" bestFit="1" customWidth="1"/>
    <col min="26" max="26" width="8.6640625" style="1" bestFit="1" customWidth="1"/>
    <col min="27" max="27" width="12.109375" style="1" bestFit="1" customWidth="1"/>
    <col min="28" max="28" width="11.44140625" style="1" bestFit="1" customWidth="1"/>
    <col min="29" max="29" width="5.88671875" style="1" bestFit="1" customWidth="1"/>
    <col min="30" max="30" width="17.88671875" style="1" customWidth="1"/>
    <col min="31" max="31" width="9.44140625" style="1" customWidth="1"/>
    <col min="32" max="32" width="8.5546875" style="1" customWidth="1"/>
    <col min="33" max="33" width="7.5546875" style="1" customWidth="1"/>
    <col min="34" max="35" width="5.6640625" style="1" customWidth="1"/>
    <col min="36" max="37" width="3.88671875" style="1" customWidth="1"/>
    <col min="38" max="38" width="5.6640625" style="1" customWidth="1"/>
    <col min="39" max="40" width="3.88671875" style="1" customWidth="1"/>
    <col min="41" max="41" width="5.6640625" style="1" customWidth="1"/>
    <col min="42" max="43" width="3.88671875" style="1" customWidth="1"/>
    <col min="44" max="44" width="5.6640625" style="1" customWidth="1"/>
    <col min="45" max="46" width="3.88671875" style="1" customWidth="1"/>
    <col min="47" max="47" width="5.6640625" style="1" customWidth="1"/>
    <col min="48" max="49" width="3.6640625" style="1" customWidth="1"/>
    <col min="50" max="50" width="5.6640625" style="1" customWidth="1"/>
    <col min="51" max="51" width="3.6640625" style="1" customWidth="1"/>
    <col min="52" max="52" width="15.33203125" style="1" bestFit="1" customWidth="1"/>
    <col min="53" max="53" width="14.6640625" style="1" bestFit="1" customWidth="1"/>
    <col min="54" max="61" width="9.109375" style="1"/>
    <col min="62" max="62" width="11" style="1" bestFit="1" customWidth="1"/>
    <col min="63" max="16384" width="9.109375" style="1"/>
  </cols>
  <sheetData>
    <row r="1" spans="1:64" ht="18.75" customHeight="1" thickBot="1" x14ac:dyDescent="0.3">
      <c r="A1" s="106" t="s">
        <v>82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</row>
    <row r="2" spans="1:64" s="13" customFormat="1" ht="28.2" customHeight="1" thickBot="1" x14ac:dyDescent="0.3">
      <c r="A2" s="2" t="s">
        <v>0</v>
      </c>
      <c r="B2" s="3"/>
      <c r="C2" s="4"/>
      <c r="D2" s="5"/>
      <c r="E2" s="5"/>
      <c r="F2" s="6" t="s">
        <v>1</v>
      </c>
      <c r="G2" s="7" t="s">
        <v>61</v>
      </c>
      <c r="H2" s="8"/>
      <c r="I2" s="2" t="s">
        <v>0</v>
      </c>
      <c r="J2" s="3"/>
      <c r="K2" s="4"/>
      <c r="L2" s="5"/>
      <c r="M2" s="5"/>
      <c r="N2" s="6" t="s">
        <v>1</v>
      </c>
      <c r="O2" s="9" t="s">
        <v>62</v>
      </c>
      <c r="P2" s="8"/>
      <c r="Q2" s="2" t="s">
        <v>0</v>
      </c>
      <c r="R2" s="3"/>
      <c r="S2" s="4"/>
      <c r="T2" s="5"/>
      <c r="U2" s="5"/>
      <c r="V2" s="6" t="s">
        <v>1</v>
      </c>
      <c r="W2" s="76" t="s">
        <v>63</v>
      </c>
      <c r="X2" s="8"/>
      <c r="Y2" s="10"/>
      <c r="Z2" s="107" t="s">
        <v>53</v>
      </c>
      <c r="AA2" s="108"/>
      <c r="AB2" s="10"/>
      <c r="AC2" s="10"/>
      <c r="AD2" s="10"/>
      <c r="AE2" s="10"/>
      <c r="AF2" s="11"/>
      <c r="AG2" s="12"/>
      <c r="AV2" s="13" t="s">
        <v>66</v>
      </c>
    </row>
    <row r="3" spans="1:64" ht="26.25" customHeight="1" x14ac:dyDescent="0.3">
      <c r="A3" s="96" t="s">
        <v>2</v>
      </c>
      <c r="B3" s="96"/>
      <c r="C3" s="14">
        <v>46</v>
      </c>
      <c r="D3" s="14">
        <v>85</v>
      </c>
      <c r="E3" s="15"/>
      <c r="F3" s="15"/>
      <c r="G3" s="15"/>
      <c r="H3" s="16"/>
      <c r="I3" s="96" t="s">
        <v>2</v>
      </c>
      <c r="J3" s="96"/>
      <c r="K3" s="14">
        <v>46</v>
      </c>
      <c r="L3" s="14">
        <v>85</v>
      </c>
      <c r="M3" s="15"/>
      <c r="N3" s="15"/>
      <c r="O3" s="15"/>
      <c r="P3" s="16"/>
      <c r="Q3" s="96" t="s">
        <v>2</v>
      </c>
      <c r="R3" s="96"/>
      <c r="S3" s="14">
        <v>46</v>
      </c>
      <c r="T3" s="14">
        <v>85</v>
      </c>
      <c r="U3" s="15"/>
      <c r="V3" s="15"/>
      <c r="W3" s="15"/>
      <c r="X3" s="16"/>
      <c r="Y3" s="17"/>
      <c r="Z3" s="70" t="s">
        <v>45</v>
      </c>
      <c r="AA3" s="71" t="s">
        <v>46</v>
      </c>
      <c r="AB3" s="71" t="s">
        <v>47</v>
      </c>
      <c r="AC3" s="71" t="s">
        <v>48</v>
      </c>
      <c r="AD3" s="72" t="s">
        <v>49</v>
      </c>
      <c r="AE3" s="73" t="s">
        <v>50</v>
      </c>
      <c r="AF3" s="17"/>
      <c r="AG3" s="18"/>
      <c r="AV3" s="1">
        <v>36</v>
      </c>
      <c r="AW3" s="1">
        <v>76</v>
      </c>
      <c r="BL3" s="1">
        <v>17000</v>
      </c>
    </row>
    <row r="4" spans="1:64" ht="18" x14ac:dyDescent="0.35">
      <c r="A4" s="96" t="s">
        <v>3</v>
      </c>
      <c r="B4" s="96"/>
      <c r="C4" s="19">
        <v>14</v>
      </c>
      <c r="D4" s="19">
        <v>42</v>
      </c>
      <c r="E4" s="15"/>
      <c r="F4" s="15"/>
      <c r="G4" s="15"/>
      <c r="H4" s="20"/>
      <c r="I4" s="96" t="s">
        <v>3</v>
      </c>
      <c r="J4" s="96"/>
      <c r="K4" s="19">
        <v>14</v>
      </c>
      <c r="L4" s="19">
        <v>45</v>
      </c>
      <c r="M4" s="15"/>
      <c r="N4" s="15"/>
      <c r="O4" s="15"/>
      <c r="P4" s="20"/>
      <c r="Q4" s="96" t="s">
        <v>3</v>
      </c>
      <c r="R4" s="96"/>
      <c r="S4" s="19">
        <v>16</v>
      </c>
      <c r="T4" s="19">
        <v>47</v>
      </c>
      <c r="U4" s="15"/>
      <c r="V4" s="15"/>
      <c r="W4" s="15"/>
      <c r="X4" s="20"/>
      <c r="Y4" s="21"/>
      <c r="Z4" s="90" t="s">
        <v>40</v>
      </c>
      <c r="AA4" s="92">
        <v>16</v>
      </c>
      <c r="AB4" s="92">
        <v>45</v>
      </c>
      <c r="AC4" s="92">
        <v>114</v>
      </c>
      <c r="AD4" s="92">
        <v>87</v>
      </c>
      <c r="AE4" s="94">
        <f>0.5*(AC4-0.5*(AA4+AB4))*25.4*VLOOKUP(Z4,'Gearbox 675R'!AZ14:BA16,2,FALSE)-AD4</f>
        <v>575.78125</v>
      </c>
      <c r="AF4" s="17"/>
      <c r="AG4" s="18"/>
      <c r="AI4" s="22" t="s">
        <v>4</v>
      </c>
      <c r="AJ4" s="109" t="s">
        <v>5</v>
      </c>
      <c r="AK4" s="109"/>
      <c r="AL4" s="109"/>
      <c r="AM4" s="109" t="s">
        <v>6</v>
      </c>
      <c r="AN4" s="109"/>
      <c r="AO4" s="109"/>
      <c r="AP4" s="109" t="s">
        <v>7</v>
      </c>
      <c r="AQ4" s="109"/>
      <c r="AR4" s="109"/>
      <c r="AS4" s="109" t="s">
        <v>8</v>
      </c>
      <c r="AT4" s="109"/>
      <c r="AU4" s="109"/>
      <c r="AV4" s="109" t="s">
        <v>64</v>
      </c>
      <c r="AW4" s="109"/>
      <c r="AX4" s="109"/>
      <c r="AY4" s="110"/>
      <c r="AZ4" s="110"/>
      <c r="BA4" s="110"/>
      <c r="BL4" s="1">
        <v>16900</v>
      </c>
    </row>
    <row r="5" spans="1:64" ht="16.2" thickBot="1" x14ac:dyDescent="0.35">
      <c r="A5" s="96" t="s">
        <v>9</v>
      </c>
      <c r="B5" s="96"/>
      <c r="C5" s="23" t="s">
        <v>58</v>
      </c>
      <c r="D5" s="24"/>
      <c r="E5" s="19">
        <f>$BH$19*IF(C5="A Tyre",1,0)+$BH$20*IF(C5="B Tyre",1,0)+$BH$21*IF(C5="INTER",1,0)+$BH$22*IF(C5="RAIN",1,0)</f>
        <v>0.65599999999999992</v>
      </c>
      <c r="F5" s="25" t="s">
        <v>10</v>
      </c>
      <c r="G5" s="39" t="s">
        <v>60</v>
      </c>
      <c r="H5" s="16">
        <f>3.142*E5</f>
        <v>2.0611519999999999</v>
      </c>
      <c r="I5" s="96" t="s">
        <v>9</v>
      </c>
      <c r="J5" s="96"/>
      <c r="K5" s="23" t="s">
        <v>58</v>
      </c>
      <c r="L5" s="24"/>
      <c r="M5" s="19">
        <f>$BH$19*IF(K5="A Tyre",1,0)+$BH$20*IF(K5="B Tyre",1,0)+$BH$21*IF(K5="INTER",1,0)+$BH$22*IF(K5="RAIN",1,0)</f>
        <v>0.65599999999999992</v>
      </c>
      <c r="N5" s="25" t="s">
        <v>10</v>
      </c>
      <c r="O5" s="39" t="s">
        <v>60</v>
      </c>
      <c r="P5" s="16">
        <f>3.142*M5</f>
        <v>2.0611519999999999</v>
      </c>
      <c r="Q5" s="96" t="s">
        <v>9</v>
      </c>
      <c r="R5" s="96"/>
      <c r="S5" s="23" t="s">
        <v>58</v>
      </c>
      <c r="T5" s="24"/>
      <c r="U5" s="19">
        <f>$BH$19*IF(S5="A Tyre",1,0)+$BH$20*IF(S5="B Tyre",1,0)+$BH$21*IF(S5="INTER",1,0)+$BH$22*IF(S5="RAIN",1,0)</f>
        <v>0.65599999999999992</v>
      </c>
      <c r="V5" s="25" t="s">
        <v>10</v>
      </c>
      <c r="W5" s="80" t="s">
        <v>60</v>
      </c>
      <c r="X5" s="16">
        <f>3.142*U5</f>
        <v>2.0611519999999999</v>
      </c>
      <c r="Y5" s="26"/>
      <c r="Z5" s="91"/>
      <c r="AA5" s="93"/>
      <c r="AB5" s="93"/>
      <c r="AC5" s="93"/>
      <c r="AD5" s="93"/>
      <c r="AE5" s="95"/>
      <c r="AF5" s="17"/>
      <c r="AG5" s="18"/>
      <c r="AI5" s="27">
        <v>1</v>
      </c>
      <c r="AJ5" s="28">
        <v>15</v>
      </c>
      <c r="AK5" s="29">
        <v>33</v>
      </c>
      <c r="AL5" s="30">
        <f t="shared" ref="AL5:AL10" si="0">AK5/AJ5</f>
        <v>2.2000000000000002</v>
      </c>
      <c r="AM5" s="29">
        <v>14</v>
      </c>
      <c r="AN5" s="29">
        <v>37</v>
      </c>
      <c r="AO5" s="30">
        <f t="shared" ref="AO5:AO10" si="1">AN5/AM5</f>
        <v>2.6428571428571428</v>
      </c>
      <c r="AP5" s="29">
        <v>14</v>
      </c>
      <c r="AQ5" s="29">
        <v>36</v>
      </c>
      <c r="AR5" s="30">
        <f t="shared" ref="AR5:AR10" si="2">AQ5/AP5</f>
        <v>2.5714285714285716</v>
      </c>
      <c r="AS5" s="29">
        <v>16</v>
      </c>
      <c r="AT5" s="29">
        <v>40</v>
      </c>
      <c r="AU5" s="31">
        <f t="shared" ref="AU5:AU10" si="3">AT5/AS5</f>
        <v>2.5</v>
      </c>
      <c r="AV5" s="29">
        <v>15</v>
      </c>
      <c r="AW5" s="29">
        <v>39</v>
      </c>
      <c r="AX5" s="31">
        <f t="shared" ref="AX5:AX10" si="4">AW5/AV5</f>
        <v>2.6</v>
      </c>
      <c r="AY5" s="33"/>
      <c r="AZ5" s="33"/>
      <c r="BA5" s="32"/>
      <c r="BC5" s="1" t="s">
        <v>11</v>
      </c>
      <c r="BG5" s="34">
        <v>14</v>
      </c>
      <c r="BH5" s="34">
        <v>37</v>
      </c>
      <c r="BL5" s="1">
        <v>16800</v>
      </c>
    </row>
    <row r="6" spans="1:64" ht="16.2" thickBot="1" x14ac:dyDescent="0.35">
      <c r="A6" s="96" t="s">
        <v>12</v>
      </c>
      <c r="B6" s="96"/>
      <c r="C6" s="19">
        <v>14200</v>
      </c>
      <c r="D6" s="19">
        <v>14200</v>
      </c>
      <c r="E6" s="97" t="s">
        <v>13</v>
      </c>
      <c r="F6" s="97"/>
      <c r="G6" s="15"/>
      <c r="H6" s="16"/>
      <c r="I6" s="96" t="s">
        <v>12</v>
      </c>
      <c r="J6" s="96"/>
      <c r="K6" s="19">
        <v>15200</v>
      </c>
      <c r="L6" s="19">
        <v>15200</v>
      </c>
      <c r="M6" s="97" t="s">
        <v>13</v>
      </c>
      <c r="N6" s="97"/>
      <c r="O6" s="15"/>
      <c r="P6" s="16"/>
      <c r="Q6" s="96" t="s">
        <v>12</v>
      </c>
      <c r="R6" s="96"/>
      <c r="S6" s="19">
        <v>15000</v>
      </c>
      <c r="T6" s="19">
        <v>15000</v>
      </c>
      <c r="U6" s="97" t="s">
        <v>13</v>
      </c>
      <c r="V6" s="97"/>
      <c r="W6" s="15"/>
      <c r="X6" s="16"/>
      <c r="Y6" s="17"/>
      <c r="Z6" s="102" t="s">
        <v>51</v>
      </c>
      <c r="AA6" s="103"/>
      <c r="AB6" s="17"/>
      <c r="AC6" s="17"/>
      <c r="AD6" s="17"/>
      <c r="AE6" s="17"/>
      <c r="AF6" s="17"/>
      <c r="AG6" s="18"/>
      <c r="AI6" s="35">
        <v>2</v>
      </c>
      <c r="AJ6" s="36">
        <v>16</v>
      </c>
      <c r="AK6" s="36">
        <v>28</v>
      </c>
      <c r="AL6" s="37">
        <f t="shared" si="0"/>
        <v>1.75</v>
      </c>
      <c r="AM6" s="36">
        <v>18</v>
      </c>
      <c r="AN6" s="36">
        <v>39</v>
      </c>
      <c r="AO6" s="37">
        <f t="shared" si="1"/>
        <v>2.1666666666666665</v>
      </c>
      <c r="AP6" s="36">
        <v>16</v>
      </c>
      <c r="AQ6" s="36">
        <v>34</v>
      </c>
      <c r="AR6" s="37">
        <f t="shared" si="2"/>
        <v>2.125</v>
      </c>
      <c r="AS6" s="36">
        <v>16</v>
      </c>
      <c r="AT6" s="36">
        <v>36</v>
      </c>
      <c r="AU6" s="37">
        <f t="shared" si="3"/>
        <v>2.25</v>
      </c>
      <c r="AV6" s="36">
        <v>16</v>
      </c>
      <c r="AW6" s="36">
        <v>32</v>
      </c>
      <c r="AX6" s="37">
        <f t="shared" si="4"/>
        <v>2</v>
      </c>
      <c r="AY6" s="33"/>
      <c r="AZ6" s="33"/>
      <c r="BA6" s="32"/>
      <c r="BC6" s="1" t="s">
        <v>14</v>
      </c>
      <c r="BG6" s="34">
        <v>15</v>
      </c>
      <c r="BH6" s="34">
        <v>38</v>
      </c>
      <c r="BL6" s="1">
        <v>16700</v>
      </c>
    </row>
    <row r="7" spans="1:64" ht="13.8" x14ac:dyDescent="0.25">
      <c r="A7" s="96" t="s">
        <v>15</v>
      </c>
      <c r="B7" s="96"/>
      <c r="C7" s="39"/>
      <c r="D7" s="39"/>
      <c r="E7" s="39"/>
      <c r="F7" s="39" t="s">
        <v>16</v>
      </c>
      <c r="G7" s="39" t="s">
        <v>17</v>
      </c>
      <c r="H7" s="40" t="s">
        <v>18</v>
      </c>
      <c r="I7" s="96" t="s">
        <v>15</v>
      </c>
      <c r="J7" s="96"/>
      <c r="K7" s="39"/>
      <c r="L7" s="39"/>
      <c r="M7" s="39"/>
      <c r="N7" s="39" t="s">
        <v>16</v>
      </c>
      <c r="O7" s="39" t="s">
        <v>17</v>
      </c>
      <c r="P7" s="40" t="s">
        <v>18</v>
      </c>
      <c r="Q7" s="96" t="s">
        <v>15</v>
      </c>
      <c r="R7" s="96"/>
      <c r="S7" s="39"/>
      <c r="T7" s="39"/>
      <c r="U7" s="39"/>
      <c r="V7" s="39" t="s">
        <v>16</v>
      </c>
      <c r="W7" s="39" t="s">
        <v>17</v>
      </c>
      <c r="X7" s="40" t="s">
        <v>18</v>
      </c>
      <c r="Y7" s="41"/>
      <c r="Z7" s="100" t="s">
        <v>45</v>
      </c>
      <c r="AA7" s="84" t="s">
        <v>46</v>
      </c>
      <c r="AB7" s="84" t="s">
        <v>47</v>
      </c>
      <c r="AC7" s="84" t="s">
        <v>48</v>
      </c>
      <c r="AD7" s="86" t="s">
        <v>49</v>
      </c>
      <c r="AE7" s="88" t="s">
        <v>50</v>
      </c>
      <c r="AF7" s="41"/>
      <c r="AG7" s="41"/>
      <c r="AI7" s="27">
        <v>3</v>
      </c>
      <c r="AJ7" s="29">
        <v>18</v>
      </c>
      <c r="AK7" s="29">
        <v>27</v>
      </c>
      <c r="AL7" s="30">
        <f t="shared" si="0"/>
        <v>1.5</v>
      </c>
      <c r="AM7" s="29">
        <v>17</v>
      </c>
      <c r="AN7" s="29">
        <v>32</v>
      </c>
      <c r="AO7" s="30">
        <f t="shared" si="1"/>
        <v>1.8823529411764706</v>
      </c>
      <c r="AP7" s="42">
        <v>22</v>
      </c>
      <c r="AQ7" s="42">
        <v>40</v>
      </c>
      <c r="AR7" s="30">
        <f>AQ7/AP7</f>
        <v>1.8181818181818181</v>
      </c>
      <c r="AS7" s="29">
        <v>21</v>
      </c>
      <c r="AT7" s="29">
        <v>40</v>
      </c>
      <c r="AU7" s="30">
        <f t="shared" si="3"/>
        <v>1.9047619047619047</v>
      </c>
      <c r="AV7" s="29">
        <v>18</v>
      </c>
      <c r="AW7" s="29">
        <v>30</v>
      </c>
      <c r="AX7" s="30">
        <f t="shared" si="4"/>
        <v>1.6666666666666667</v>
      </c>
      <c r="AY7" s="33"/>
      <c r="AZ7" s="33"/>
      <c r="BA7" s="32"/>
      <c r="BC7" s="1" t="s">
        <v>19</v>
      </c>
      <c r="BG7" s="34">
        <v>16</v>
      </c>
      <c r="BH7" s="34">
        <v>39</v>
      </c>
      <c r="BL7" s="1">
        <v>16600</v>
      </c>
    </row>
    <row r="8" spans="1:64" ht="16.5" customHeight="1" x14ac:dyDescent="0.3">
      <c r="A8" s="43"/>
      <c r="B8" s="15"/>
      <c r="C8" s="15"/>
      <c r="D8" s="15"/>
      <c r="E8" s="15"/>
      <c r="F8" s="44">
        <f>G8*60*(C9/D9)*($C$3/$D$3)*$E$5*PI()/1000*$C$4/$D$4</f>
        <v>96.321566758277314</v>
      </c>
      <c r="G8" s="24">
        <v>9500</v>
      </c>
      <c r="H8" s="16"/>
      <c r="I8" s="43"/>
      <c r="J8" s="15"/>
      <c r="K8" s="15"/>
      <c r="L8" s="15"/>
      <c r="M8" s="15"/>
      <c r="N8" s="44">
        <f>O8*60*(K9/L9)*($C$3/$D$3)*$E$5*PI()/1000*$C$4/$D$4</f>
        <v>96.321566758277314</v>
      </c>
      <c r="O8" s="24">
        <v>9500</v>
      </c>
      <c r="P8" s="16"/>
      <c r="Q8" s="43"/>
      <c r="R8" s="15"/>
      <c r="S8" s="15"/>
      <c r="T8" s="15"/>
      <c r="U8" s="15"/>
      <c r="V8" s="44">
        <f>W8*60*(S9/T9)*($C$3/$D$3)*$E$5*PI()/1000*$C$4/$D$4</f>
        <v>96.321566758277314</v>
      </c>
      <c r="W8" s="24">
        <v>9500</v>
      </c>
      <c r="X8" s="16"/>
      <c r="Y8" s="41"/>
      <c r="Z8" s="101"/>
      <c r="AA8" s="85"/>
      <c r="AB8" s="85"/>
      <c r="AC8" s="85"/>
      <c r="AD8" s="87"/>
      <c r="AE8" s="89"/>
      <c r="AF8" s="41"/>
      <c r="AG8" s="41"/>
      <c r="AI8" s="35">
        <v>4</v>
      </c>
      <c r="AJ8" s="36">
        <v>20</v>
      </c>
      <c r="AK8" s="36">
        <v>27</v>
      </c>
      <c r="AL8" s="37">
        <f t="shared" si="0"/>
        <v>1.35</v>
      </c>
      <c r="AM8" s="36">
        <v>20</v>
      </c>
      <c r="AN8" s="36">
        <v>33</v>
      </c>
      <c r="AO8" s="37">
        <f t="shared" si="1"/>
        <v>1.65</v>
      </c>
      <c r="AP8" s="45">
        <v>23</v>
      </c>
      <c r="AQ8" s="45">
        <v>39</v>
      </c>
      <c r="AR8" s="37">
        <f t="shared" si="2"/>
        <v>1.6956521739130435</v>
      </c>
      <c r="AS8" s="36">
        <v>19</v>
      </c>
      <c r="AT8" s="36">
        <v>30</v>
      </c>
      <c r="AU8" s="37">
        <f t="shared" si="3"/>
        <v>1.5789473684210527</v>
      </c>
      <c r="AV8" s="36">
        <v>18</v>
      </c>
      <c r="AW8" s="36">
        <v>26</v>
      </c>
      <c r="AX8" s="37">
        <f t="shared" si="4"/>
        <v>1.4444444444444444</v>
      </c>
      <c r="AY8" s="33"/>
      <c r="AZ8" s="33"/>
      <c r="BA8" s="38"/>
      <c r="BC8" s="1" t="s">
        <v>20</v>
      </c>
      <c r="BG8" s="34">
        <v>17</v>
      </c>
      <c r="BH8" s="34">
        <v>40</v>
      </c>
      <c r="BL8" s="1">
        <v>16500</v>
      </c>
    </row>
    <row r="9" spans="1:64" ht="16.5" customHeight="1" x14ac:dyDescent="0.3">
      <c r="A9" s="46" t="s">
        <v>21</v>
      </c>
      <c r="B9" s="47" t="s">
        <v>11</v>
      </c>
      <c r="C9" s="48">
        <f>$AJ$5*IF(B9="A",1,0)+$AM$5*IF(B9="B",1,0)+$AP$5*IF(B9="C",1,0)+$AV$5*IF(B9="M",1,0)</f>
        <v>15</v>
      </c>
      <c r="D9" s="48">
        <f>$AK$5*IF(B9="A",1,0)+$AN$5*IF(B9="B",1,0)+$AQ$5*IF(B9="C",1,0)+$AW$5*IF(B9="M",1,0)</f>
        <v>33</v>
      </c>
      <c r="E9" s="49">
        <f>D9/First</f>
        <v>2.2000000000000002</v>
      </c>
      <c r="F9" s="44">
        <f>$C$6*60*(C9/D9)*($C$3/$D$3)*$E$5*PI()/1000*$C$4/$D$4</f>
        <v>143.97539452289871</v>
      </c>
      <c r="G9" s="44">
        <f>$C$6</f>
        <v>14200</v>
      </c>
      <c r="H9" s="50">
        <f>H10</f>
        <v>2904.5454545454559</v>
      </c>
      <c r="I9" s="46" t="s">
        <v>21</v>
      </c>
      <c r="J9" s="51" t="s">
        <v>11</v>
      </c>
      <c r="K9" s="48">
        <f>$AJ$5*IF(J9="A",1,0)+$AM$5*IF(J9="B",1,0)+$AP$5*IF(J9="C",1,0)+$AS$5*IF(J9="D",1,0)</f>
        <v>15</v>
      </c>
      <c r="L9" s="48">
        <f>$AK$5*IF(J9="A",1,0)+$AN$5*IF(J9="B",1,0)+$AQ$5*IF(J9="C",1,0)+$AT$5*IF(J9="D",1,0)</f>
        <v>33</v>
      </c>
      <c r="M9" s="49">
        <f>L9/K9</f>
        <v>2.2000000000000002</v>
      </c>
      <c r="N9" s="44">
        <f>$K$6*60*(K9/L9)*($K$3/$L$3)*$M$5*PI()/1000*$K$4/$L$4</f>
        <v>143.84020635902749</v>
      </c>
      <c r="O9" s="44">
        <f>$K$6</f>
        <v>15200</v>
      </c>
      <c r="P9" s="50">
        <f>P10</f>
        <v>3109.0909090909099</v>
      </c>
      <c r="Q9" s="46" t="s">
        <v>21</v>
      </c>
      <c r="R9" s="74" t="s">
        <v>11</v>
      </c>
      <c r="S9" s="48">
        <f>$AJ$5*IF(R9="A",1,0)+$AM$5*IF(R9="B",1,0)+$AP$5*IF(R9="C",1,0)+$AS$5*IF(R9="D",1,0)</f>
        <v>15</v>
      </c>
      <c r="T9" s="48">
        <f>$AK$5*IF(R9="A",1,0)+$AN$5*IF(R9="B",1,0)+$AQ$5*IF(R9="C",1,0)+$AT$5*IF(R9="D",1,0)</f>
        <v>33</v>
      </c>
      <c r="U9" s="49">
        <f>T9/S9</f>
        <v>2.2000000000000002</v>
      </c>
      <c r="V9" s="44">
        <f>$S$6*60*(S9/T9)*($S$3/$T$3)*$U$5*PI()/1000*$S$4/$T$4</f>
        <v>155.32257125634862</v>
      </c>
      <c r="W9" s="44">
        <f>$S$6</f>
        <v>15000</v>
      </c>
      <c r="X9" s="50">
        <f>X10</f>
        <v>3068.181818181818</v>
      </c>
      <c r="Y9" s="52"/>
      <c r="Z9" s="90" t="s">
        <v>40</v>
      </c>
      <c r="AA9" s="92">
        <f>C4</f>
        <v>14</v>
      </c>
      <c r="AB9" s="92">
        <f>D4</f>
        <v>42</v>
      </c>
      <c r="AC9" s="92">
        <v>112</v>
      </c>
      <c r="AD9" s="92">
        <v>87</v>
      </c>
      <c r="AE9" s="94">
        <f>0.5*(AC9-0.5*(AA9+AB9))*25.4*VLOOKUP(Z9,'Gearbox 675R'!AZ14:BA16,2,FALSE)-AD9</f>
        <v>579.75</v>
      </c>
      <c r="AF9" s="52"/>
      <c r="AG9" s="53"/>
      <c r="AI9" s="27">
        <v>5</v>
      </c>
      <c r="AJ9" s="29">
        <v>21</v>
      </c>
      <c r="AK9" s="29">
        <v>26</v>
      </c>
      <c r="AL9" s="30">
        <f t="shared" si="0"/>
        <v>1.2380952380952381</v>
      </c>
      <c r="AM9" s="29">
        <v>20</v>
      </c>
      <c r="AN9" s="29">
        <v>30</v>
      </c>
      <c r="AO9" s="30">
        <f t="shared" si="1"/>
        <v>1.5</v>
      </c>
      <c r="AP9" s="29">
        <v>22</v>
      </c>
      <c r="AQ9" s="29">
        <v>32</v>
      </c>
      <c r="AR9" s="30">
        <f t="shared" si="2"/>
        <v>1.4545454545454546</v>
      </c>
      <c r="AS9" s="29">
        <v>23</v>
      </c>
      <c r="AT9" s="29">
        <v>32</v>
      </c>
      <c r="AU9" s="30">
        <f t="shared" si="3"/>
        <v>1.3913043478260869</v>
      </c>
      <c r="AV9" s="29">
        <v>23</v>
      </c>
      <c r="AW9" s="29">
        <v>30</v>
      </c>
      <c r="AX9" s="30">
        <f t="shared" si="4"/>
        <v>1.3043478260869565</v>
      </c>
      <c r="AY9" s="33"/>
      <c r="AZ9" s="33"/>
      <c r="BA9" s="38"/>
      <c r="BC9" s="1" t="s">
        <v>65</v>
      </c>
      <c r="BH9" s="34">
        <v>41</v>
      </c>
      <c r="BL9" s="1">
        <v>16400</v>
      </c>
    </row>
    <row r="10" spans="1:64" ht="16.2" thickBot="1" x14ac:dyDescent="0.35">
      <c r="A10" s="46"/>
      <c r="B10" s="47"/>
      <c r="C10" s="54"/>
      <c r="D10" s="54"/>
      <c r="E10" s="49"/>
      <c r="F10" s="55">
        <f>F9</f>
        <v>143.97539452289871</v>
      </c>
      <c r="G10" s="56">
        <f>$C$6*(C9/D9)*(D11/C11)</f>
        <v>11295.454545454544</v>
      </c>
      <c r="H10" s="57">
        <f>$C$6-G10</f>
        <v>2904.5454545454559</v>
      </c>
      <c r="I10" s="46"/>
      <c r="J10" s="51"/>
      <c r="K10" s="54"/>
      <c r="L10" s="54"/>
      <c r="M10" s="49"/>
      <c r="N10" s="55">
        <f>N9</f>
        <v>143.84020635902749</v>
      </c>
      <c r="O10" s="58">
        <f>$K$6*(K9/L9)*(L11/K11)</f>
        <v>12090.90909090909</v>
      </c>
      <c r="P10" s="57">
        <f>$K$6-O10</f>
        <v>3109.0909090909099</v>
      </c>
      <c r="Q10" s="46"/>
      <c r="R10" s="51"/>
      <c r="S10" s="54"/>
      <c r="T10" s="54"/>
      <c r="U10" s="49"/>
      <c r="V10" s="55">
        <f>V9</f>
        <v>155.32257125634862</v>
      </c>
      <c r="W10" s="75">
        <f>$S$6*(S9/T9)*(T11/S11)</f>
        <v>11931.818181818182</v>
      </c>
      <c r="X10" s="57">
        <f>$S$6-W10</f>
        <v>3068.181818181818</v>
      </c>
      <c r="Y10" s="52"/>
      <c r="Z10" s="91"/>
      <c r="AA10" s="93"/>
      <c r="AB10" s="93"/>
      <c r="AC10" s="93"/>
      <c r="AD10" s="93"/>
      <c r="AE10" s="95"/>
      <c r="AF10" s="52"/>
      <c r="AG10" s="53"/>
      <c r="AI10" s="35">
        <v>6</v>
      </c>
      <c r="AJ10" s="36">
        <v>21</v>
      </c>
      <c r="AK10" s="36">
        <v>24</v>
      </c>
      <c r="AL10" s="37">
        <f t="shared" si="0"/>
        <v>1.1428571428571428</v>
      </c>
      <c r="AM10" s="36">
        <v>23</v>
      </c>
      <c r="AN10" s="36">
        <v>32</v>
      </c>
      <c r="AO10" s="37">
        <f t="shared" si="1"/>
        <v>1.3913043478260869</v>
      </c>
      <c r="AP10" s="36">
        <v>26</v>
      </c>
      <c r="AQ10" s="36">
        <v>35</v>
      </c>
      <c r="AR10" s="37">
        <f t="shared" si="2"/>
        <v>1.3461538461538463</v>
      </c>
      <c r="AS10" s="36">
        <v>23</v>
      </c>
      <c r="AT10" s="36">
        <v>29</v>
      </c>
      <c r="AU10" s="37">
        <f t="shared" si="3"/>
        <v>1.2608695652173914</v>
      </c>
      <c r="AV10" s="36">
        <v>24</v>
      </c>
      <c r="AW10" s="36">
        <v>29</v>
      </c>
      <c r="AX10" s="37">
        <f t="shared" si="4"/>
        <v>1.2083333333333333</v>
      </c>
      <c r="AY10" s="33"/>
      <c r="AZ10" s="33"/>
      <c r="BA10" s="38"/>
      <c r="BH10" s="34">
        <v>42</v>
      </c>
      <c r="BL10" s="1">
        <v>16300</v>
      </c>
    </row>
    <row r="11" spans="1:64" ht="16.2" thickBot="1" x14ac:dyDescent="0.35">
      <c r="A11" s="46" t="s">
        <v>22</v>
      </c>
      <c r="B11" s="47" t="s">
        <v>11</v>
      </c>
      <c r="C11" s="48">
        <f>$AJ$6*IF(B11="A",1,0)+$AM$6*IF(B11="B",1,0)+$AP$6*IF(B11="C",1,0)+$AS$6*IF(B11="D",1,0)+$AV$6*IF(B11="E",1,0)+$AY$6*IF(B11="f",1,0)+$AV$6*IF(B11="M",1,0)</f>
        <v>16</v>
      </c>
      <c r="D11" s="59">
        <f>$AK$6*IF(B11="A",1,0)+$AN$6*IF(B11="B",1,0)+$AQ$6*IF(B11="C",1,0)+$AT$6*IF(B11="D",1,0)+$AW$6*IF(B11="E",1,0)+$AZ$6*IF(B11="f",1,0)+$AW$6*IF(B11="M",1,0)</f>
        <v>28</v>
      </c>
      <c r="E11" s="49">
        <f>D11/First</f>
        <v>1.8666666666666667</v>
      </c>
      <c r="F11" s="44">
        <f>$C$6*60*(C11/D11)*($C$3/$D$3)*$E$5*PI()/1000*$C$4/$D$4</f>
        <v>180.99763882878699</v>
      </c>
      <c r="G11" s="44">
        <f>$C$6</f>
        <v>14200</v>
      </c>
      <c r="H11" s="57"/>
      <c r="I11" s="46" t="s">
        <v>22</v>
      </c>
      <c r="J11" s="51" t="s">
        <v>11</v>
      </c>
      <c r="K11" s="48">
        <f>$AJ$6*IF(J11="A",1,0)+$AM$6*IF(J11="B",1,0)+$AP$6*IF(J11="C",1,0)+$AS$6*IF(J11="D",1,0)+$AV$6*IF(J11="E",1,0)+$AY$6*IF(J11="f",1,0)</f>
        <v>16</v>
      </c>
      <c r="L11" s="59">
        <f>$AK$6*IF(J11="A",1,0)+$AN$6*IF(J11="B",1,0)+$AQ$6*IF(J11="C",1,0)+$AT$6*IF(J11="D",1,0)+$AW$6*IF(J11="E",1,0)+$AZ$6*IF(J11="f",1,0)</f>
        <v>28</v>
      </c>
      <c r="M11" s="49">
        <f>L11/First</f>
        <v>1.8666666666666667</v>
      </c>
      <c r="N11" s="44">
        <f>$K$6*60*(K11/L11)*($K$3/$L$3)*$M$5*PI()/1000*$K$4/$L$4</f>
        <v>180.82768799420595</v>
      </c>
      <c r="O11" s="44">
        <f>$K$6</f>
        <v>15200</v>
      </c>
      <c r="P11" s="57"/>
      <c r="Q11" s="46" t="s">
        <v>22</v>
      </c>
      <c r="R11" s="74" t="s">
        <v>11</v>
      </c>
      <c r="S11" s="48">
        <f>$AJ$6*IF(R11="A",1,0)+$AM$6*IF(R11="B",1,0)+$AP$6*IF(R11="C",1,0)+$AS$6*IF(R11="D",1,0)+$AV$6*IF(R11="E",1,0)+$AY$6*IF(R11="f",1,0)</f>
        <v>16</v>
      </c>
      <c r="T11" s="59">
        <f>$AK$6*IF(R11="A",1,0)+$AN$6*IF(R11="B",1,0)+$AQ$6*IF(R11="C",1,0)+$AT$6*IF(R11="D",1,0)+$AW$6*IF(R11="E",1,0)+$AZ$6*IF(R11="f",1,0)</f>
        <v>28</v>
      </c>
      <c r="U11" s="49">
        <f>T11/First</f>
        <v>1.8666666666666667</v>
      </c>
      <c r="V11" s="44">
        <f>$S$6*60*(S11/T11)*($S$3/$T$3)*$U$5*PI()/1000*$S$4/$T$4</f>
        <v>195.26266100798114</v>
      </c>
      <c r="W11" s="44">
        <f>$S$6</f>
        <v>15000</v>
      </c>
      <c r="X11" s="57"/>
      <c r="Y11" s="52"/>
      <c r="Z11" s="104" t="s">
        <v>52</v>
      </c>
      <c r="AA11" s="105"/>
      <c r="AB11" s="52"/>
      <c r="AC11" s="52"/>
      <c r="AD11" s="52"/>
      <c r="AE11" s="52"/>
      <c r="AF11" s="52"/>
      <c r="AG11" s="53"/>
      <c r="BH11" s="34">
        <v>43</v>
      </c>
      <c r="BL11" s="1">
        <v>16200</v>
      </c>
    </row>
    <row r="12" spans="1:64" ht="15.6" x14ac:dyDescent="0.3">
      <c r="A12" s="46"/>
      <c r="B12" s="47"/>
      <c r="C12" s="54"/>
      <c r="D12" s="60"/>
      <c r="E12" s="49"/>
      <c r="F12" s="55">
        <f>F11</f>
        <v>180.99763882878699</v>
      </c>
      <c r="G12" s="56">
        <f>$C$6*(C11/D11)*(D13/C13)</f>
        <v>12171.428571428571</v>
      </c>
      <c r="H12" s="57">
        <f>$C$6-G12</f>
        <v>2028.5714285714294</v>
      </c>
      <c r="I12" s="46"/>
      <c r="J12" s="51"/>
      <c r="K12" s="54"/>
      <c r="L12" s="60"/>
      <c r="M12" s="49"/>
      <c r="N12" s="55">
        <f>N11</f>
        <v>180.82768799420595</v>
      </c>
      <c r="O12" s="58">
        <f>$K$6*(K11/L11)*(L13/K13)</f>
        <v>13028.571428571428</v>
      </c>
      <c r="P12" s="57">
        <f>$K$6-O12</f>
        <v>2171.4285714285725</v>
      </c>
      <c r="Q12" s="46"/>
      <c r="R12" s="51"/>
      <c r="S12" s="54"/>
      <c r="T12" s="60"/>
      <c r="U12" s="49"/>
      <c r="V12" s="55">
        <f>V11</f>
        <v>195.26266100798114</v>
      </c>
      <c r="W12" s="75">
        <f>$S$6*(S11/T11)*(T13/S13)</f>
        <v>12857.142857142855</v>
      </c>
      <c r="X12" s="57">
        <f>$S$6-W12</f>
        <v>2142.8571428571449</v>
      </c>
      <c r="Y12" s="52"/>
      <c r="Z12" s="100" t="s">
        <v>45</v>
      </c>
      <c r="AA12" s="84" t="s">
        <v>46</v>
      </c>
      <c r="AB12" s="84" t="s">
        <v>47</v>
      </c>
      <c r="AC12" s="84" t="s">
        <v>48</v>
      </c>
      <c r="AD12" s="86" t="s">
        <v>49</v>
      </c>
      <c r="AE12" s="88" t="s">
        <v>50</v>
      </c>
      <c r="AF12" s="52"/>
      <c r="AG12" s="53"/>
      <c r="BH12" s="34">
        <v>44</v>
      </c>
      <c r="BL12" s="1">
        <v>16100</v>
      </c>
    </row>
    <row r="13" spans="1:64" ht="15.75" customHeight="1" x14ac:dyDescent="0.3">
      <c r="A13" s="46" t="s">
        <v>23</v>
      </c>
      <c r="B13" s="47" t="s">
        <v>11</v>
      </c>
      <c r="C13" s="48">
        <f>$AJ$7*IF(B13="A",1,0)+$AM$7*IF(B13="B",1,0)+$AP$7*IF(B13="C",1,0)+$AS$7*IF(B13="D",1,0)+$AV$7*IF(B13="E",1,0)+$AY$7*IF(B13="f",1,0)+$AV$7*IF(B13="M",1,0)</f>
        <v>18</v>
      </c>
      <c r="D13" s="59">
        <f>$AK$7*IF(B13="A",1,0)+$AN$7*IF(B13="B",1,0)+$AQ$7*IF(B13="C",1,0)+$AT$7*IF(B13="D",1,0)+$AW$7*IF(B13="E",1,0)+$AZ$7*IF(B13="f",1,0)+$AW$7*IF(B13="M",1,0)</f>
        <v>27</v>
      </c>
      <c r="E13" s="49">
        <f>D13/First</f>
        <v>1.8</v>
      </c>
      <c r="F13" s="44">
        <f>$C$6*60*(C13/D13)*($C$3/$D$3)*$E$5*PI()/1000*$C$4/$D$4</f>
        <v>211.16391196691819</v>
      </c>
      <c r="G13" s="44">
        <f>$C$6</f>
        <v>14200</v>
      </c>
      <c r="H13" s="57"/>
      <c r="I13" s="46" t="s">
        <v>23</v>
      </c>
      <c r="J13" s="51" t="s">
        <v>11</v>
      </c>
      <c r="K13" s="48">
        <f>$AJ$7*IF(J13="A",1,0)+$AM$7*IF(J13="B",1,0)+$AP$7*IF(J13="C",1,0)+$AS$7*IF(J13="D",1,0)</f>
        <v>18</v>
      </c>
      <c r="L13" s="59">
        <f>$AK$7*IF(J13="A",1,0)+$AN$7*IF(J13="B",1,0)+$AQ$7*IF(J13="C",1,0)+$AT$7*IF(J13="D",1,0)</f>
        <v>27</v>
      </c>
      <c r="M13" s="49">
        <f>L13/First</f>
        <v>1.8</v>
      </c>
      <c r="N13" s="44">
        <f>$K$6*60*(K13/L13)*($K$3/$L$3)*$M$5*PI()/1000*$K$4/$L$4</f>
        <v>210.96563599324031</v>
      </c>
      <c r="O13" s="44">
        <f>$K$6</f>
        <v>15200</v>
      </c>
      <c r="P13" s="57"/>
      <c r="Q13" s="46" t="s">
        <v>23</v>
      </c>
      <c r="R13" s="74" t="s">
        <v>11</v>
      </c>
      <c r="S13" s="48">
        <f>$AJ$7*IF(R13="A",1,0)+$AM$7*IF(R13="B",1,0)+$AP$7*IF(R13="C",1,0)+$AS$7*IF(R13="D",1,0)</f>
        <v>18</v>
      </c>
      <c r="T13" s="59">
        <f>$AK$7*IF(R13="A",1,0)+$AN$7*IF(R13="B",1,0)+$AQ$7*IF(R13="C",1,0)+$AT$7*IF(R13="D",1,0)</f>
        <v>27</v>
      </c>
      <c r="U13" s="49">
        <f>T13/First</f>
        <v>1.8</v>
      </c>
      <c r="V13" s="44">
        <f>$S$6*60*(S13/T13)*($S$3/$T$3)*$U$5*PI()/1000*$S$4/$T$4</f>
        <v>227.80643784264473</v>
      </c>
      <c r="W13" s="44">
        <f>$S$6</f>
        <v>15000</v>
      </c>
      <c r="X13" s="57"/>
      <c r="Y13" s="52"/>
      <c r="Z13" s="101"/>
      <c r="AA13" s="85"/>
      <c r="AB13" s="85"/>
      <c r="AC13" s="85"/>
      <c r="AD13" s="87"/>
      <c r="AE13" s="89"/>
      <c r="AF13" s="52"/>
      <c r="AG13" s="53"/>
      <c r="AI13" s="61"/>
      <c r="AJ13" s="61"/>
      <c r="AK13" s="61"/>
      <c r="AL13" s="61"/>
      <c r="AM13" s="1" t="s">
        <v>24</v>
      </c>
      <c r="AZ13" t="s">
        <v>37</v>
      </c>
      <c r="BA13" t="s">
        <v>38</v>
      </c>
      <c r="BH13" s="34">
        <v>45</v>
      </c>
      <c r="BL13" s="1">
        <v>16000</v>
      </c>
    </row>
    <row r="14" spans="1:64" ht="15.6" x14ac:dyDescent="0.3">
      <c r="A14" s="46"/>
      <c r="B14" s="47"/>
      <c r="C14" s="54"/>
      <c r="D14" s="60"/>
      <c r="E14" s="49"/>
      <c r="F14" s="55">
        <f>F13</f>
        <v>211.16391196691819</v>
      </c>
      <c r="G14" s="56">
        <f>$C$6*(C13/D13)*(D15/C15)</f>
        <v>12780</v>
      </c>
      <c r="H14" s="57">
        <f>$C$6-G14</f>
        <v>1420</v>
      </c>
      <c r="I14" s="46"/>
      <c r="J14" s="51"/>
      <c r="K14" s="54"/>
      <c r="L14" s="60"/>
      <c r="M14" s="49"/>
      <c r="N14" s="55">
        <f>N13</f>
        <v>210.96563599324031</v>
      </c>
      <c r="O14" s="58">
        <f>$K$6*(K13/L13)*(L15/K15)</f>
        <v>13680</v>
      </c>
      <c r="P14" s="57">
        <f>$K$6-O14</f>
        <v>1520</v>
      </c>
      <c r="Q14" s="46"/>
      <c r="R14" s="51"/>
      <c r="S14" s="54"/>
      <c r="T14" s="60"/>
      <c r="U14" s="49"/>
      <c r="V14" s="55">
        <f>V13</f>
        <v>227.80643784264473</v>
      </c>
      <c r="W14" s="75">
        <f>$S$6*(S13/T13)*(T15/S15)</f>
        <v>13500</v>
      </c>
      <c r="X14" s="57">
        <f>$S$6-W14</f>
        <v>1500</v>
      </c>
      <c r="Y14" s="52"/>
      <c r="Z14" s="90" t="s">
        <v>40</v>
      </c>
      <c r="AA14" s="92">
        <f>K4</f>
        <v>14</v>
      </c>
      <c r="AB14" s="92">
        <f>L4</f>
        <v>45</v>
      </c>
      <c r="AC14" s="92">
        <v>112</v>
      </c>
      <c r="AD14" s="92">
        <v>87</v>
      </c>
      <c r="AE14" s="94">
        <f>0.5*(AC14-0.5*(AA14+AB14))*25.4*VLOOKUP(Z14,'Gearbox 675R'!AZ14:BA16,2,FALSE)-AD14</f>
        <v>567.84375</v>
      </c>
      <c r="AF14" s="52"/>
      <c r="AG14" s="53"/>
      <c r="AN14" s="62" t="s">
        <v>25</v>
      </c>
      <c r="AO14" s="62" t="s">
        <v>26</v>
      </c>
      <c r="AZ14" t="s">
        <v>39</v>
      </c>
      <c r="BA14">
        <f>1/2</f>
        <v>0.5</v>
      </c>
      <c r="BH14" s="34">
        <v>46</v>
      </c>
      <c r="BL14" s="1">
        <v>15900</v>
      </c>
    </row>
    <row r="15" spans="1:64" ht="16.2" thickBot="1" x14ac:dyDescent="0.35">
      <c r="A15" s="46" t="s">
        <v>27</v>
      </c>
      <c r="B15" s="47" t="s">
        <v>11</v>
      </c>
      <c r="C15" s="48">
        <f>$AJ$8*IF(B15="A",1,0)+$AM$8*IF(B15="B",1,0)+$AP$8*IF(B15="C",1,0)+$AS$8*IF(B15="D",1,0)+$AV$8*IF(B15="E",1,0)+$AY$8*IF(B15="f",1,0)+$AV$8*IF(B15="M",1,0)</f>
        <v>20</v>
      </c>
      <c r="D15" s="59">
        <f>$AK$8*IF(B15="A",1,0)+$AN$8*IF(B15="B",1,0)+$AQ$8*IF(B15="C",1,0)+$AT$8*IF(B15="D",1,0)+$AW$8*IF(B15="E",1,0)+$AZ$8*IF(B15="f",1,0)+$AW$8*IF(B15="M",1,0)</f>
        <v>27</v>
      </c>
      <c r="E15" s="49">
        <f>D15/First</f>
        <v>1.8</v>
      </c>
      <c r="F15" s="44">
        <f>$C$6*60*(C15/D15)*($C$3/$D$3)*$E$5*PI()/1000*$C$4/$D$4</f>
        <v>234.6265688521313</v>
      </c>
      <c r="G15" s="44">
        <f>$C$6</f>
        <v>14200</v>
      </c>
      <c r="H15" s="57"/>
      <c r="I15" s="46" t="s">
        <v>27</v>
      </c>
      <c r="J15" s="51" t="s">
        <v>11</v>
      </c>
      <c r="K15" s="48">
        <f>$AJ$8*IF(J15="A",1,0)+$AM$8*IF(J15="B",1,0)+$AP$8*IF(J15="C",1,0)+$AS$8*IF(J15="D",1,0)+$AV$8*IF(J15="E",1,0)+$AY$8*IF(J15="f",1,0)</f>
        <v>20</v>
      </c>
      <c r="L15" s="59">
        <f>$AK$8*IF(J15="A",1,0)+$AN$8*IF(J15="B",1,0)+$AQ$8*IF(J15="C",1,0)+$AT$8*IF(J15="D",1,0)+$AW$8*IF(J15="E",1,0)+$AZ$8*IF(J15="f",1,0)</f>
        <v>27</v>
      </c>
      <c r="M15" s="49">
        <f>L15/First</f>
        <v>1.8</v>
      </c>
      <c r="N15" s="44">
        <f>$K$6*60*(K15/L15)*($K$3/$L$3)*$M$5*PI()/1000*$K$4/$L$4</f>
        <v>234.40626221471143</v>
      </c>
      <c r="O15" s="44">
        <f>$K$6</f>
        <v>15200</v>
      </c>
      <c r="P15" s="57"/>
      <c r="Q15" s="46" t="s">
        <v>27</v>
      </c>
      <c r="R15" s="74" t="s">
        <v>11</v>
      </c>
      <c r="S15" s="48">
        <f>$AJ$8*IF(R15="A",1,0)+$AM$8*IF(R15="B",1,0)+$AP$8*IF(R15="C",1,0)+$AS$8*IF(R15="D",1,0)+$AV$8*IF(R15="E",1,0)+$AY$8*IF(R15="f",1,0)</f>
        <v>20</v>
      </c>
      <c r="T15" s="59">
        <f>$AK$8*IF(R15="A",1,0)+$AN$8*IF(R15="B",1,0)+$AQ$8*IF(R15="C",1,0)+$AT$8*IF(R15="D",1,0)+$AW$8*IF(R15="E",1,0)+$AZ$8*IF(R15="f",1,0)</f>
        <v>27</v>
      </c>
      <c r="U15" s="49">
        <f>T15/First</f>
        <v>1.8</v>
      </c>
      <c r="V15" s="44">
        <f>$S$6*60*(S15/T15)*($S$3/$T$3)*$U$5*PI()/1000*$S$4/$T$4</f>
        <v>253.11826426960516</v>
      </c>
      <c r="W15" s="44">
        <f>$S$6</f>
        <v>15000</v>
      </c>
      <c r="X15" s="57"/>
      <c r="Y15" s="52"/>
      <c r="Z15" s="91"/>
      <c r="AA15" s="93"/>
      <c r="AB15" s="93"/>
      <c r="AC15" s="93"/>
      <c r="AD15" s="93"/>
      <c r="AE15" s="95"/>
      <c r="AF15" s="52"/>
      <c r="AG15" s="53"/>
      <c r="AN15" s="62" t="s">
        <v>28</v>
      </c>
      <c r="AO15" s="62" t="s">
        <v>29</v>
      </c>
      <c r="AZ15" t="s">
        <v>40</v>
      </c>
      <c r="BA15">
        <f>5/8</f>
        <v>0.625</v>
      </c>
      <c r="BH15" s="34">
        <v>47</v>
      </c>
      <c r="BL15" s="1">
        <v>15800</v>
      </c>
    </row>
    <row r="16" spans="1:64" ht="18" customHeight="1" thickBot="1" x14ac:dyDescent="0.35">
      <c r="A16" s="46"/>
      <c r="B16" s="47"/>
      <c r="C16" s="54"/>
      <c r="D16" s="60"/>
      <c r="E16" s="49"/>
      <c r="F16" s="55">
        <f>F15</f>
        <v>234.6265688521313</v>
      </c>
      <c r="G16" s="56">
        <f>$C$6*(C15/D15)*(D17/C17)</f>
        <v>13022.927689594357</v>
      </c>
      <c r="H16" s="57">
        <f>$C$6-G16</f>
        <v>1177.0723104056433</v>
      </c>
      <c r="I16" s="46"/>
      <c r="J16" s="51"/>
      <c r="K16" s="54"/>
      <c r="L16" s="60"/>
      <c r="M16" s="49"/>
      <c r="N16" s="55">
        <f>N15</f>
        <v>234.40626221471143</v>
      </c>
      <c r="O16" s="58">
        <f>$K$6*(K15/L15)*(L17/K17)</f>
        <v>13940.035273368607</v>
      </c>
      <c r="P16" s="57">
        <f>$K$6-O16</f>
        <v>1259.9647266313932</v>
      </c>
      <c r="Q16" s="46"/>
      <c r="R16" s="51"/>
      <c r="S16" s="54"/>
      <c r="T16" s="60"/>
      <c r="U16" s="49"/>
      <c r="V16" s="55">
        <f>V15</f>
        <v>253.11826426960516</v>
      </c>
      <c r="W16" s="75">
        <f>$S$6*(S15/T15)*(T17/S17)</f>
        <v>13756.613756613757</v>
      </c>
      <c r="X16" s="57">
        <f>$S$6-W16</f>
        <v>1243.3862433862432</v>
      </c>
      <c r="Y16" s="52"/>
      <c r="Z16" s="98" t="s">
        <v>54</v>
      </c>
      <c r="AA16" s="99"/>
      <c r="AB16" s="52"/>
      <c r="AC16" s="52"/>
      <c r="AD16" s="52"/>
      <c r="AE16" s="52"/>
      <c r="AF16" s="52"/>
      <c r="AG16" s="53"/>
      <c r="AN16" s="62" t="s">
        <v>30</v>
      </c>
      <c r="AO16" s="62" t="s">
        <v>31</v>
      </c>
      <c r="AZ16" t="s">
        <v>41</v>
      </c>
      <c r="BA16">
        <f>3/4</f>
        <v>0.75</v>
      </c>
      <c r="BH16" s="34">
        <v>48</v>
      </c>
      <c r="BL16" s="1">
        <v>15700</v>
      </c>
    </row>
    <row r="17" spans="1:64" ht="15.6" x14ac:dyDescent="0.3">
      <c r="A17" s="46" t="s">
        <v>32</v>
      </c>
      <c r="B17" s="47" t="s">
        <v>11</v>
      </c>
      <c r="C17" s="48">
        <f>$AJ$9*IF(B17="A",1,0)+$AM$9*IF(B17="B",1,0)+$AP$9*IF(B17="C",1,0)+$AS$9*IF(B17="D",1,0)+$AV$9*IF(B17="E",1,0)+$AY$9*IF(B17="f",1,0)+$AV$9*IF(B17="M",1,0)</f>
        <v>21</v>
      </c>
      <c r="D17" s="59">
        <f>$AK$9*IF(B17="A",1,0)+$AN$9*IF(B17="B",1,0)+$AQ$9*IF(B17="C",1,0)+$AT$9*IF(B17="D",1,0)+$AW$9*IF(B17="E",1,0)+$AZ$9*IF(B17="f",1,0)+$AW$9*IF(B17="M",1,0)</f>
        <v>26</v>
      </c>
      <c r="E17" s="49">
        <f>D17/First</f>
        <v>1.7333333333333334</v>
      </c>
      <c r="F17" s="44">
        <f>$C$6*60*(C17/D17)*($C$3/$D$3)*$E$5*PI()/1000*$C$4/$D$4</f>
        <v>255.83320103684315</v>
      </c>
      <c r="G17" s="44">
        <f>$C$6</f>
        <v>14200</v>
      </c>
      <c r="H17" s="57"/>
      <c r="I17" s="46" t="s">
        <v>32</v>
      </c>
      <c r="J17" s="51" t="s">
        <v>11</v>
      </c>
      <c r="K17" s="48">
        <f>$AJ$9*IF(J17="A",1,0)+$AM$9*IF(J17="B",1,0)+$AP$9*IF(J17="C",1,0)+$AS$9*IF(J17="D",1,0)+$AV$9*IF(J17="E",1,0)+$AY$9*IF(J17="f",1,0)</f>
        <v>21</v>
      </c>
      <c r="L17" s="59">
        <f>$AK$9*IF(J17="A",1,0)+$AN$9*IF(J17="B",1,0)+$AQ$9*IF(J17="C",1,0)+$AT$9*IF(J17="D",1,0)+$AW$9*IF(J17="E",1,0)+$AZ$9*IF(J17="f",1,0)</f>
        <v>26</v>
      </c>
      <c r="M17" s="49">
        <f>L17/First</f>
        <v>1.7333333333333334</v>
      </c>
      <c r="N17" s="44">
        <f>$K$6*60*(K17/L17)*($K$3/$L$3)*$M$5*PI()/1000*$K$4/$L$4</f>
        <v>255.59298206873348</v>
      </c>
      <c r="O17" s="44">
        <f>$K$6</f>
        <v>15200</v>
      </c>
      <c r="P17" s="57"/>
      <c r="Q17" s="46" t="s">
        <v>32</v>
      </c>
      <c r="R17" s="74" t="s">
        <v>11</v>
      </c>
      <c r="S17" s="48">
        <f>$AJ$9*IF(R17="A",1,0)+$AM$9*IF(R17="B",1,0)+$AP$9*IF(R17="C",1,0)+$AS$9*IF(R17="D",1,0)+$AV$9*IF(R17="E",1,0)+$AY$9*IF(R17="f",1,0)</f>
        <v>21</v>
      </c>
      <c r="T17" s="59">
        <f>$AK$9*IF(R17="A",1,0)+$AN$9*IF(R17="B",1,0)+$AQ$9*IF(R17="C",1,0)+$AT$9*IF(R17="D",1,0)+$AW$9*IF(R17="E",1,0)+$AZ$9*IF(R17="f",1,0)</f>
        <v>26</v>
      </c>
      <c r="U17" s="49">
        <f>T17/First</f>
        <v>1.7333333333333334</v>
      </c>
      <c r="V17" s="44">
        <f>$S$6*60*(S17/T17)*($S$3/$T$3)*$U$5*PI()/1000*$S$4/$T$4</f>
        <v>275.9962612324349</v>
      </c>
      <c r="W17" s="44">
        <f>$S$6</f>
        <v>15000</v>
      </c>
      <c r="X17" s="57"/>
      <c r="Y17" s="52"/>
      <c r="Z17" s="100" t="s">
        <v>45</v>
      </c>
      <c r="AA17" s="84" t="s">
        <v>46</v>
      </c>
      <c r="AB17" s="84" t="s">
        <v>47</v>
      </c>
      <c r="AC17" s="84" t="s">
        <v>48</v>
      </c>
      <c r="AD17" s="86" t="s">
        <v>49</v>
      </c>
      <c r="AE17" s="88" t="s">
        <v>50</v>
      </c>
      <c r="AF17" s="52"/>
      <c r="AG17" s="53"/>
      <c r="AZ17"/>
      <c r="BA17"/>
      <c r="BH17" s="1">
        <v>49</v>
      </c>
      <c r="BL17" s="1">
        <v>15600</v>
      </c>
    </row>
    <row r="18" spans="1:64" ht="15.6" x14ac:dyDescent="0.3">
      <c r="A18" s="46"/>
      <c r="B18" s="47"/>
      <c r="C18" s="54"/>
      <c r="D18" s="60"/>
      <c r="E18" s="49"/>
      <c r="F18" s="55">
        <f>F17</f>
        <v>255.83320103684315</v>
      </c>
      <c r="G18" s="56">
        <f>$C$6*(C17/D17)*(D19/C19)</f>
        <v>13107.692307692307</v>
      </c>
      <c r="H18" s="57">
        <f>$C$6-G18</f>
        <v>1092.3076923076933</v>
      </c>
      <c r="I18" s="46"/>
      <c r="J18" s="51"/>
      <c r="K18" s="54"/>
      <c r="L18" s="60"/>
      <c r="M18" s="49"/>
      <c r="N18" s="55">
        <f>N17</f>
        <v>255.59298206873348</v>
      </c>
      <c r="O18" s="58">
        <f>$K$6*(K17/L17)*(L19/K19)</f>
        <v>14030.76923076923</v>
      </c>
      <c r="P18" s="57">
        <f>$K$6-O18</f>
        <v>1169.2307692307695</v>
      </c>
      <c r="Q18" s="46"/>
      <c r="R18" s="51"/>
      <c r="S18" s="54"/>
      <c r="T18" s="60"/>
      <c r="U18" s="49"/>
      <c r="V18" s="55">
        <f>V17</f>
        <v>275.9962612324349</v>
      </c>
      <c r="W18" s="75">
        <f>$S$6*(S17/T17)*(T19/S19)</f>
        <v>13846.153846153846</v>
      </c>
      <c r="X18" s="57">
        <f>$S$6-W18</f>
        <v>1153.8461538461543</v>
      </c>
      <c r="Y18" s="52"/>
      <c r="Z18" s="101"/>
      <c r="AA18" s="85"/>
      <c r="AB18" s="85"/>
      <c r="AC18" s="85"/>
      <c r="AD18" s="87"/>
      <c r="AE18" s="89"/>
      <c r="AF18" s="52"/>
      <c r="AG18" s="53"/>
      <c r="AZ18" t="s">
        <v>42</v>
      </c>
      <c r="BA18"/>
      <c r="BG18" s="111" t="s">
        <v>33</v>
      </c>
      <c r="BH18" s="111"/>
      <c r="BI18" s="1" t="s">
        <v>55</v>
      </c>
      <c r="BJ18" s="1" t="s">
        <v>56</v>
      </c>
      <c r="BK18" s="1" t="s">
        <v>57</v>
      </c>
      <c r="BL18" s="1">
        <v>15500</v>
      </c>
    </row>
    <row r="19" spans="1:64" ht="15.6" x14ac:dyDescent="0.3">
      <c r="A19" s="63" t="s">
        <v>34</v>
      </c>
      <c r="B19" s="77" t="s">
        <v>11</v>
      </c>
      <c r="C19" s="48">
        <f>$AJ$10*IF(B19="A",1,0)+$AM$10*IF(B19="B",1,0)+$AP$10*IF(B19="C",1,0)+$AS$10*IF(B19="D",1,0)+$AV$10*IF(B19="E",1,0)+$AY$10*IF(B19="f",1,0)+$AV$10*IF(B19="M",1,0)</f>
        <v>21</v>
      </c>
      <c r="D19" s="59">
        <f>$AK$10*IF(B19="A",1,0)+$AN$10*IF(B19="B",1,0)+$AQ$10*IF(B19="C",1,0)+$AT$10*IF(B19="D",1,0)+$AW$10*IF(B19="E",1,0)+$AZ$10*IF(B19="f",1,0)+$AW$10*IF(B19="M",1,0)</f>
        <v>24</v>
      </c>
      <c r="E19" s="64">
        <f>D19/First</f>
        <v>1.6</v>
      </c>
      <c r="F19" s="65">
        <f>D6*60*(C19/D19)*($C$3/$D$3)*$E$5*PI()/1000*$C$4/$D$4</f>
        <v>277.15263445658013</v>
      </c>
      <c r="G19" s="65">
        <f>D6</f>
        <v>14200</v>
      </c>
      <c r="H19" s="66"/>
      <c r="I19" s="63" t="s">
        <v>34</v>
      </c>
      <c r="J19" s="78" t="s">
        <v>11</v>
      </c>
      <c r="K19" s="48">
        <f>$AJ$10*IF(J19="A",1,0)+$AM$10*IF(J19="B",1,0)+$AP$10*IF(J19="C",1,0)+$AS$10*IF(J19="D",1,0)+$AV$10*IF(J19="E",1,0)+$AY$10*IF(J19="f",1,0)</f>
        <v>21</v>
      </c>
      <c r="L19" s="59">
        <f>$AK$10*IF(J19="A",1,0)+$AN$10*IF(J19="B",1,0)+$AQ$10*IF(J19="C",1,0)+$AT$10*IF(J19="D",1,0)+$AW$10*IF(J19="E",1,0)+$AZ$10*IF(J19="f",1,0)</f>
        <v>24</v>
      </c>
      <c r="M19" s="64">
        <f>L19/First</f>
        <v>1.6</v>
      </c>
      <c r="N19" s="65">
        <f>L6*60*(K19/L19)*($K$3/$L$3)*$M$5*PI()/1000*$K$4/$L$4</f>
        <v>276.89239724112792</v>
      </c>
      <c r="O19" s="65">
        <f>L6</f>
        <v>15200</v>
      </c>
      <c r="P19" s="66"/>
      <c r="Q19" s="63" t="s">
        <v>34</v>
      </c>
      <c r="R19" s="79" t="s">
        <v>11</v>
      </c>
      <c r="S19" s="48">
        <f>$AJ$10*IF(R19="A",1,0)+$AM$10*IF(R19="B",1,0)+$AP$10*IF(R19="C",1,0)+$AS$10*IF(R19="D",1,0)+$AV$10*IF(R19="E",1,0)+$AY$10*IF(R19="f",1,0)</f>
        <v>21</v>
      </c>
      <c r="T19" s="59">
        <f>$AK$10*IF(R19="A",1,0)+$AN$10*IF(R19="B",1,0)+$AQ$10*IF(R19="C",1,0)+$AT$10*IF(R19="D",1,0)+$AW$10*IF(R19="E",1,0)+$AZ$10*IF(R19="f",1,0)</f>
        <v>24</v>
      </c>
      <c r="U19" s="64">
        <f>T19/First</f>
        <v>1.6</v>
      </c>
      <c r="V19" s="65">
        <f>T6*60*(S19/T19)*($S$3/$T$3)*$U$5*PI()/1000*$S$4/$T$4</f>
        <v>298.99594966847116</v>
      </c>
      <c r="W19" s="65">
        <f>T6</f>
        <v>15000</v>
      </c>
      <c r="X19" s="66"/>
      <c r="Y19" s="52"/>
      <c r="Z19" s="90" t="s">
        <v>40</v>
      </c>
      <c r="AA19" s="92">
        <f>S4</f>
        <v>16</v>
      </c>
      <c r="AB19" s="92">
        <f>T4</f>
        <v>47</v>
      </c>
      <c r="AC19" s="92">
        <v>112</v>
      </c>
      <c r="AD19" s="92">
        <v>87</v>
      </c>
      <c r="AE19" s="94">
        <f>0.5*(AC19-0.5*(AA19+AB19))*25.4*VLOOKUP(Z19,'Gearbox 675R'!AZ14:BA16,2,FALSE)-AD19</f>
        <v>551.96875</v>
      </c>
      <c r="AF19" s="52"/>
      <c r="AG19" s="53"/>
      <c r="AZ19">
        <v>108</v>
      </c>
      <c r="BA19"/>
      <c r="BG19" s="67" t="s">
        <v>58</v>
      </c>
      <c r="BH19" s="67">
        <f>((((BI19/25.4*BJ19/100+BK19/2)*2*3.142)*25.4)/3.142)/1000</f>
        <v>0.65599999999999992</v>
      </c>
      <c r="BI19" s="1">
        <v>190</v>
      </c>
      <c r="BJ19" s="1">
        <v>59</v>
      </c>
      <c r="BK19" s="1">
        <v>17</v>
      </c>
      <c r="BL19" s="1">
        <v>15400</v>
      </c>
    </row>
    <row r="20" spans="1:64" ht="13.8" thickBot="1" x14ac:dyDescent="0.3">
      <c r="A20" s="68"/>
      <c r="B20" s="68"/>
      <c r="C20" s="68"/>
      <c r="D20" s="68"/>
      <c r="F20" s="68"/>
      <c r="G20" s="68"/>
      <c r="H20" s="68"/>
      <c r="I20" s="68"/>
      <c r="J20" s="68"/>
      <c r="K20" s="68"/>
      <c r="L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91"/>
      <c r="AA20" s="93"/>
      <c r="AB20" s="93"/>
      <c r="AC20" s="93"/>
      <c r="AD20" s="93"/>
      <c r="AE20" s="95"/>
      <c r="AF20" s="68"/>
      <c r="AG20" s="68"/>
      <c r="AZ20">
        <v>110</v>
      </c>
      <c r="BA20"/>
      <c r="BG20" s="67" t="s">
        <v>59</v>
      </c>
      <c r="BH20" s="67">
        <f>((((BI20/25.4*BJ20/100+BK20/2)*2*3.142)*25.4)/3.142)/1000</f>
        <v>0.66190000000000004</v>
      </c>
      <c r="BI20" s="1">
        <v>195</v>
      </c>
      <c r="BJ20" s="1">
        <v>59</v>
      </c>
      <c r="BK20" s="1">
        <v>17</v>
      </c>
      <c r="BL20" s="1">
        <v>15300</v>
      </c>
    </row>
    <row r="21" spans="1:64" ht="13.2" x14ac:dyDescent="0.25">
      <c r="A21" s="68"/>
      <c r="B21" s="68"/>
      <c r="C21" s="68"/>
      <c r="D21" s="68"/>
      <c r="F21" s="68"/>
      <c r="G21" s="68"/>
      <c r="H21" s="68"/>
      <c r="I21" s="68"/>
      <c r="J21" s="68"/>
      <c r="K21" s="68"/>
      <c r="L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Z21">
        <v>112</v>
      </c>
      <c r="BA21"/>
      <c r="BG21" s="67" t="s">
        <v>35</v>
      </c>
      <c r="BH21" s="67">
        <f>((((BI21/25.4*BJ21/100+BK21/2)*2*3.142)*25.4)/3.142)/1000</f>
        <v>0.65219999999999978</v>
      </c>
      <c r="BI21" s="1">
        <v>190</v>
      </c>
      <c r="BJ21" s="1">
        <v>58</v>
      </c>
      <c r="BK21" s="1">
        <v>17</v>
      </c>
      <c r="BL21" s="1">
        <v>15200</v>
      </c>
    </row>
    <row r="22" spans="1:64" ht="13.2" x14ac:dyDescent="0.25">
      <c r="A22" s="68"/>
      <c r="B22" s="68"/>
      <c r="C22" s="68"/>
      <c r="D22" s="68"/>
      <c r="F22" s="68"/>
      <c r="G22" s="68"/>
      <c r="H22" s="68"/>
      <c r="I22" s="68"/>
      <c r="J22" s="68"/>
      <c r="K22" s="68"/>
      <c r="L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Z22">
        <v>114</v>
      </c>
      <c r="BA22"/>
      <c r="BG22" s="67" t="s">
        <v>36</v>
      </c>
      <c r="BH22" s="67">
        <f>((((BI22/25.4*BJ22/100+BK22/2)*2*3.142)*25.4)/3.142)/1000</f>
        <v>0.65599999999999992</v>
      </c>
      <c r="BI22" s="1">
        <v>190</v>
      </c>
      <c r="BJ22" s="1">
        <v>59</v>
      </c>
      <c r="BK22" s="1">
        <v>17</v>
      </c>
      <c r="BL22" s="1">
        <v>15100</v>
      </c>
    </row>
    <row r="23" spans="1:64" ht="13.2" x14ac:dyDescent="0.25">
      <c r="A23" s="68"/>
      <c r="B23" s="68"/>
      <c r="C23" s="68"/>
      <c r="D23" s="68"/>
      <c r="F23" s="68"/>
      <c r="G23" s="68"/>
      <c r="H23" s="68"/>
      <c r="I23" s="68"/>
      <c r="J23" s="68"/>
      <c r="K23" s="68"/>
      <c r="L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Z23">
        <v>116</v>
      </c>
      <c r="BA23"/>
      <c r="BL23" s="1">
        <v>15000</v>
      </c>
    </row>
    <row r="24" spans="1:64" ht="13.2" x14ac:dyDescent="0.25">
      <c r="A24" s="68"/>
      <c r="B24" s="68"/>
      <c r="C24" s="68"/>
      <c r="D24" s="68"/>
      <c r="F24" s="68"/>
      <c r="G24" s="68"/>
      <c r="H24" s="68"/>
      <c r="I24" s="68"/>
      <c r="J24" s="68"/>
      <c r="K24" s="68"/>
      <c r="L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Z24"/>
      <c r="BA24"/>
      <c r="BL24" s="1">
        <v>14900</v>
      </c>
    </row>
    <row r="25" spans="1:64" ht="13.2" x14ac:dyDescent="0.25">
      <c r="A25" s="68"/>
      <c r="B25" s="68"/>
      <c r="C25" s="68"/>
      <c r="D25" s="68"/>
      <c r="F25" s="68"/>
      <c r="G25" s="68"/>
      <c r="H25" s="68"/>
      <c r="I25" s="68"/>
      <c r="J25" s="68"/>
      <c r="K25" s="68"/>
      <c r="L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Z25" t="s">
        <v>43</v>
      </c>
      <c r="BA25" t="s">
        <v>44</v>
      </c>
      <c r="BL25" s="1">
        <v>14800</v>
      </c>
    </row>
    <row r="26" spans="1:64" ht="13.2" x14ac:dyDescent="0.25">
      <c r="A26" s="68"/>
      <c r="B26" s="68"/>
      <c r="C26" s="68"/>
      <c r="D26" s="68"/>
      <c r="F26" s="68"/>
      <c r="G26" s="68"/>
      <c r="H26" s="68"/>
      <c r="I26" s="68"/>
      <c r="J26" s="68"/>
      <c r="K26" s="68"/>
      <c r="L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Z26">
        <v>14</v>
      </c>
      <c r="BA26">
        <v>38</v>
      </c>
      <c r="BL26" s="1">
        <v>14700</v>
      </c>
    </row>
    <row r="27" spans="1:64" ht="13.2" x14ac:dyDescent="0.25">
      <c r="A27" s="68"/>
      <c r="B27" s="68"/>
      <c r="C27" s="68"/>
      <c r="D27" s="68"/>
      <c r="F27" s="68"/>
      <c r="G27" s="68"/>
      <c r="H27" s="68"/>
      <c r="I27" s="68"/>
      <c r="J27" s="68"/>
      <c r="K27" s="68"/>
      <c r="L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Z27">
        <v>15</v>
      </c>
      <c r="BA27">
        <v>39</v>
      </c>
      <c r="BL27" s="1">
        <v>14600</v>
      </c>
    </row>
    <row r="28" spans="1:64" ht="13.2" x14ac:dyDescent="0.25">
      <c r="AZ28">
        <v>16</v>
      </c>
      <c r="BA28">
        <v>40</v>
      </c>
      <c r="BL28" s="1">
        <v>14500</v>
      </c>
    </row>
    <row r="29" spans="1:64" ht="13.2" x14ac:dyDescent="0.25">
      <c r="AZ29">
        <v>17</v>
      </c>
      <c r="BA29">
        <v>41</v>
      </c>
      <c r="BL29" s="1">
        <v>14400</v>
      </c>
    </row>
    <row r="30" spans="1:64" ht="13.2" x14ac:dyDescent="0.25">
      <c r="AZ30"/>
      <c r="BA30">
        <v>42</v>
      </c>
      <c r="BL30" s="1">
        <v>14300</v>
      </c>
    </row>
    <row r="31" spans="1:64" ht="13.2" x14ac:dyDescent="0.25">
      <c r="AZ31"/>
      <c r="BA31">
        <v>43</v>
      </c>
      <c r="BL31" s="1">
        <v>14200</v>
      </c>
    </row>
    <row r="32" spans="1:64" ht="13.2" x14ac:dyDescent="0.25">
      <c r="AZ32"/>
      <c r="BA32">
        <v>44</v>
      </c>
      <c r="BL32" s="1">
        <v>14100</v>
      </c>
    </row>
    <row r="33" spans="52:64" ht="13.2" x14ac:dyDescent="0.25">
      <c r="AZ33"/>
      <c r="BA33">
        <v>45</v>
      </c>
      <c r="BL33" s="1">
        <v>14000</v>
      </c>
    </row>
    <row r="34" spans="52:64" ht="13.2" x14ac:dyDescent="0.25">
      <c r="AZ34"/>
      <c r="BA34">
        <v>46</v>
      </c>
      <c r="BL34" s="1">
        <v>13900</v>
      </c>
    </row>
    <row r="35" spans="52:64" ht="13.2" x14ac:dyDescent="0.25">
      <c r="AZ35"/>
      <c r="BA35">
        <v>47</v>
      </c>
      <c r="BL35" s="1">
        <v>13800</v>
      </c>
    </row>
    <row r="36" spans="52:64" x14ac:dyDescent="0.25">
      <c r="BL36" s="1">
        <v>13700</v>
      </c>
    </row>
    <row r="37" spans="52:64" x14ac:dyDescent="0.25">
      <c r="BL37" s="1">
        <v>13600</v>
      </c>
    </row>
    <row r="38" spans="52:64" x14ac:dyDescent="0.25">
      <c r="BL38" s="1">
        <v>13500</v>
      </c>
    </row>
    <row r="39" spans="52:64" x14ac:dyDescent="0.25">
      <c r="BL39" s="1">
        <v>13400</v>
      </c>
    </row>
    <row r="40" spans="52:64" x14ac:dyDescent="0.25">
      <c r="BL40" s="1">
        <v>13300</v>
      </c>
    </row>
    <row r="41" spans="52:64" x14ac:dyDescent="0.25">
      <c r="BL41" s="1">
        <v>13200</v>
      </c>
    </row>
    <row r="42" spans="52:64" x14ac:dyDescent="0.25">
      <c r="BL42" s="1">
        <v>13100</v>
      </c>
    </row>
    <row r="43" spans="52:64" x14ac:dyDescent="0.25">
      <c r="BL43" s="1">
        <v>13000</v>
      </c>
    </row>
    <row r="44" spans="52:64" x14ac:dyDescent="0.25">
      <c r="BL44" s="1">
        <v>12900</v>
      </c>
    </row>
    <row r="45" spans="52:64" x14ac:dyDescent="0.25">
      <c r="BL45" s="1">
        <v>12800</v>
      </c>
    </row>
    <row r="46" spans="52:64" x14ac:dyDescent="0.25">
      <c r="BL46" s="1">
        <v>12700</v>
      </c>
    </row>
    <row r="47" spans="52:64" x14ac:dyDescent="0.25">
      <c r="BL47" s="1">
        <v>12600</v>
      </c>
    </row>
    <row r="48" spans="52:64" x14ac:dyDescent="0.25">
      <c r="BL48" s="1">
        <v>12500</v>
      </c>
    </row>
    <row r="49" spans="64:64" x14ac:dyDescent="0.25">
      <c r="BL49" s="1">
        <v>12400</v>
      </c>
    </row>
    <row r="50" spans="64:64" ht="24.75" customHeight="1" x14ac:dyDescent="0.25">
      <c r="BL50" s="1">
        <v>12300</v>
      </c>
    </row>
    <row r="51" spans="64:64" x14ac:dyDescent="0.25">
      <c r="BL51" s="1">
        <v>12200</v>
      </c>
    </row>
    <row r="52" spans="64:64" x14ac:dyDescent="0.25">
      <c r="BL52" s="1">
        <v>12100</v>
      </c>
    </row>
    <row r="53" spans="64:64" x14ac:dyDescent="0.25">
      <c r="BL53" s="1">
        <v>12000</v>
      </c>
    </row>
    <row r="54" spans="64:64" x14ac:dyDescent="0.25">
      <c r="BL54" s="1">
        <v>11900</v>
      </c>
    </row>
    <row r="55" spans="64:64" x14ac:dyDescent="0.25">
      <c r="BL55" s="1">
        <v>11800</v>
      </c>
    </row>
    <row r="56" spans="64:64" x14ac:dyDescent="0.25">
      <c r="BL56" s="1">
        <v>11700</v>
      </c>
    </row>
    <row r="57" spans="64:64" x14ac:dyDescent="0.25">
      <c r="BL57" s="1">
        <v>11600</v>
      </c>
    </row>
    <row r="58" spans="64:64" x14ac:dyDescent="0.25">
      <c r="BL58" s="1">
        <v>11500</v>
      </c>
    </row>
    <row r="59" spans="64:64" x14ac:dyDescent="0.25">
      <c r="BL59" s="1">
        <v>11400</v>
      </c>
    </row>
    <row r="60" spans="64:64" x14ac:dyDescent="0.25">
      <c r="BL60" s="1">
        <v>11300</v>
      </c>
    </row>
    <row r="61" spans="64:64" x14ac:dyDescent="0.25">
      <c r="BL61" s="1">
        <v>11200</v>
      </c>
    </row>
    <row r="62" spans="64:64" x14ac:dyDescent="0.25">
      <c r="BL62" s="1">
        <v>11100</v>
      </c>
    </row>
    <row r="63" spans="64:64" x14ac:dyDescent="0.25">
      <c r="BL63" s="1">
        <v>11000</v>
      </c>
    </row>
    <row r="64" spans="64:64" x14ac:dyDescent="0.25">
      <c r="BL64" s="1">
        <v>10900</v>
      </c>
    </row>
    <row r="65" spans="5:64" x14ac:dyDescent="0.25">
      <c r="BL65" s="1">
        <v>10800</v>
      </c>
    </row>
    <row r="66" spans="5:64" x14ac:dyDescent="0.25">
      <c r="BL66" s="1">
        <v>10700</v>
      </c>
    </row>
    <row r="67" spans="5:64" x14ac:dyDescent="0.25">
      <c r="BL67" s="1">
        <v>10600</v>
      </c>
    </row>
    <row r="68" spans="5:64" x14ac:dyDescent="0.25">
      <c r="BL68" s="1">
        <v>10500</v>
      </c>
    </row>
    <row r="69" spans="5:64" x14ac:dyDescent="0.25">
      <c r="BL69" s="1">
        <v>10400</v>
      </c>
    </row>
    <row r="70" spans="5:64" x14ac:dyDescent="0.25">
      <c r="BL70" s="1">
        <v>10300</v>
      </c>
    </row>
    <row r="71" spans="5:64" x14ac:dyDescent="0.25">
      <c r="BL71" s="1">
        <v>10200</v>
      </c>
    </row>
    <row r="72" spans="5:64" x14ac:dyDescent="0.25">
      <c r="BL72" s="1">
        <v>10100</v>
      </c>
    </row>
    <row r="73" spans="5:64" x14ac:dyDescent="0.25">
      <c r="BL73" s="1">
        <v>10000</v>
      </c>
    </row>
    <row r="74" spans="5:64" x14ac:dyDescent="0.25">
      <c r="BL74" s="1">
        <v>9900</v>
      </c>
    </row>
    <row r="75" spans="5:64" x14ac:dyDescent="0.25">
      <c r="BL75" s="1">
        <v>9800</v>
      </c>
    </row>
    <row r="76" spans="5:64" x14ac:dyDescent="0.25">
      <c r="BL76" s="1">
        <v>9700</v>
      </c>
    </row>
    <row r="77" spans="5:64" x14ac:dyDescent="0.25">
      <c r="BL77" s="1">
        <v>9600</v>
      </c>
    </row>
    <row r="78" spans="5:64" x14ac:dyDescent="0.25">
      <c r="E78" s="69"/>
      <c r="M78" s="69"/>
      <c r="BL78" s="1">
        <v>9500</v>
      </c>
    </row>
    <row r="79" spans="5:64" x14ac:dyDescent="0.25">
      <c r="BL79" s="1">
        <v>9400</v>
      </c>
    </row>
    <row r="80" spans="5:64" x14ac:dyDescent="0.25">
      <c r="BL80" s="1">
        <v>9300</v>
      </c>
    </row>
    <row r="81" spans="64:64" x14ac:dyDescent="0.25">
      <c r="BL81" s="1">
        <v>9200</v>
      </c>
    </row>
    <row r="82" spans="64:64" x14ac:dyDescent="0.25">
      <c r="BL82" s="1">
        <v>9100</v>
      </c>
    </row>
    <row r="83" spans="64:64" x14ac:dyDescent="0.25">
      <c r="BL83" s="1">
        <v>9000</v>
      </c>
    </row>
    <row r="84" spans="64:64" x14ac:dyDescent="0.25">
      <c r="BL84" s="1">
        <v>8900</v>
      </c>
    </row>
    <row r="85" spans="64:64" x14ac:dyDescent="0.25">
      <c r="BL85" s="1">
        <v>8800</v>
      </c>
    </row>
    <row r="86" spans="64:64" x14ac:dyDescent="0.25">
      <c r="BL86" s="1">
        <v>8700</v>
      </c>
    </row>
    <row r="87" spans="64:64" x14ac:dyDescent="0.25">
      <c r="BL87" s="1">
        <v>8600</v>
      </c>
    </row>
    <row r="88" spans="64:64" x14ac:dyDescent="0.25">
      <c r="BL88" s="1">
        <v>8500</v>
      </c>
    </row>
    <row r="89" spans="64:64" x14ac:dyDescent="0.25">
      <c r="BL89" s="1">
        <v>8400</v>
      </c>
    </row>
    <row r="90" spans="64:64" x14ac:dyDescent="0.25">
      <c r="BL90" s="1">
        <v>8300</v>
      </c>
    </row>
    <row r="91" spans="64:64" x14ac:dyDescent="0.25">
      <c r="BL91" s="1">
        <v>8200</v>
      </c>
    </row>
    <row r="92" spans="64:64" x14ac:dyDescent="0.25">
      <c r="BL92" s="1">
        <v>8100</v>
      </c>
    </row>
    <row r="93" spans="64:64" x14ac:dyDescent="0.25">
      <c r="BL93" s="1">
        <v>8000</v>
      </c>
    </row>
    <row r="94" spans="64:64" x14ac:dyDescent="0.25">
      <c r="BL94" s="1">
        <v>7900</v>
      </c>
    </row>
    <row r="95" spans="64:64" x14ac:dyDescent="0.25">
      <c r="BL95" s="1">
        <v>7800</v>
      </c>
    </row>
    <row r="96" spans="64:64" x14ac:dyDescent="0.25">
      <c r="BL96" s="1">
        <v>7700</v>
      </c>
    </row>
    <row r="97" spans="64:64" x14ac:dyDescent="0.25">
      <c r="BL97" s="1">
        <v>7600</v>
      </c>
    </row>
    <row r="98" spans="64:64" x14ac:dyDescent="0.25">
      <c r="BL98" s="1">
        <v>7500</v>
      </c>
    </row>
    <row r="99" spans="64:64" x14ac:dyDescent="0.25">
      <c r="BL99" s="1">
        <v>7400</v>
      </c>
    </row>
    <row r="100" spans="64:64" x14ac:dyDescent="0.25">
      <c r="BL100" s="1">
        <v>7300</v>
      </c>
    </row>
    <row r="101" spans="64:64" x14ac:dyDescent="0.25">
      <c r="BL101" s="1">
        <v>7200</v>
      </c>
    </row>
    <row r="102" spans="64:64" x14ac:dyDescent="0.25">
      <c r="BL102" s="1">
        <v>7100</v>
      </c>
    </row>
    <row r="103" spans="64:64" x14ac:dyDescent="0.25">
      <c r="BL103" s="1">
        <v>7000</v>
      </c>
    </row>
    <row r="104" spans="64:64" x14ac:dyDescent="0.25">
      <c r="BL104" s="1">
        <v>6900</v>
      </c>
    </row>
    <row r="105" spans="64:64" x14ac:dyDescent="0.25">
      <c r="BL105" s="1">
        <v>6800</v>
      </c>
    </row>
    <row r="106" spans="64:64" x14ac:dyDescent="0.25">
      <c r="BL106" s="1">
        <v>6700</v>
      </c>
    </row>
    <row r="107" spans="64:64" x14ac:dyDescent="0.25">
      <c r="BL107" s="1">
        <v>6600</v>
      </c>
    </row>
    <row r="108" spans="64:64" x14ac:dyDescent="0.25">
      <c r="BL108" s="1">
        <v>6500</v>
      </c>
    </row>
    <row r="109" spans="64:64" x14ac:dyDescent="0.25">
      <c r="BL109" s="1">
        <v>6400</v>
      </c>
    </row>
    <row r="110" spans="64:64" x14ac:dyDescent="0.25">
      <c r="BL110" s="1">
        <v>6300</v>
      </c>
    </row>
    <row r="111" spans="64:64" x14ac:dyDescent="0.25">
      <c r="BL111" s="1">
        <v>6200</v>
      </c>
    </row>
    <row r="112" spans="64:64" x14ac:dyDescent="0.25">
      <c r="BL112" s="1">
        <v>6100</v>
      </c>
    </row>
    <row r="113" spans="64:64" x14ac:dyDescent="0.25">
      <c r="BL113" s="1">
        <v>6000</v>
      </c>
    </row>
    <row r="114" spans="64:64" x14ac:dyDescent="0.25">
      <c r="BL114" s="1">
        <v>5900</v>
      </c>
    </row>
    <row r="115" spans="64:64" x14ac:dyDescent="0.25">
      <c r="BL115" s="1">
        <v>5800</v>
      </c>
    </row>
    <row r="116" spans="64:64" x14ac:dyDescent="0.25">
      <c r="BL116" s="1">
        <v>5700</v>
      </c>
    </row>
    <row r="117" spans="64:64" x14ac:dyDescent="0.25">
      <c r="BL117" s="1">
        <v>5600</v>
      </c>
    </row>
    <row r="118" spans="64:64" x14ac:dyDescent="0.25">
      <c r="BL118" s="1">
        <v>5500</v>
      </c>
    </row>
    <row r="119" spans="64:64" x14ac:dyDescent="0.25">
      <c r="BL119" s="1">
        <v>5400</v>
      </c>
    </row>
    <row r="120" spans="64:64" x14ac:dyDescent="0.25">
      <c r="BL120" s="1">
        <v>5300</v>
      </c>
    </row>
    <row r="121" spans="64:64" x14ac:dyDescent="0.25">
      <c r="BL121" s="1">
        <v>5200</v>
      </c>
    </row>
    <row r="122" spans="64:64" x14ac:dyDescent="0.25">
      <c r="BL122" s="1">
        <v>5100</v>
      </c>
    </row>
    <row r="123" spans="64:64" x14ac:dyDescent="0.25">
      <c r="BL123" s="1">
        <v>5000</v>
      </c>
    </row>
    <row r="124" spans="64:64" x14ac:dyDescent="0.25">
      <c r="BL124" s="1">
        <v>4900</v>
      </c>
    </row>
    <row r="125" spans="64:64" x14ac:dyDescent="0.25">
      <c r="BL125" s="1">
        <v>4800</v>
      </c>
    </row>
    <row r="126" spans="64:64" x14ac:dyDescent="0.25">
      <c r="BL126" s="1">
        <v>4700</v>
      </c>
    </row>
    <row r="127" spans="64:64" x14ac:dyDescent="0.25">
      <c r="BL127" s="1">
        <v>4600</v>
      </c>
    </row>
    <row r="128" spans="64:64" x14ac:dyDescent="0.25">
      <c r="BL128" s="1">
        <v>4500</v>
      </c>
    </row>
  </sheetData>
  <sheetProtection selectLockedCells="1" selectUnlockedCells="1"/>
  <mergeCells count="72">
    <mergeCell ref="BG18:BH18"/>
    <mergeCell ref="A6:B6"/>
    <mergeCell ref="E6:F6"/>
    <mergeCell ref="I6:J6"/>
    <mergeCell ref="M6:N6"/>
    <mergeCell ref="A7:B7"/>
    <mergeCell ref="I7:J7"/>
    <mergeCell ref="AE9:AE10"/>
    <mergeCell ref="Z14:Z15"/>
    <mergeCell ref="AA14:AA15"/>
    <mergeCell ref="AE12:AE13"/>
    <mergeCell ref="AC7:AC8"/>
    <mergeCell ref="AD7:AD8"/>
    <mergeCell ref="AE7:AE8"/>
    <mergeCell ref="AB14:AB15"/>
    <mergeCell ref="AC14:AC15"/>
    <mergeCell ref="A5:B5"/>
    <mergeCell ref="I5:J5"/>
    <mergeCell ref="Z4:Z5"/>
    <mergeCell ref="Q4:R4"/>
    <mergeCell ref="Q5:R5"/>
    <mergeCell ref="AM4:AO4"/>
    <mergeCell ref="AP4:AR4"/>
    <mergeCell ref="AS4:AU4"/>
    <mergeCell ref="AV4:AX4"/>
    <mergeCell ref="AY4:BA4"/>
    <mergeCell ref="AJ4:AL4"/>
    <mergeCell ref="AC4:AC5"/>
    <mergeCell ref="AD4:AD5"/>
    <mergeCell ref="AE4:AE5"/>
    <mergeCell ref="Q3:R3"/>
    <mergeCell ref="A1:AG1"/>
    <mergeCell ref="A3:B3"/>
    <mergeCell ref="I3:J3"/>
    <mergeCell ref="A4:B4"/>
    <mergeCell ref="I4:J4"/>
    <mergeCell ref="Z2:AA2"/>
    <mergeCell ref="AB7:AB8"/>
    <mergeCell ref="AA4:AA5"/>
    <mergeCell ref="AB4:AB5"/>
    <mergeCell ref="AD14:AD15"/>
    <mergeCell ref="AE14:AE15"/>
    <mergeCell ref="AB9:AB10"/>
    <mergeCell ref="AC9:AC10"/>
    <mergeCell ref="AD9:AD10"/>
    <mergeCell ref="AB12:AB13"/>
    <mergeCell ref="AC12:AC13"/>
    <mergeCell ref="AD12:AD13"/>
    <mergeCell ref="Q6:R6"/>
    <mergeCell ref="U6:V6"/>
    <mergeCell ref="Q7:R7"/>
    <mergeCell ref="Z16:AA16"/>
    <mergeCell ref="Z17:Z18"/>
    <mergeCell ref="AA17:AA18"/>
    <mergeCell ref="Z6:AA6"/>
    <mergeCell ref="Z11:AA11"/>
    <mergeCell ref="Z9:Z10"/>
    <mergeCell ref="AA9:AA10"/>
    <mergeCell ref="Z12:Z13"/>
    <mergeCell ref="AA12:AA13"/>
    <mergeCell ref="Z7:Z8"/>
    <mergeCell ref="AA7:AA8"/>
    <mergeCell ref="AB17:AB18"/>
    <mergeCell ref="AC17:AC18"/>
    <mergeCell ref="AD17:AD18"/>
    <mergeCell ref="AE17:AE18"/>
    <mergeCell ref="Z19:Z20"/>
    <mergeCell ref="AA19:AA20"/>
    <mergeCell ref="AB19:AB20"/>
    <mergeCell ref="AC19:AC20"/>
    <mergeCell ref="AD19:AD20"/>
    <mergeCell ref="AE19:AE20"/>
  </mergeCells>
  <dataValidations count="10">
    <dataValidation type="list" allowBlank="1" showErrorMessage="1" sqref="K4 C4 S4">
      <formula1>$BG$5:$BG$8</formula1>
    </dataValidation>
    <dataValidation type="list" allowBlank="1" showErrorMessage="1" sqref="K6:L6 S6:T6 C6:D6">
      <formula1>$BL$3:$BL$128</formula1>
    </dataValidation>
    <dataValidation type="list" allowBlank="1" showErrorMessage="1" sqref="L4 T4">
      <formula1>$BH$5:$BH$16</formula1>
    </dataValidation>
    <dataValidation type="list" allowBlank="1" showErrorMessage="1" sqref="C5 K5 S5">
      <formula1>$BG$19:$BG$22</formula1>
    </dataValidation>
    <dataValidation type="list" allowBlank="1" showInputMessage="1" showErrorMessage="1" sqref="B9 B11 B13 B15 B17 B19 J9 J11 J13 J15 J17 J19 R9 R11 R13 R15 R17 R19">
      <formula1>$BC$5:$BC$9</formula1>
    </dataValidation>
    <dataValidation type="list" allowBlank="1" showInputMessage="1" showErrorMessage="1" sqref="Z4:Z5 Z9:Z10 Z14:Z15 Z19:Z20">
      <formula1>$AZ$14:$AZ$16</formula1>
    </dataValidation>
    <dataValidation type="list" allowBlank="1" showInputMessage="1" showErrorMessage="1" sqref="AC4:AC5 AC9:AC10 AC14:AC15 AC19:AC20">
      <formula1>$AZ$19:$AZ$23</formula1>
    </dataValidation>
    <dataValidation type="list" allowBlank="1" showInputMessage="1" showErrorMessage="1" sqref="AA4:AA5 AA9:AA10 AA14:AA15 AA19:AA20">
      <formula1>$BG$5:$BG$8</formula1>
    </dataValidation>
    <dataValidation type="list" allowBlank="1" showInputMessage="1" showErrorMessage="1" sqref="AB4:AB5 AB9:AB10 AB14:AB15 AB19:AB20">
      <formula1>$BH$5:$BH$16</formula1>
    </dataValidation>
    <dataValidation type="list" allowBlank="1" showErrorMessage="1" sqref="D4">
      <formula1>$BH$5:$BH$17</formula1>
    </dataValidation>
  </dataValidations>
  <printOptions horizontalCentered="1"/>
  <pageMargins left="0" right="0" top="0.34027777777777779" bottom="0.19999999999999998" header="0.51180555555555551" footer="0.19652777777777777"/>
  <pageSetup paperSize="9" scale="31" firstPageNumber="0" orientation="landscape" horizontalDpi="300" verticalDpi="300" r:id="rId1"/>
  <headerFooter alignWithMargins="0">
    <oddFooter xml:space="preserve">&amp;C&amp;D&amp;R&amp;A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9"/>
  <sheetViews>
    <sheetView tabSelected="1" zoomScale="70" zoomScaleNormal="70" workbookViewId="0">
      <pane xSplit="1" ySplit="1" topLeftCell="R2" activePane="bottomRight" state="frozen"/>
      <selection pane="topRight" activeCell="B1" sqref="B1"/>
      <selection pane="bottomLeft" activeCell="A2" sqref="A2"/>
      <selection pane="bottomRight" activeCell="AO14" sqref="AO14"/>
    </sheetView>
  </sheetViews>
  <sheetFormatPr defaultColWidth="9.109375" defaultRowHeight="14.4" x14ac:dyDescent="0.3"/>
  <cols>
    <col min="1" max="1" width="6.5546875" style="81" bestFit="1" customWidth="1"/>
    <col min="2" max="2" width="10.88671875" style="81" bestFit="1" customWidth="1"/>
    <col min="3" max="3" width="12.33203125" style="81" bestFit="1" customWidth="1"/>
    <col min="4" max="4" width="11.33203125" style="81" bestFit="1" customWidth="1"/>
    <col min="5" max="7" width="9.109375" style="81"/>
    <col min="8" max="8" width="16.44140625" style="81" bestFit="1" customWidth="1"/>
    <col min="9" max="9" width="17.109375" style="81" bestFit="1" customWidth="1"/>
    <col min="10" max="13" width="16.5546875" style="81" bestFit="1" customWidth="1"/>
    <col min="14" max="14" width="9.109375" style="81"/>
    <col min="15" max="15" width="17.33203125" style="81" bestFit="1" customWidth="1"/>
    <col min="16" max="16" width="18" style="81" bestFit="1" customWidth="1"/>
    <col min="17" max="20" width="17.44140625" style="81" bestFit="1" customWidth="1"/>
    <col min="21" max="16384" width="9.109375" style="81"/>
  </cols>
  <sheetData>
    <row r="1" spans="1:45" x14ac:dyDescent="0.3">
      <c r="A1" s="81" t="s">
        <v>12</v>
      </c>
      <c r="B1" s="81" t="s">
        <v>67</v>
      </c>
      <c r="C1" s="81" t="s">
        <v>68</v>
      </c>
      <c r="D1" s="81" t="s">
        <v>69</v>
      </c>
      <c r="H1" s="81" t="s">
        <v>70</v>
      </c>
      <c r="I1" s="81" t="s">
        <v>71</v>
      </c>
      <c r="J1" s="81" t="s">
        <v>72</v>
      </c>
      <c r="K1" s="81" t="s">
        <v>73</v>
      </c>
      <c r="L1" s="81" t="s">
        <v>74</v>
      </c>
      <c r="M1" s="81" t="s">
        <v>75</v>
      </c>
      <c r="O1" s="81" t="s">
        <v>76</v>
      </c>
      <c r="P1" s="81" t="s">
        <v>77</v>
      </c>
      <c r="Q1" s="81" t="s">
        <v>78</v>
      </c>
      <c r="R1" s="81" t="s">
        <v>79</v>
      </c>
      <c r="S1" s="81" t="s">
        <v>80</v>
      </c>
      <c r="T1" s="81" t="s">
        <v>81</v>
      </c>
      <c r="V1" s="112" t="s">
        <v>83</v>
      </c>
      <c r="W1" s="113"/>
      <c r="X1" s="113"/>
      <c r="Y1" s="113"/>
      <c r="Z1" s="113"/>
      <c r="AA1" s="113"/>
      <c r="AC1" s="112" t="s">
        <v>84</v>
      </c>
      <c r="AD1" s="113"/>
      <c r="AE1" s="113"/>
      <c r="AF1" s="113"/>
      <c r="AG1" s="113"/>
      <c r="AH1" s="113"/>
    </row>
    <row r="2" spans="1:45" x14ac:dyDescent="0.3">
      <c r="A2" s="81">
        <v>5000</v>
      </c>
      <c r="B2" s="81">
        <v>48</v>
      </c>
      <c r="C2" s="82">
        <f t="shared" ref="C2:C11" si="0">(B2*5252)/A2</f>
        <v>50.419199999999996</v>
      </c>
      <c r="D2" s="82">
        <f t="shared" ref="D2:D11" si="1">0.7457*B2</f>
        <v>35.793599999999998</v>
      </c>
      <c r="H2" s="82">
        <f>A2*60*(First/'Gearbox 675R'!$D$9)*('Gearbox 675R'!$C$3/'Gearbox 675R'!$D$3)*'Gearbox 675R'!$E$5*PI()/1000*'Gearbox 675R'!$C$4/'Gearbox 675R'!$D$4</f>
        <v>50.695561451724906</v>
      </c>
      <c r="I2" s="82">
        <f>A2*60*('Gearbox 675R'!$C$11/'Gearbox 675R'!$D$11)*('Gearbox 675R'!$C$3/'Gearbox 675R'!$D$3)*'Gearbox 675R'!$E$5*PI()/1000*'Gearbox 675R'!$C$4/'Gearbox 675R'!$D$4</f>
        <v>63.731562967882738</v>
      </c>
      <c r="J2" s="82">
        <f>A2*60*('Gearbox 675R'!$C$13/'Gearbox 675R'!$D$13)*('Gearbox 675R'!$C$3/'Gearbox 675R'!$D$3)*'Gearbox 675R'!$E$5*PI()/1000*'Gearbox 675R'!$C$4/'Gearbox 675R'!$D$4</f>
        <v>74.35349012919653</v>
      </c>
      <c r="K2" s="82">
        <f>A2*60*('Gearbox 675R'!$C$15/'Gearbox 675R'!$D$15)*('Gearbox 675R'!$C$3/'Gearbox 675R'!$D$3)*'Gearbox 675R'!$E$5*PI()/1000*'Gearbox 675R'!$C$4/'Gearbox 675R'!$D$4</f>
        <v>82.614989032440576</v>
      </c>
      <c r="L2" s="82">
        <f>A2*60*('Gearbox 675R'!$C$17/'Gearbox 675R'!$D$17)*('Gearbox 675R'!$C$3/'Gearbox 675R'!$D$3)*'Gearbox 675R'!$E$5*PI()/1000*'Gearbox 675R'!$C$4/'Gearbox 675R'!$D$4</f>
        <v>90.082113041141966</v>
      </c>
      <c r="M2" s="82">
        <f>A2*60*('Gearbox 675R'!$C$19/'Gearbox 675R'!$D$19)*('Gearbox 675R'!$C$3/'Gearbox 675R'!$D$3)*'Gearbox 675R'!$E$5*PI()/1000*'Gearbox 675R'!$C$4/'Gearbox 675R'!$D$4</f>
        <v>97.588955794570424</v>
      </c>
      <c r="O2" s="82">
        <f>($D2*1000)/(H2/3.6)-(0.5*1.167*0.5*0.5*(H2/3.6)^2)</f>
        <v>2512.8520950495013</v>
      </c>
      <c r="P2" s="82">
        <f t="shared" ref="P2" si="2">($D2*1000)/(I2/3.6)-(0.5*1.167*0.5*0.5*(I2/3.6)^2)</f>
        <v>1976.1526222420389</v>
      </c>
      <c r="Q2" s="82">
        <f t="shared" ref="Q2" si="3">($D2*1000)/(J2/3.6)-(0.5*1.167*0.5*0.5*(J2/3.6)^2)</f>
        <v>1670.8048017652889</v>
      </c>
      <c r="R2" s="82">
        <f t="shared" ref="R2" si="4">($D2*1000)/(K2/3.6)-(0.5*1.167*0.5*0.5*(K2/3.6)^2)</f>
        <v>1482.9051781453531</v>
      </c>
      <c r="S2" s="82">
        <f t="shared" ref="S2" si="5">($D2*1000)/(L2/3.6)-(0.5*1.167*0.5*0.5*(L2/3.6)^2)</f>
        <v>1339.100599226296</v>
      </c>
      <c r="T2" s="82">
        <f t="shared" ref="T2" si="6">($D2*1000)/(M2/3.6)-(0.5*1.167*0.5*0.5*(M2/3.6)^2)</f>
        <v>1213.209490155295</v>
      </c>
      <c r="V2" s="83">
        <f>(O2-O15)/O15</f>
        <v>0.28169713340478131</v>
      </c>
      <c r="W2" s="83">
        <f t="shared" ref="W2:AA2" si="7">(P2-P15)/P15</f>
        <v>0.28341517882027606</v>
      </c>
      <c r="X2" s="83">
        <f t="shared" si="7"/>
        <v>0.28550692351503609</v>
      </c>
      <c r="Y2" s="83">
        <f t="shared" si="7"/>
        <v>0.2876730414140134</v>
      </c>
      <c r="Z2" s="83">
        <f t="shared" si="7"/>
        <v>0.29012167100867259</v>
      </c>
      <c r="AA2" s="83">
        <f t="shared" si="7"/>
        <v>0.29314224210260059</v>
      </c>
      <c r="AC2" s="83">
        <f t="shared" ref="AC2:AC11" si="8">(O2-O15)/O16</f>
        <v>0.27659120790215386</v>
      </c>
      <c r="AD2" s="83">
        <f t="shared" ref="AD2:AD11" si="9">(P2-P15)/P16</f>
        <v>0.27976565364152062</v>
      </c>
      <c r="AE2" s="83">
        <f t="shared" ref="AE2:AE11" si="10">(Q2-Q15)/Q16</f>
        <v>0.28367670053892108</v>
      </c>
      <c r="AF2" s="83">
        <f t="shared" ref="AF2:AF11" si="11">(R2-R15)/R16</f>
        <v>0.28778118274107145</v>
      </c>
      <c r="AG2" s="83">
        <f t="shared" ref="AG2:AG11" si="12">(S2-S15)/S16</f>
        <v>0.29248902344603622</v>
      </c>
      <c r="AH2" s="83">
        <f t="shared" ref="AH2:AH11" si="13">(T2-T15)/T16</f>
        <v>0.2983984127625206</v>
      </c>
      <c r="AJ2" s="81">
        <f>O2/245</f>
        <v>10.256539163467352</v>
      </c>
      <c r="AK2" s="81">
        <f t="shared" ref="AK2:AO2" si="14">P2/245</f>
        <v>8.0659290703756685</v>
      </c>
      <c r="AL2" s="81">
        <f t="shared" si="14"/>
        <v>6.8196114357766895</v>
      </c>
      <c r="AM2" s="81">
        <f t="shared" si="14"/>
        <v>6.0526741965116457</v>
      </c>
      <c r="AN2" s="81">
        <f t="shared" si="14"/>
        <v>5.4657167315359025</v>
      </c>
      <c r="AO2" s="81">
        <f t="shared" si="14"/>
        <v>4.9518754700216121</v>
      </c>
    </row>
    <row r="3" spans="1:45" x14ac:dyDescent="0.3">
      <c r="A3" s="81">
        <v>6000</v>
      </c>
      <c r="B3" s="81">
        <v>62</v>
      </c>
      <c r="C3" s="82">
        <f t="shared" si="0"/>
        <v>54.270666666666664</v>
      </c>
      <c r="D3" s="82">
        <f t="shared" si="1"/>
        <v>46.233400000000003</v>
      </c>
      <c r="H3" s="82">
        <f>A3*60*(First/'Gearbox 675R'!$D$9)*('Gearbox 675R'!$C$3/'Gearbox 675R'!$D$3)*'Gearbox 675R'!$E$5*PI()/1000*'Gearbox 675R'!$C$4/'Gearbox 675R'!$D$4</f>
        <v>60.834673742069896</v>
      </c>
      <c r="I3" s="82">
        <f>A3*60*('Gearbox 675R'!$C$11/'Gearbox 675R'!$D$11)*('Gearbox 675R'!$C$3/'Gearbox 675R'!$D$3)*'Gearbox 675R'!$E$5*PI()/1000*'Gearbox 675R'!$C$4/'Gearbox 675R'!$D$4</f>
        <v>76.4778755614593</v>
      </c>
      <c r="J3" s="82">
        <f>A3*60*('Gearbox 675R'!$C$13/'Gearbox 675R'!$D$13)*('Gearbox 675R'!$C$3/'Gearbox 675R'!$D$3)*'Gearbox 675R'!$E$5*PI()/1000*'Gearbox 675R'!$C$4/'Gearbox 675R'!$D$4</f>
        <v>89.224188155035833</v>
      </c>
      <c r="K3" s="82">
        <f>A3*60*('Gearbox 675R'!$C$15/'Gearbox 675R'!$D$15)*('Gearbox 675R'!$C$3/'Gearbox 675R'!$D$3)*'Gearbox 675R'!$E$5*PI()/1000*'Gearbox 675R'!$C$4/'Gearbox 675R'!$D$4</f>
        <v>99.137986838928683</v>
      </c>
      <c r="L3" s="82">
        <f>A3*60*('Gearbox 675R'!$C$17/'Gearbox 675R'!$D$17)*('Gearbox 675R'!$C$3/'Gearbox 675R'!$D$3)*'Gearbox 675R'!$E$5*PI()/1000*'Gearbox 675R'!$C$4/'Gearbox 675R'!$D$4</f>
        <v>108.09853564937033</v>
      </c>
      <c r="M3" s="82">
        <f>A3*60*('Gearbox 675R'!$C$19/'Gearbox 675R'!$D$19)*('Gearbox 675R'!$C$3/'Gearbox 675R'!$D$3)*'Gearbox 675R'!$E$5*PI()/1000*'Gearbox 675R'!$C$4/'Gearbox 675R'!$D$4</f>
        <v>117.10674695348453</v>
      </c>
      <c r="O3" s="82">
        <f>($D3*1000)/(H3/3.6)-(0.5*1.167*0.5*0.5*(H3/3.6)^2)</f>
        <v>2694.2875969006245</v>
      </c>
      <c r="P3" s="82">
        <f t="shared" ref="P3:T3" si="15">($D3*1000)/(I3/3.6)-(0.5*1.167*0.5*0.5*(I3/3.6)^2)</f>
        <v>2110.485237415513</v>
      </c>
      <c r="Q3" s="82">
        <f t="shared" si="15"/>
        <v>1775.8093100165684</v>
      </c>
      <c r="R3" s="82">
        <f t="shared" si="15"/>
        <v>1568.2488124564054</v>
      </c>
      <c r="S3" s="82">
        <f t="shared" si="15"/>
        <v>1408.1813797854968</v>
      </c>
      <c r="T3" s="82">
        <f t="shared" si="15"/>
        <v>1266.9076814232831</v>
      </c>
      <c r="V3" s="83">
        <f>(O3-O16)/O16</f>
        <v>0.3493306366877646</v>
      </c>
      <c r="W3" s="83">
        <f t="shared" ref="W3:W11" si="16">(P3-P16)/P16</f>
        <v>0.3530077893848248</v>
      </c>
      <c r="X3" s="83">
        <f t="shared" ref="X3:X11" si="17">(Q3-Q16)/Q16</f>
        <v>0.35753819180083035</v>
      </c>
      <c r="Y3" s="83">
        <f t="shared" ref="Y3:Y11" si="18">(R3-R16)/R16</f>
        <v>0.36229266204188848</v>
      </c>
      <c r="Z3" s="83">
        <f t="shared" ref="Z3:Z11" si="19">(S3-S16)/S16</f>
        <v>0.36774603896716068</v>
      </c>
      <c r="AA3" s="83">
        <f t="shared" ref="AA3:AA11" si="20">(T3-T16)/T16</f>
        <v>0.37459124239704367</v>
      </c>
      <c r="AC3" s="83">
        <f t="shared" si="8"/>
        <v>0.31419436242595417</v>
      </c>
      <c r="AD3" s="83">
        <f t="shared" si="9"/>
        <v>0.3188069087536185</v>
      </c>
      <c r="AE3" s="83">
        <f t="shared" si="10"/>
        <v>0.32454216509181938</v>
      </c>
      <c r="AF3" s="83">
        <f t="shared" si="11"/>
        <v>0.33062421345701049</v>
      </c>
      <c r="AG3" s="83">
        <f t="shared" si="12"/>
        <v>0.33768126890887751</v>
      </c>
      <c r="AH3" s="83">
        <f t="shared" si="13"/>
        <v>0.34666425438429016</v>
      </c>
      <c r="AJ3" s="81">
        <f t="shared" ref="AJ3:AJ11" si="21">O3/245</f>
        <v>10.997092232247446</v>
      </c>
      <c r="AK3" s="81">
        <f t="shared" ref="AK3:AK11" si="22">P3/245</f>
        <v>8.6142254588388276</v>
      </c>
      <c r="AL3" s="81">
        <f t="shared" ref="AL3:AL11" si="23">Q3/245</f>
        <v>7.2482012653737486</v>
      </c>
      <c r="AM3" s="81">
        <f t="shared" ref="AM3:AM11" si="24">R3/245</f>
        <v>6.4010155610465524</v>
      </c>
      <c r="AN3" s="81">
        <f t="shared" ref="AN3:AN11" si="25">S3/245</f>
        <v>5.7476791011652928</v>
      </c>
      <c r="AO3" s="81">
        <f t="shared" ref="AO3:AO11" si="26">T3/245</f>
        <v>5.1710517609113591</v>
      </c>
    </row>
    <row r="4" spans="1:45" x14ac:dyDescent="0.3">
      <c r="A4" s="81">
        <v>7000</v>
      </c>
      <c r="B4" s="81">
        <v>73</v>
      </c>
      <c r="C4" s="82">
        <f t="shared" si="0"/>
        <v>54.770857142857146</v>
      </c>
      <c r="D4" s="82">
        <f t="shared" si="1"/>
        <v>54.436100000000003</v>
      </c>
      <c r="H4" s="82">
        <f>A4*60*(First/'Gearbox 675R'!$D$9)*('Gearbox 675R'!$C$3/'Gearbox 675R'!$D$3)*'Gearbox 675R'!$E$5*PI()/1000*'Gearbox 675R'!$C$4/'Gearbox 675R'!$D$4</f>
        <v>70.973786032414878</v>
      </c>
      <c r="I4" s="82">
        <f>A4*60*('Gearbox 675R'!$C$11/'Gearbox 675R'!$D$11)*('Gearbox 675R'!$C$3/'Gearbox 675R'!$D$3)*'Gearbox 675R'!$E$5*PI()/1000*'Gearbox 675R'!$C$4/'Gearbox 675R'!$D$4</f>
        <v>89.224188155035833</v>
      </c>
      <c r="J4" s="82">
        <f>A4*60*('Gearbox 675R'!$C$13/'Gearbox 675R'!$D$13)*('Gearbox 675R'!$C$3/'Gearbox 675R'!$D$3)*'Gearbox 675R'!$E$5*PI()/1000*'Gearbox 675R'!$C$4/'Gearbox 675R'!$D$4</f>
        <v>104.09488618087514</v>
      </c>
      <c r="K4" s="82">
        <f>A4*60*('Gearbox 675R'!$C$15/'Gearbox 675R'!$D$15)*('Gearbox 675R'!$C$3/'Gearbox 675R'!$D$3)*'Gearbox 675R'!$E$5*PI()/1000*'Gearbox 675R'!$C$4/'Gearbox 675R'!$D$4</f>
        <v>115.66098464541682</v>
      </c>
      <c r="L4" s="82">
        <f>A4*60*('Gearbox 675R'!$C$17/'Gearbox 675R'!$D$17)*('Gearbox 675R'!$C$3/'Gearbox 675R'!$D$3)*'Gearbox 675R'!$E$5*PI()/1000*'Gearbox 675R'!$C$4/'Gearbox 675R'!$D$4</f>
        <v>126.11495825759874</v>
      </c>
      <c r="M4" s="82">
        <f>A4*60*('Gearbox 675R'!$C$19/'Gearbox 675R'!$D$19)*('Gearbox 675R'!$C$3/'Gearbox 675R'!$D$3)*'Gearbox 675R'!$E$5*PI()/1000*'Gearbox 675R'!$C$4/'Gearbox 675R'!$D$4</f>
        <v>136.62453811239862</v>
      </c>
      <c r="O4" s="82">
        <f t="shared" ref="O4:O11" si="27">($D4*1000)/(H4/3.6)-(0.5*1.167*0.5*0.5*(H4/3.6)^2)</f>
        <v>2704.4611998805699</v>
      </c>
      <c r="P4" s="82">
        <f t="shared" ref="P4:P11" si="28">($D4*1000)/(I4/3.6)-(0.5*1.167*0.5*0.5*(I4/3.6)^2)</f>
        <v>2106.7702367631273</v>
      </c>
      <c r="Q4" s="82">
        <f t="shared" ref="Q4:Q11" si="29">($D4*1000)/(J4/3.6)-(0.5*1.167*0.5*0.5*(J4/3.6)^2)</f>
        <v>1760.6440661760216</v>
      </c>
      <c r="R4" s="82">
        <f t="shared" ref="R4:R11" si="30">($D4*1000)/(K4/3.6)-(0.5*1.167*0.5*0.5*(K4/3.6)^2)</f>
        <v>1543.7741384093413</v>
      </c>
      <c r="S4" s="82">
        <f t="shared" ref="S4:S11" si="31">($D4*1000)/(L4/3.6)-(0.5*1.167*0.5*0.5*(L4/3.6)^2)</f>
        <v>1374.8763180586968</v>
      </c>
      <c r="T4" s="82">
        <f t="shared" ref="T4:T11" si="32">($D4*1000)/(M4/3.6)-(0.5*1.167*0.5*0.5*(M4/3.6)^2)</f>
        <v>1224.2651947737527</v>
      </c>
      <c r="V4" s="83">
        <f t="shared" ref="V4:V11" si="33">(O4-O17)/O17</f>
        <v>0.21819523742674202</v>
      </c>
      <c r="W4" s="83">
        <f t="shared" si="16"/>
        <v>0.2197717987876936</v>
      </c>
      <c r="X4" s="83">
        <f t="shared" si="17"/>
        <v>0.22173210073278796</v>
      </c>
      <c r="Y4" s="83">
        <f t="shared" si="18"/>
        <v>0.22381093566838267</v>
      </c>
      <c r="Z4" s="83">
        <f t="shared" si="19"/>
        <v>0.22622302655206161</v>
      </c>
      <c r="AA4" s="83">
        <f t="shared" si="20"/>
        <v>0.22929339740591731</v>
      </c>
      <c r="AC4" s="83">
        <f t="shared" si="8"/>
        <v>0.21621424925596255</v>
      </c>
      <c r="AD4" s="83">
        <f t="shared" si="9"/>
        <v>0.21922452635681008</v>
      </c>
      <c r="AE4" s="83">
        <f t="shared" si="10"/>
        <v>0.22302381412475855</v>
      </c>
      <c r="AF4" s="83">
        <f t="shared" si="11"/>
        <v>0.22712265637036086</v>
      </c>
      <c r="AG4" s="83">
        <f t="shared" si="12"/>
        <v>0.23197117890461169</v>
      </c>
      <c r="AH4" s="83">
        <f t="shared" si="13"/>
        <v>0.23829157906980425</v>
      </c>
      <c r="AJ4" s="81">
        <f t="shared" si="21"/>
        <v>11.038617142369674</v>
      </c>
      <c r="AK4" s="81">
        <f t="shared" si="22"/>
        <v>8.5990621908699065</v>
      </c>
      <c r="AL4" s="81">
        <f t="shared" si="23"/>
        <v>7.186302310922537</v>
      </c>
      <c r="AM4" s="81">
        <f t="shared" si="24"/>
        <v>6.3011189322830257</v>
      </c>
      <c r="AN4" s="81">
        <f t="shared" si="25"/>
        <v>5.6117400737089662</v>
      </c>
      <c r="AO4" s="81">
        <f t="shared" si="26"/>
        <v>4.9970007949949089</v>
      </c>
    </row>
    <row r="5" spans="1:45" x14ac:dyDescent="0.3">
      <c r="A5" s="81">
        <v>8000</v>
      </c>
      <c r="B5" s="81">
        <v>90</v>
      </c>
      <c r="C5" s="82">
        <f t="shared" si="0"/>
        <v>59.085000000000001</v>
      </c>
      <c r="D5" s="82">
        <f t="shared" si="1"/>
        <v>67.113</v>
      </c>
      <c r="H5" s="82">
        <f>A5*60*(First/'Gearbox 675R'!$D$9)*('Gearbox 675R'!$C$3/'Gearbox 675R'!$D$3)*'Gearbox 675R'!$E$5*PI()/1000*'Gearbox 675R'!$C$4/'Gearbox 675R'!$D$4</f>
        <v>81.112898322759861</v>
      </c>
      <c r="I5" s="82">
        <f>A5*60*('Gearbox 675R'!$C$11/'Gearbox 675R'!$D$11)*('Gearbox 675R'!$C$3/'Gearbox 675R'!$D$3)*'Gearbox 675R'!$E$5*PI()/1000*'Gearbox 675R'!$C$4/'Gearbox 675R'!$D$4</f>
        <v>101.97050074861238</v>
      </c>
      <c r="J5" s="82">
        <f>A5*60*('Gearbox 675R'!$C$13/'Gearbox 675R'!$D$13)*('Gearbox 675R'!$C$3/'Gearbox 675R'!$D$3)*'Gearbox 675R'!$E$5*PI()/1000*'Gearbox 675R'!$C$4/'Gearbox 675R'!$D$4</f>
        <v>118.96558420671445</v>
      </c>
      <c r="K5" s="82">
        <f>A5*60*('Gearbox 675R'!$C$15/'Gearbox 675R'!$D$15)*('Gearbox 675R'!$C$3/'Gearbox 675R'!$D$3)*'Gearbox 675R'!$E$5*PI()/1000*'Gearbox 675R'!$C$4/'Gearbox 675R'!$D$4</f>
        <v>132.18398245190497</v>
      </c>
      <c r="L5" s="82">
        <f>A5*60*('Gearbox 675R'!$C$17/'Gearbox 675R'!$D$17)*('Gearbox 675R'!$C$3/'Gearbox 675R'!$D$3)*'Gearbox 675R'!$E$5*PI()/1000*'Gearbox 675R'!$C$4/'Gearbox 675R'!$D$4</f>
        <v>144.13138086582717</v>
      </c>
      <c r="M5" s="82">
        <f>A5*60*('Gearbox 675R'!$C$19/'Gearbox 675R'!$D$19)*('Gearbox 675R'!$C$3/'Gearbox 675R'!$D$3)*'Gearbox 675R'!$E$5*PI()/1000*'Gearbox 675R'!$C$4/'Gearbox 675R'!$D$4</f>
        <v>156.14232927131272</v>
      </c>
      <c r="O5" s="82">
        <f t="shared" si="27"/>
        <v>2904.5931154670084</v>
      </c>
      <c r="P5" s="82">
        <f t="shared" si="28"/>
        <v>2252.341879414847</v>
      </c>
      <c r="Q5" s="82">
        <f t="shared" si="29"/>
        <v>1871.5955780693344</v>
      </c>
      <c r="R5" s="82">
        <f t="shared" si="30"/>
        <v>1631.1390130472778</v>
      </c>
      <c r="S5" s="82">
        <f t="shared" si="31"/>
        <v>1442.4695157432877</v>
      </c>
      <c r="T5" s="82">
        <f t="shared" si="32"/>
        <v>1272.9288933119883</v>
      </c>
      <c r="V5" s="83">
        <f t="shared" si="33"/>
        <v>0.29646408668827351</v>
      </c>
      <c r="W5" s="83">
        <f t="shared" si="16"/>
        <v>0.30080711479529842</v>
      </c>
      <c r="X5" s="83">
        <f t="shared" si="17"/>
        <v>0.30628847515186869</v>
      </c>
      <c r="Y5" s="83">
        <f t="shared" si="18"/>
        <v>0.31220201283712029</v>
      </c>
      <c r="Z5" s="83">
        <f t="shared" si="19"/>
        <v>0.31919713951096296</v>
      </c>
      <c r="AA5" s="83">
        <f t="shared" si="20"/>
        <v>0.32831579359013441</v>
      </c>
      <c r="AC5" s="83">
        <f t="shared" si="8"/>
        <v>0.27221621297670889</v>
      </c>
      <c r="AD5" s="83">
        <f t="shared" si="9"/>
        <v>0.27751971306931394</v>
      </c>
      <c r="AE5" s="83">
        <f t="shared" si="10"/>
        <v>0.2842858532506069</v>
      </c>
      <c r="AF5" s="83">
        <f t="shared" si="11"/>
        <v>0.29167785447097816</v>
      </c>
      <c r="AG5" s="83">
        <f t="shared" si="12"/>
        <v>0.30054820536310545</v>
      </c>
      <c r="AH5" s="83">
        <f t="shared" si="13"/>
        <v>0.31232207169925563</v>
      </c>
      <c r="AJ5" s="81">
        <f t="shared" si="21"/>
        <v>11.855482103946972</v>
      </c>
      <c r="AK5" s="81">
        <f t="shared" si="22"/>
        <v>9.1932321608769261</v>
      </c>
      <c r="AL5" s="81">
        <f t="shared" si="23"/>
        <v>7.6391656247727937</v>
      </c>
      <c r="AM5" s="81">
        <f t="shared" si="24"/>
        <v>6.657710257335828</v>
      </c>
      <c r="AN5" s="81">
        <f t="shared" si="25"/>
        <v>5.8876306765032149</v>
      </c>
      <c r="AO5" s="81">
        <f t="shared" si="26"/>
        <v>5.1956281359672989</v>
      </c>
    </row>
    <row r="6" spans="1:45" x14ac:dyDescent="0.3">
      <c r="A6" s="81">
        <v>9000</v>
      </c>
      <c r="B6" s="81">
        <v>105</v>
      </c>
      <c r="C6" s="82">
        <f t="shared" si="0"/>
        <v>61.273333333333333</v>
      </c>
      <c r="D6" s="82">
        <f t="shared" si="1"/>
        <v>78.298500000000004</v>
      </c>
      <c r="H6" s="82">
        <f>A6*60*(First/'Gearbox 675R'!$D$9)*('Gearbox 675R'!$C$3/'Gearbox 675R'!$D$3)*'Gearbox 675R'!$E$5*PI()/1000*'Gearbox 675R'!$C$4/'Gearbox 675R'!$D$4</f>
        <v>91.252010613104829</v>
      </c>
      <c r="I6" s="82">
        <f>A6*60*('Gearbox 675R'!$C$11/'Gearbox 675R'!$D$11)*('Gearbox 675R'!$C$3/'Gearbox 675R'!$D$3)*'Gearbox 675R'!$E$5*PI()/1000*'Gearbox 675R'!$C$4/'Gearbox 675R'!$D$4</f>
        <v>114.71681334218896</v>
      </c>
      <c r="J6" s="82">
        <f>A6*60*('Gearbox 675R'!$C$13/'Gearbox 675R'!$D$13)*('Gearbox 675R'!$C$3/'Gearbox 675R'!$D$3)*'Gearbox 675R'!$E$5*PI()/1000*'Gearbox 675R'!$C$4/'Gearbox 675R'!$D$4</f>
        <v>133.83628223255377</v>
      </c>
      <c r="K6" s="82">
        <f>A6*60*('Gearbox 675R'!$C$15/'Gearbox 675R'!$D$15)*('Gearbox 675R'!$C$3/'Gearbox 675R'!$D$3)*'Gearbox 675R'!$E$5*PI()/1000*'Gearbox 675R'!$C$4/'Gearbox 675R'!$D$4</f>
        <v>148.70698025839306</v>
      </c>
      <c r="L6" s="82">
        <f>A6*60*('Gearbox 675R'!$C$17/'Gearbox 675R'!$D$17)*('Gearbox 675R'!$C$3/'Gearbox 675R'!$D$3)*'Gearbox 675R'!$E$5*PI()/1000*'Gearbox 675R'!$C$4/'Gearbox 675R'!$D$4</f>
        <v>162.14780347405554</v>
      </c>
      <c r="M6" s="82">
        <f>A6*60*('Gearbox 675R'!$C$19/'Gearbox 675R'!$D$19)*('Gearbox 675R'!$C$3/'Gearbox 675R'!$D$3)*'Gearbox 675R'!$E$5*PI()/1000*'Gearbox 675R'!$C$4/'Gearbox 675R'!$D$4</f>
        <v>175.66012043022678</v>
      </c>
      <c r="O6" s="82">
        <f t="shared" si="27"/>
        <v>2995.2425051749601</v>
      </c>
      <c r="P6" s="82">
        <f t="shared" si="28"/>
        <v>2309.0085893030728</v>
      </c>
      <c r="Q6" s="82">
        <f t="shared" si="29"/>
        <v>1904.4996376385648</v>
      </c>
      <c r="R6" s="82">
        <f t="shared" si="30"/>
        <v>1646.5956491180691</v>
      </c>
      <c r="S6" s="82">
        <f t="shared" si="31"/>
        <v>1442.4444836485882</v>
      </c>
      <c r="T6" s="82">
        <f t="shared" si="32"/>
        <v>1257.3450947081296</v>
      </c>
      <c r="V6" s="83">
        <f t="shared" si="33"/>
        <v>0.22757793679631907</v>
      </c>
      <c r="W6" s="83">
        <f t="shared" si="16"/>
        <v>0.23029674140921513</v>
      </c>
      <c r="X6" s="83">
        <f t="shared" si="17"/>
        <v>0.23376535889110275</v>
      </c>
      <c r="Y6" s="83">
        <f t="shared" si="18"/>
        <v>0.2375548199386297</v>
      </c>
      <c r="Z6" s="83">
        <f t="shared" si="19"/>
        <v>0.24210214727009349</v>
      </c>
      <c r="AA6" s="83">
        <f t="shared" si="20"/>
        <v>0.24813794279142923</v>
      </c>
      <c r="AC6" s="83">
        <f t="shared" si="8"/>
        <v>0.22130998076866384</v>
      </c>
      <c r="AD6" s="83">
        <f t="shared" si="9"/>
        <v>0.22549831168729689</v>
      </c>
      <c r="AE6" s="83">
        <f t="shared" si="10"/>
        <v>0.23092633702108062</v>
      </c>
      <c r="AF6" s="83">
        <f t="shared" si="11"/>
        <v>0.23696766830559138</v>
      </c>
      <c r="AG6" s="83">
        <f t="shared" si="12"/>
        <v>0.24437525417257316</v>
      </c>
      <c r="AH6" s="83">
        <f t="shared" si="13"/>
        <v>0.25448399455116327</v>
      </c>
      <c r="AJ6" s="81">
        <f t="shared" si="21"/>
        <v>12.22547961295902</v>
      </c>
      <c r="AK6" s="81">
        <f t="shared" si="22"/>
        <v>9.4245248542982569</v>
      </c>
      <c r="AL6" s="81">
        <f t="shared" si="23"/>
        <v>7.7734679087288354</v>
      </c>
      <c r="AM6" s="81">
        <f t="shared" si="24"/>
        <v>6.7207985678288535</v>
      </c>
      <c r="AN6" s="81">
        <f t="shared" si="25"/>
        <v>5.8875285046881149</v>
      </c>
      <c r="AO6" s="81">
        <f t="shared" si="26"/>
        <v>5.13202079472706</v>
      </c>
    </row>
    <row r="7" spans="1:45" x14ac:dyDescent="0.3">
      <c r="A7" s="81">
        <v>10000</v>
      </c>
      <c r="B7" s="81">
        <v>125</v>
      </c>
      <c r="C7" s="82">
        <f t="shared" si="0"/>
        <v>65.650000000000006</v>
      </c>
      <c r="D7" s="82">
        <f t="shared" si="1"/>
        <v>93.212500000000006</v>
      </c>
      <c r="H7" s="82">
        <f>A7*60*(First/'Gearbox 675R'!$D$9)*('Gearbox 675R'!$C$3/'Gearbox 675R'!$D$3)*'Gearbox 675R'!$E$5*PI()/1000*'Gearbox 675R'!$C$4/'Gearbox 675R'!$D$4</f>
        <v>101.39112290344981</v>
      </c>
      <c r="I7" s="82">
        <f>A7*60*('Gearbox 675R'!$C$11/'Gearbox 675R'!$D$11)*('Gearbox 675R'!$C$3/'Gearbox 675R'!$D$3)*'Gearbox 675R'!$E$5*PI()/1000*'Gearbox 675R'!$C$4/'Gearbox 675R'!$D$4</f>
        <v>127.46312593576548</v>
      </c>
      <c r="J7" s="82">
        <f>A7*60*('Gearbox 675R'!$C$13/'Gearbox 675R'!$D$13)*('Gearbox 675R'!$C$3/'Gearbox 675R'!$D$3)*'Gearbox 675R'!$E$5*PI()/1000*'Gearbox 675R'!$C$4/'Gearbox 675R'!$D$4</f>
        <v>148.70698025839306</v>
      </c>
      <c r="K7" s="82">
        <f>A7*60*('Gearbox 675R'!$C$15/'Gearbox 675R'!$D$15)*('Gearbox 675R'!$C$3/'Gearbox 675R'!$D$3)*'Gearbox 675R'!$E$5*PI()/1000*'Gearbox 675R'!$C$4/'Gearbox 675R'!$D$4</f>
        <v>165.22997806488115</v>
      </c>
      <c r="L7" s="82">
        <f>A7*60*('Gearbox 675R'!$C$17/'Gearbox 675R'!$D$17)*('Gearbox 675R'!$C$3/'Gearbox 675R'!$D$3)*'Gearbox 675R'!$E$5*PI()/1000*'Gearbox 675R'!$C$4/'Gearbox 675R'!$D$4</f>
        <v>180.16422608228393</v>
      </c>
      <c r="M7" s="82">
        <f>A7*60*('Gearbox 675R'!$C$19/'Gearbox 675R'!$D$19)*('Gearbox 675R'!$C$3/'Gearbox 675R'!$D$3)*'Gearbox 675R'!$E$5*PI()/1000*'Gearbox 675R'!$C$4/'Gearbox 675R'!$D$4</f>
        <v>195.17791158914085</v>
      </c>
      <c r="O7" s="82">
        <f t="shared" si="27"/>
        <v>3193.8979780093059</v>
      </c>
      <c r="P7" s="82">
        <f t="shared" si="28"/>
        <v>2449.7726690453264</v>
      </c>
      <c r="Q7" s="82">
        <f t="shared" si="29"/>
        <v>2007.6439328415881</v>
      </c>
      <c r="R7" s="82">
        <f t="shared" si="30"/>
        <v>1723.6029657838005</v>
      </c>
      <c r="S7" s="82">
        <f t="shared" si="31"/>
        <v>1497.1974086604614</v>
      </c>
      <c r="T7" s="82">
        <f t="shared" si="32"/>
        <v>1290.4948945491274</v>
      </c>
      <c r="V7" s="83">
        <f t="shared" si="33"/>
        <v>0.27294303227668393</v>
      </c>
      <c r="W7" s="83">
        <f t="shared" si="16"/>
        <v>0.27810228738230119</v>
      </c>
      <c r="X7" s="83">
        <f t="shared" si="17"/>
        <v>0.28478861851534421</v>
      </c>
      <c r="Y7" s="83">
        <f t="shared" si="18"/>
        <v>0.29223043003402582</v>
      </c>
      <c r="Z7" s="83">
        <f t="shared" si="19"/>
        <v>0.30135521648165325</v>
      </c>
      <c r="AA7" s="83">
        <f t="shared" si="20"/>
        <v>0.31380732960804802</v>
      </c>
      <c r="AC7" s="83">
        <f t="shared" si="8"/>
        <v>0.27022331076764466</v>
      </c>
      <c r="AD7" s="83">
        <f t="shared" si="9"/>
        <v>0.27759941189981968</v>
      </c>
      <c r="AE7" s="83">
        <f t="shared" si="10"/>
        <v>0.28734151428319155</v>
      </c>
      <c r="AF7" s="83">
        <f t="shared" si="11"/>
        <v>0.29843462284966082</v>
      </c>
      <c r="AG7" s="83">
        <f t="shared" si="12"/>
        <v>0.31241014267652495</v>
      </c>
      <c r="AH7" s="83">
        <f t="shared" si="13"/>
        <v>0.33217861633668089</v>
      </c>
      <c r="AJ7" s="81">
        <f t="shared" si="21"/>
        <v>13.036318277589004</v>
      </c>
      <c r="AK7" s="81">
        <f t="shared" si="22"/>
        <v>9.9990721185523537</v>
      </c>
      <c r="AL7" s="81">
        <f t="shared" si="23"/>
        <v>8.194465032006482</v>
      </c>
      <c r="AM7" s="81">
        <f t="shared" si="24"/>
        <v>7.0351141460563289</v>
      </c>
      <c r="AN7" s="81">
        <f t="shared" si="25"/>
        <v>6.1110098312671894</v>
      </c>
      <c r="AO7" s="81">
        <f t="shared" si="26"/>
        <v>5.2673261002005196</v>
      </c>
    </row>
    <row r="8" spans="1:45" x14ac:dyDescent="0.3">
      <c r="A8" s="81">
        <v>11000</v>
      </c>
      <c r="B8" s="81">
        <v>132</v>
      </c>
      <c r="C8" s="82">
        <f t="shared" si="0"/>
        <v>63.024000000000001</v>
      </c>
      <c r="D8" s="82">
        <f t="shared" si="1"/>
        <v>98.432400000000001</v>
      </c>
      <c r="H8" s="82">
        <f>A8*60*(First/'Gearbox 675R'!$D$9)*('Gearbox 675R'!$C$3/'Gearbox 675R'!$D$3)*'Gearbox 675R'!$E$5*PI()/1000*'Gearbox 675R'!$C$4/'Gearbox 675R'!$D$4</f>
        <v>111.53023519379481</v>
      </c>
      <c r="I8" s="82">
        <f>A8*60*('Gearbox 675R'!$C$11/'Gearbox 675R'!$D$11)*('Gearbox 675R'!$C$3/'Gearbox 675R'!$D$3)*'Gearbox 675R'!$E$5*PI()/1000*'Gearbox 675R'!$C$4/'Gearbox 675R'!$D$4</f>
        <v>140.20943852934204</v>
      </c>
      <c r="J8" s="82">
        <f>A8*60*('Gearbox 675R'!$C$13/'Gearbox 675R'!$D$13)*('Gearbox 675R'!$C$3/'Gearbox 675R'!$D$3)*'Gearbox 675R'!$E$5*PI()/1000*'Gearbox 675R'!$C$4/'Gearbox 675R'!$D$4</f>
        <v>163.57767828423241</v>
      </c>
      <c r="K8" s="82">
        <f>A8*60*('Gearbox 675R'!$C$15/'Gearbox 675R'!$D$15)*('Gearbox 675R'!$C$3/'Gearbox 675R'!$D$3)*'Gearbox 675R'!$E$5*PI()/1000*'Gearbox 675R'!$C$4/'Gearbox 675R'!$D$4</f>
        <v>181.75297587136933</v>
      </c>
      <c r="L8" s="82">
        <f>A8*60*('Gearbox 675R'!$C$17/'Gearbox 675R'!$D$17)*('Gearbox 675R'!$C$3/'Gearbox 675R'!$D$3)*'Gearbox 675R'!$E$5*PI()/1000*'Gearbox 675R'!$C$4/'Gearbox 675R'!$D$4</f>
        <v>198.18064869051227</v>
      </c>
      <c r="M8" s="82">
        <f>A8*60*('Gearbox 675R'!$C$19/'Gearbox 675R'!$D$19)*('Gearbox 675R'!$C$3/'Gearbox 675R'!$D$3)*'Gearbox 675R'!$E$5*PI()/1000*'Gearbox 675R'!$C$4/'Gearbox 675R'!$D$4</f>
        <v>214.695702748055</v>
      </c>
      <c r="O8" s="82">
        <f t="shared" si="27"/>
        <v>3037.2142365248624</v>
      </c>
      <c r="P8" s="82">
        <f t="shared" si="28"/>
        <v>2306.0639956738473</v>
      </c>
      <c r="Q8" s="82">
        <f t="shared" si="29"/>
        <v>1865.1112154203227</v>
      </c>
      <c r="R8" s="82">
        <f t="shared" si="30"/>
        <v>1577.8354396121995</v>
      </c>
      <c r="S8" s="82">
        <f t="shared" si="31"/>
        <v>1345.9711969785892</v>
      </c>
      <c r="T8" s="82">
        <f t="shared" si="32"/>
        <v>1131.679437019302</v>
      </c>
      <c r="V8" s="83">
        <f t="shared" si="33"/>
        <v>0.19843409003321621</v>
      </c>
      <c r="W8" s="83">
        <f t="shared" si="16"/>
        <v>0.20095065404669363</v>
      </c>
      <c r="X8" s="83">
        <f t="shared" si="17"/>
        <v>0.20427444582154586</v>
      </c>
      <c r="Y8" s="83">
        <f t="shared" si="18"/>
        <v>0.20805917129042578</v>
      </c>
      <c r="Z8" s="83">
        <f t="shared" si="19"/>
        <v>0.2128273122955035</v>
      </c>
      <c r="AA8" s="83">
        <f t="shared" si="20"/>
        <v>0.21957188216013254</v>
      </c>
      <c r="AC8" s="83">
        <f t="shared" si="8"/>
        <v>0.18520801369227216</v>
      </c>
      <c r="AD8" s="83">
        <f t="shared" si="9"/>
        <v>0.18859833781703425</v>
      </c>
      <c r="AE8" s="83">
        <f t="shared" si="10"/>
        <v>0.19313429465720286</v>
      </c>
      <c r="AF8" s="83">
        <f t="shared" si="11"/>
        <v>0.19838159054750495</v>
      </c>
      <c r="AG8" s="83">
        <f t="shared" si="12"/>
        <v>0.20512045170282459</v>
      </c>
      <c r="AH8" s="83">
        <f t="shared" si="13"/>
        <v>0.21490514603135069</v>
      </c>
      <c r="AJ8" s="81">
        <f t="shared" si="21"/>
        <v>12.396792802142295</v>
      </c>
      <c r="AK8" s="81">
        <f t="shared" si="22"/>
        <v>9.4125061047912144</v>
      </c>
      <c r="AL8" s="81">
        <f t="shared" si="23"/>
        <v>7.6126988384502967</v>
      </c>
      <c r="AM8" s="81">
        <f t="shared" si="24"/>
        <v>6.4401446514783656</v>
      </c>
      <c r="AN8" s="81">
        <f t="shared" si="25"/>
        <v>5.493759987667711</v>
      </c>
      <c r="AO8" s="81">
        <f t="shared" si="26"/>
        <v>4.6190997429359264</v>
      </c>
    </row>
    <row r="9" spans="1:45" x14ac:dyDescent="0.3">
      <c r="A9" s="81">
        <v>12000</v>
      </c>
      <c r="B9" s="81">
        <v>148</v>
      </c>
      <c r="C9" s="82">
        <f t="shared" si="0"/>
        <v>64.774666666666661</v>
      </c>
      <c r="D9" s="82">
        <f t="shared" si="1"/>
        <v>110.36360000000001</v>
      </c>
      <c r="H9" s="82">
        <f>A9*60*(First/'Gearbox 675R'!$D$9)*('Gearbox 675R'!$C$3/'Gearbox 675R'!$D$3)*'Gearbox 675R'!$E$5*PI()/1000*'Gearbox 675R'!$C$4/'Gearbox 675R'!$D$4</f>
        <v>121.66934748413979</v>
      </c>
      <c r="I9" s="82">
        <f>A9*60*('Gearbox 675R'!$C$11/'Gearbox 675R'!$D$11)*('Gearbox 675R'!$C$3/'Gearbox 675R'!$D$3)*'Gearbox 675R'!$E$5*PI()/1000*'Gearbox 675R'!$C$4/'Gearbox 675R'!$D$4</f>
        <v>152.9557511229186</v>
      </c>
      <c r="J9" s="82">
        <f>A9*60*('Gearbox 675R'!$C$13/'Gearbox 675R'!$D$13)*('Gearbox 675R'!$C$3/'Gearbox 675R'!$D$3)*'Gearbox 675R'!$E$5*PI()/1000*'Gearbox 675R'!$C$4/'Gearbox 675R'!$D$4</f>
        <v>178.44837631007167</v>
      </c>
      <c r="K9" s="82">
        <f>A9*60*('Gearbox 675R'!$C$15/'Gearbox 675R'!$D$15)*('Gearbox 675R'!$C$3/'Gearbox 675R'!$D$3)*'Gearbox 675R'!$E$5*PI()/1000*'Gearbox 675R'!$C$4/'Gearbox 675R'!$D$4</f>
        <v>198.27597367785737</v>
      </c>
      <c r="L9" s="82">
        <f>A9*60*('Gearbox 675R'!$C$17/'Gearbox 675R'!$D$17)*('Gearbox 675R'!$C$3/'Gearbox 675R'!$D$3)*'Gearbox 675R'!$E$5*PI()/1000*'Gearbox 675R'!$C$4/'Gearbox 675R'!$D$4</f>
        <v>216.19707129874067</v>
      </c>
      <c r="M9" s="82">
        <f>A9*60*('Gearbox 675R'!$C$19/'Gearbox 675R'!$D$19)*('Gearbox 675R'!$C$3/'Gearbox 675R'!$D$3)*'Gearbox 675R'!$E$5*PI()/1000*'Gearbox 675R'!$C$4/'Gearbox 675R'!$D$4</f>
        <v>234.21349390696906</v>
      </c>
      <c r="O9" s="82">
        <f t="shared" si="27"/>
        <v>3098.8568870823333</v>
      </c>
      <c r="P9" s="82">
        <f t="shared" si="28"/>
        <v>2334.2074833391939</v>
      </c>
      <c r="Q9" s="82">
        <f t="shared" si="29"/>
        <v>1868.0371260752506</v>
      </c>
      <c r="R9" s="82">
        <f t="shared" si="30"/>
        <v>1561.3151472337004</v>
      </c>
      <c r="S9" s="82">
        <f t="shared" si="31"/>
        <v>1311.6079647366987</v>
      </c>
      <c r="T9" s="82">
        <f t="shared" si="32"/>
        <v>1078.9068293190198</v>
      </c>
      <c r="V9" s="83">
        <f t="shared" si="33"/>
        <v>0.14125774373936104</v>
      </c>
      <c r="W9" s="83">
        <f t="shared" si="16"/>
        <v>0.14088455704763841</v>
      </c>
      <c r="X9" s="83">
        <f t="shared" si="17"/>
        <v>0.14038526592835715</v>
      </c>
      <c r="Y9" s="83">
        <f t="shared" si="18"/>
        <v>0.13980767484215745</v>
      </c>
      <c r="Z9" s="83">
        <f t="shared" si="19"/>
        <v>0.13906590113321801</v>
      </c>
      <c r="AA9" s="83">
        <f t="shared" si="20"/>
        <v>0.13798886024520718</v>
      </c>
      <c r="AC9" s="83">
        <f t="shared" si="8"/>
        <v>0.14746550334262035</v>
      </c>
      <c r="AD9" s="83">
        <f t="shared" si="9"/>
        <v>0.14894368674197425</v>
      </c>
      <c r="AE9" s="83">
        <f t="shared" si="10"/>
        <v>0.15098109890670897</v>
      </c>
      <c r="AF9" s="83">
        <f t="shared" si="11"/>
        <v>0.15342767952366601</v>
      </c>
      <c r="AG9" s="83">
        <f t="shared" si="12"/>
        <v>0.15672008593375059</v>
      </c>
      <c r="AH9" s="83">
        <f t="shared" si="13"/>
        <v>0.16182882040145716</v>
      </c>
      <c r="AJ9" s="81">
        <f t="shared" si="21"/>
        <v>12.648395457478911</v>
      </c>
      <c r="AK9" s="81">
        <f t="shared" si="22"/>
        <v>9.5273774830171174</v>
      </c>
      <c r="AL9" s="81">
        <f t="shared" si="23"/>
        <v>7.6246413309193901</v>
      </c>
      <c r="AM9" s="81">
        <f t="shared" si="24"/>
        <v>6.3727148866681649</v>
      </c>
      <c r="AN9" s="81">
        <f t="shared" si="25"/>
        <v>5.3535018968844845</v>
      </c>
      <c r="AO9" s="81">
        <f t="shared" si="26"/>
        <v>4.4037013441592645</v>
      </c>
    </row>
    <row r="10" spans="1:45" x14ac:dyDescent="0.3">
      <c r="A10" s="81">
        <v>13000</v>
      </c>
      <c r="B10" s="81">
        <v>152</v>
      </c>
      <c r="C10" s="82">
        <f t="shared" si="0"/>
        <v>61.408000000000001</v>
      </c>
      <c r="D10" s="82">
        <f t="shared" si="1"/>
        <v>113.3464</v>
      </c>
      <c r="H10" s="82">
        <f>A10*60*(First/'Gearbox 675R'!$D$9)*('Gearbox 675R'!$C$3/'Gearbox 675R'!$D$3)*'Gearbox 675R'!$E$5*PI()/1000*'Gearbox 675R'!$C$4/'Gearbox 675R'!$D$4</f>
        <v>131.80845977448476</v>
      </c>
      <c r="I10" s="82">
        <f>A10*60*('Gearbox 675R'!$C$11/'Gearbox 675R'!$D$11)*('Gearbox 675R'!$C$3/'Gearbox 675R'!$D$3)*'Gearbox 675R'!$E$5*PI()/1000*'Gearbox 675R'!$C$4/'Gearbox 675R'!$D$4</f>
        <v>165.70206371649513</v>
      </c>
      <c r="J10" s="82">
        <f>A10*60*('Gearbox 675R'!$C$13/'Gearbox 675R'!$D$13)*('Gearbox 675R'!$C$3/'Gearbox 675R'!$D$3)*'Gearbox 675R'!$E$5*PI()/1000*'Gearbox 675R'!$C$4/'Gearbox 675R'!$D$4</f>
        <v>193.31907433591101</v>
      </c>
      <c r="K10" s="82">
        <f>A10*60*('Gearbox 675R'!$C$15/'Gearbox 675R'!$D$15)*('Gearbox 675R'!$C$3/'Gearbox 675R'!$D$3)*'Gearbox 675R'!$E$5*PI()/1000*'Gearbox 675R'!$C$4/'Gearbox 675R'!$D$4</f>
        <v>214.79897148434554</v>
      </c>
      <c r="L10" s="82">
        <f>A10*60*('Gearbox 675R'!$C$17/'Gearbox 675R'!$D$17)*('Gearbox 675R'!$C$3/'Gearbox 675R'!$D$3)*'Gearbox 675R'!$E$5*PI()/1000*'Gearbox 675R'!$C$4/'Gearbox 675R'!$D$4</f>
        <v>234.21349390696906</v>
      </c>
      <c r="M10" s="82">
        <f>A10*60*('Gearbox 675R'!$C$19/'Gearbox 675R'!$D$19)*('Gearbox 675R'!$C$3/'Gearbox 675R'!$D$3)*'Gearbox 675R'!$E$5*PI()/1000*'Gearbox 675R'!$C$4/'Gearbox 675R'!$D$4</f>
        <v>253.73128506588316</v>
      </c>
      <c r="O10" s="82">
        <f t="shared" si="27"/>
        <v>2900.20551254054</v>
      </c>
      <c r="P10" s="82">
        <f t="shared" si="28"/>
        <v>2153.4823456790673</v>
      </c>
      <c r="Q10" s="82">
        <f t="shared" si="29"/>
        <v>1690.0895622101109</v>
      </c>
      <c r="R10" s="82">
        <f t="shared" si="30"/>
        <v>1380.3431963116668</v>
      </c>
      <c r="S10" s="82">
        <f t="shared" si="31"/>
        <v>1124.7542304267681</v>
      </c>
      <c r="T10" s="82">
        <f t="shared" si="32"/>
        <v>883.54308851779831</v>
      </c>
      <c r="V10" s="83">
        <f t="shared" si="33"/>
        <v>0.11503670430966295</v>
      </c>
      <c r="W10" s="83">
        <f t="shared" si="16"/>
        <v>0.11276195535608466</v>
      </c>
      <c r="X10" s="83">
        <f t="shared" si="17"/>
        <v>0.10962661965162188</v>
      </c>
      <c r="Y10" s="83">
        <f t="shared" si="18"/>
        <v>0.10586162222254755</v>
      </c>
      <c r="Z10" s="83">
        <f t="shared" si="19"/>
        <v>0.10079499920447733</v>
      </c>
      <c r="AA10" s="83">
        <f t="shared" si="20"/>
        <v>9.293326270438948E-2</v>
      </c>
      <c r="AC10" s="83">
        <f t="shared" si="8"/>
        <v>0.11424665769347742</v>
      </c>
      <c r="AD10" s="83">
        <f t="shared" si="9"/>
        <v>0.11317454744970214</v>
      </c>
      <c r="AE10" s="83">
        <f t="shared" si="10"/>
        <v>0.11165903057116612</v>
      </c>
      <c r="AF10" s="83">
        <f t="shared" si="11"/>
        <v>0.10977869754520088</v>
      </c>
      <c r="AG10" s="83">
        <f t="shared" si="12"/>
        <v>0.10713801935053899</v>
      </c>
      <c r="AH10" s="83">
        <f t="shared" si="13"/>
        <v>0.10276858677906663</v>
      </c>
      <c r="AJ10" s="81">
        <f t="shared" si="21"/>
        <v>11.837573520573633</v>
      </c>
      <c r="AK10" s="81">
        <f t="shared" si="22"/>
        <v>8.7897238599145595</v>
      </c>
      <c r="AL10" s="81">
        <f t="shared" si="23"/>
        <v>6.8983247437147384</v>
      </c>
      <c r="AM10" s="81">
        <f t="shared" si="24"/>
        <v>5.6340538624965992</v>
      </c>
      <c r="AN10" s="81">
        <f t="shared" si="25"/>
        <v>4.5908335935786457</v>
      </c>
      <c r="AO10" s="81">
        <f t="shared" si="26"/>
        <v>3.6062983204808092</v>
      </c>
    </row>
    <row r="11" spans="1:45" x14ac:dyDescent="0.3">
      <c r="A11" s="81">
        <v>14000</v>
      </c>
      <c r="B11" s="81">
        <v>151</v>
      </c>
      <c r="C11" s="82">
        <f t="shared" si="0"/>
        <v>56.646571428571427</v>
      </c>
      <c r="D11" s="82">
        <f t="shared" si="1"/>
        <v>112.6007</v>
      </c>
      <c r="H11" s="82">
        <f>A11*60*(First/'Gearbox 675R'!$D$9)*('Gearbox 675R'!$C$3/'Gearbox 675R'!$D$3)*'Gearbox 675R'!$E$5*PI()/1000*'Gearbox 675R'!$C$4/'Gearbox 675R'!$D$4</f>
        <v>141.94757206482976</v>
      </c>
      <c r="I11" s="82">
        <f>A11*60*('Gearbox 675R'!$C$11/'Gearbox 675R'!$D$11)*('Gearbox 675R'!$C$3/'Gearbox 675R'!$D$3)*'Gearbox 675R'!$E$5*PI()/1000*'Gearbox 675R'!$C$4/'Gearbox 675R'!$D$4</f>
        <v>178.44837631007167</v>
      </c>
      <c r="J11" s="82">
        <f>A11*60*('Gearbox 675R'!$C$13/'Gearbox 675R'!$D$13)*('Gearbox 675R'!$C$3/'Gearbox 675R'!$D$3)*'Gearbox 675R'!$E$5*PI()/1000*'Gearbox 675R'!$C$4/'Gearbox 675R'!$D$4</f>
        <v>208.18977236175027</v>
      </c>
      <c r="K11" s="82">
        <f>A11*60*('Gearbox 675R'!$C$15/'Gearbox 675R'!$D$15)*('Gearbox 675R'!$C$3/'Gearbox 675R'!$D$3)*'Gearbox 675R'!$E$5*PI()/1000*'Gearbox 675R'!$C$4/'Gearbox 675R'!$D$4</f>
        <v>231.32196929083364</v>
      </c>
      <c r="L11" s="82">
        <f>A11*60*('Gearbox 675R'!$C$17/'Gearbox 675R'!$D$17)*('Gearbox 675R'!$C$3/'Gearbox 675R'!$D$3)*'Gearbox 675R'!$E$5*PI()/1000*'Gearbox 675R'!$C$4/'Gearbox 675R'!$D$4</f>
        <v>252.22991651519749</v>
      </c>
      <c r="M11" s="82">
        <f>A11*60*('Gearbox 675R'!$C$19/'Gearbox 675R'!$D$19)*('Gearbox 675R'!$C$3/'Gearbox 675R'!$D$3)*'Gearbox 675R'!$E$5*PI()/1000*'Gearbox 675R'!$C$4/'Gearbox 675R'!$D$4</f>
        <v>273.24907622479725</v>
      </c>
      <c r="O11" s="82">
        <f t="shared" si="27"/>
        <v>2628.9258691645646</v>
      </c>
      <c r="P11" s="82">
        <f t="shared" si="28"/>
        <v>1913.1681615406903</v>
      </c>
      <c r="Q11" s="82">
        <f t="shared" si="29"/>
        <v>1459.2224485510983</v>
      </c>
      <c r="R11" s="82">
        <f t="shared" si="30"/>
        <v>1150.0781190996759</v>
      </c>
      <c r="S11" s="82">
        <f t="shared" si="31"/>
        <v>891.02275731486134</v>
      </c>
      <c r="T11" s="82">
        <f t="shared" si="32"/>
        <v>643.07691916892554</v>
      </c>
      <c r="V11" s="83">
        <f t="shared" si="33"/>
        <v>3.7967894428731917E-3</v>
      </c>
      <c r="W11" s="83">
        <f t="shared" si="16"/>
        <v>-7.7976154195169593E-3</v>
      </c>
      <c r="X11" s="83">
        <f t="shared" si="17"/>
        <v>-2.4187269718174035E-2</v>
      </c>
      <c r="Y11" s="83">
        <f t="shared" si="18"/>
        <v>-4.4522251596893443E-2</v>
      </c>
      <c r="Z11" s="83">
        <f t="shared" si="19"/>
        <v>-7.3080034975935695E-2</v>
      </c>
      <c r="AA11" s="83">
        <f t="shared" si="20"/>
        <v>-0.12033354322912236</v>
      </c>
      <c r="AC11" s="83">
        <f t="shared" si="8"/>
        <v>4.0442727541051106E-3</v>
      </c>
      <c r="AD11" s="83">
        <f t="shared" si="9"/>
        <v>-8.4574196830766342E-3</v>
      </c>
      <c r="AE11" s="83">
        <f t="shared" si="10"/>
        <v>-2.6928396562150667E-2</v>
      </c>
      <c r="AF11" s="83">
        <f t="shared" si="11"/>
        <v>-5.1251315085973595E-2</v>
      </c>
      <c r="AG11" s="83">
        <f t="shared" si="12"/>
        <v>-8.8338521774711812E-2</v>
      </c>
      <c r="AH11" s="83">
        <f t="shared" si="13"/>
        <v>-0.15860144900716774</v>
      </c>
      <c r="AJ11" s="81">
        <f t="shared" si="21"/>
        <v>10.730309670059448</v>
      </c>
      <c r="AK11" s="81">
        <f t="shared" si="22"/>
        <v>7.8088496389415933</v>
      </c>
      <c r="AL11" s="81">
        <f t="shared" si="23"/>
        <v>5.9560099940861155</v>
      </c>
      <c r="AM11" s="81">
        <f t="shared" si="24"/>
        <v>4.6941964044884728</v>
      </c>
      <c r="AN11" s="81">
        <f t="shared" si="25"/>
        <v>3.636827580876985</v>
      </c>
      <c r="AO11" s="81">
        <f t="shared" si="26"/>
        <v>2.6248037517099001</v>
      </c>
    </row>
    <row r="12" spans="1:45" x14ac:dyDescent="0.3">
      <c r="AK12" s="81">
        <f>AVERAGE(AK2:AL11)</f>
        <v>8.1193695712614016</v>
      </c>
    </row>
    <row r="13" spans="1:45" x14ac:dyDescent="0.3">
      <c r="AO13" s="81">
        <f>AVERAGE(AK9:AN11)</f>
        <v>6.4072546062989053</v>
      </c>
    </row>
    <row r="14" spans="1:45" x14ac:dyDescent="0.3">
      <c r="A14" s="81" t="s">
        <v>12</v>
      </c>
      <c r="B14" s="81" t="s">
        <v>67</v>
      </c>
      <c r="C14" s="81" t="s">
        <v>68</v>
      </c>
      <c r="D14" s="81" t="s">
        <v>69</v>
      </c>
      <c r="H14" s="81" t="s">
        <v>70</v>
      </c>
      <c r="I14" s="81" t="s">
        <v>71</v>
      </c>
      <c r="J14" s="81" t="s">
        <v>72</v>
      </c>
      <c r="K14" s="81" t="s">
        <v>73</v>
      </c>
      <c r="L14" s="81" t="s">
        <v>74</v>
      </c>
      <c r="M14" s="81" t="s">
        <v>75</v>
      </c>
      <c r="O14" s="81" t="s">
        <v>76</v>
      </c>
      <c r="P14" s="81" t="s">
        <v>77</v>
      </c>
      <c r="Q14" s="81" t="s">
        <v>78</v>
      </c>
      <c r="R14" s="81" t="s">
        <v>79</v>
      </c>
      <c r="S14" s="81" t="s">
        <v>80</v>
      </c>
      <c r="T14" s="81" t="s">
        <v>81</v>
      </c>
      <c r="AQ14" s="81">
        <f>SQRT(1300/AK12)</f>
        <v>12.65349568391774</v>
      </c>
      <c r="AS14" s="81">
        <f>AQ28-AQ14</f>
        <v>1.2793072523664346</v>
      </c>
    </row>
    <row r="15" spans="1:45" x14ac:dyDescent="0.3">
      <c r="A15" s="81">
        <v>5000</v>
      </c>
      <c r="B15" s="81">
        <v>35</v>
      </c>
      <c r="C15" s="82">
        <f t="shared" ref="C15:C25" si="34">(B15*5252)/A15</f>
        <v>36.764000000000003</v>
      </c>
      <c r="D15" s="82">
        <f t="shared" ref="D15:D25" si="35">0.7457*B15</f>
        <v>26.099500000000003</v>
      </c>
      <c r="H15" s="82">
        <f>A15*60*(First/'Gearbox 675R'!$L$9)*('Gearbox 675R'!$K$3/'Gearbox 675R'!$L$3)*'Gearbox 675R'!$M$5*PI()/1000*'Gearbox 675R'!$K$4/'Gearbox 675R'!$L$4</f>
        <v>47.31585735494324</v>
      </c>
      <c r="I15" s="82">
        <f>A15*60*('Gearbox 675R'!$K$11/'Gearbox 675R'!$L$11)*('Gearbox 675R'!$K$3/'Gearbox 675R'!$L$3)*'Gearbox 675R'!$M$5*PI()/1000*'Gearbox 675R'!$K$4/'Gearbox 675R'!$L$4</f>
        <v>59.482792103357227</v>
      </c>
      <c r="J15" s="82">
        <f>A15*60*('Gearbox 675R'!$K$13/'Gearbox 675R'!$L$13)*('Gearbox 675R'!$K$3/'Gearbox 675R'!$L$3)*'Gearbox 675R'!$M$5*PI()/1000*'Gearbox 675R'!$K$4/'Gearbox 675R'!$L$4</f>
        <v>69.396590787250105</v>
      </c>
      <c r="K15" s="82">
        <f>A15*60*('Gearbox 675R'!$K$15/'Gearbox 675R'!$L$15)*('Gearbox 675R'!$K$3/'Gearbox 675R'!$L$3)*'Gearbox 675R'!$M$5*PI()/1000*'Gearbox 675R'!$K$4/'Gearbox 675R'!$L$4</f>
        <v>77.10732309694454</v>
      </c>
      <c r="L15" s="82">
        <f>A15*60*('Gearbox 675R'!$K$17/'Gearbox 675R'!$L$17)*('Gearbox 675R'!$K$3/'Gearbox 675R'!$L$3)*'Gearbox 675R'!$M$5*PI()/1000*'Gearbox 675R'!$K$4/'Gearbox 675R'!$L$4</f>
        <v>84.076638838399177</v>
      </c>
      <c r="M15" s="82">
        <f>A15*60*('Gearbox 675R'!$K$19/'Gearbox 675R'!$L$19)*('Gearbox 675R'!$K$3/'Gearbox 675R'!$L$3)*'Gearbox 675R'!$M$5*PI()/1000*'Gearbox 675R'!$K$4/'Gearbox 675R'!$L$4</f>
        <v>91.083025408265726</v>
      </c>
      <c r="O15" s="82">
        <f>($D15*1000)/(H15/3.6)-(0.5*1.167*0.5*0.5*(H15/3.6)^2)</f>
        <v>1960.5662129977634</v>
      </c>
      <c r="P15" s="82">
        <f t="shared" ref="P15:T15" si="36">($D15*1000)/(I15/3.6)-(0.5*1.167*0.5*0.5*(I15/3.6)^2)</f>
        <v>1539.7609868215302</v>
      </c>
      <c r="Q15" s="82">
        <f t="shared" si="36"/>
        <v>1299.7244676027963</v>
      </c>
      <c r="R15" s="82">
        <f t="shared" si="36"/>
        <v>1151.6162336651487</v>
      </c>
      <c r="S15" s="82">
        <f t="shared" si="36"/>
        <v>1037.9645806424828</v>
      </c>
      <c r="T15" s="82">
        <f t="shared" si="36"/>
        <v>938.18719291287096</v>
      </c>
      <c r="AJ15" s="81">
        <f>O15/245</f>
        <v>8.0023110734602589</v>
      </c>
      <c r="AK15" s="81">
        <f t="shared" ref="AK15:AO15" si="37">P15/245</f>
        <v>6.2847387217205313</v>
      </c>
      <c r="AL15" s="81">
        <f t="shared" si="37"/>
        <v>5.3049978269501885</v>
      </c>
      <c r="AM15" s="81">
        <f t="shared" si="37"/>
        <v>4.7004744231230555</v>
      </c>
      <c r="AN15" s="81">
        <f t="shared" si="37"/>
        <v>4.2365901250713582</v>
      </c>
      <c r="AO15" s="81">
        <f t="shared" si="37"/>
        <v>3.8293354812770244</v>
      </c>
      <c r="AQ15" s="81">
        <f>SQRT(472/AO13)</f>
        <v>8.5829188887851373</v>
      </c>
      <c r="AS15" s="81">
        <f>AQ29-AQ15</f>
        <v>2.3721843929587454</v>
      </c>
    </row>
    <row r="16" spans="1:45" x14ac:dyDescent="0.3">
      <c r="A16" s="81">
        <v>6000</v>
      </c>
      <c r="B16" s="81">
        <v>43</v>
      </c>
      <c r="C16" s="82">
        <f t="shared" si="34"/>
        <v>37.639333333333333</v>
      </c>
      <c r="D16" s="82">
        <f t="shared" si="35"/>
        <v>32.065100000000001</v>
      </c>
      <c r="H16" s="82">
        <f>A16*60*(First/'Gearbox 675R'!$L$9)*('Gearbox 675R'!$K$3/'Gearbox 675R'!$L$3)*'Gearbox 675R'!$M$5*PI()/1000*'Gearbox 675R'!$K$4/'Gearbox 675R'!$L$4</f>
        <v>56.779028825931903</v>
      </c>
      <c r="I16" s="82">
        <f>A16*60*('Gearbox 675R'!$K$11/'Gearbox 675R'!$L$11)*('Gearbox 675R'!$K$3/'Gearbox 675R'!$L$3)*'Gearbox 675R'!$M$5*PI()/1000*'Gearbox 675R'!$K$4/'Gearbox 675R'!$L$4</f>
        <v>71.379350524028681</v>
      </c>
      <c r="J16" s="82">
        <f>A16*60*('Gearbox 675R'!$K$13/'Gearbox 675R'!$L$13)*('Gearbox 675R'!$K$3/'Gearbox 675R'!$L$3)*'Gearbox 675R'!$M$5*PI()/1000*'Gearbox 675R'!$K$4/'Gearbox 675R'!$L$4</f>
        <v>83.275908944700106</v>
      </c>
      <c r="K16" s="82">
        <f>A16*60*('Gearbox 675R'!$K$15/'Gearbox 675R'!$L$15)*('Gearbox 675R'!$K$3/'Gearbox 675R'!$L$3)*'Gearbox 675R'!$M$5*PI()/1000*'Gearbox 675R'!$K$4/'Gearbox 675R'!$L$4</f>
        <v>92.52878771633344</v>
      </c>
      <c r="L16" s="82">
        <f>A16*60*('Gearbox 675R'!$K$17/'Gearbox 675R'!$L$17)*('Gearbox 675R'!$K$3/'Gearbox 675R'!$L$3)*'Gearbox 675R'!$M$5*PI()/1000*'Gearbox 675R'!$K$4/'Gearbox 675R'!$L$4</f>
        <v>100.89196660607898</v>
      </c>
      <c r="M16" s="82">
        <f>A16*60*('Gearbox 675R'!$K$19/'Gearbox 675R'!$L$19)*('Gearbox 675R'!$K$3/'Gearbox 675R'!$L$3)*'Gearbox 675R'!$M$5*PI()/1000*'Gearbox 675R'!$K$4/'Gearbox 675R'!$L$4</f>
        <v>109.2996304899189</v>
      </c>
      <c r="O16" s="82">
        <f t="shared" ref="O16:O25" si="38">($D16*1000)/(H16/3.6)-(0.5*1.167*0.5*0.5*(H16/3.6)^2)</f>
        <v>1996.7586324982283</v>
      </c>
      <c r="P16" s="82">
        <f t="shared" ref="P16:P25" si="39">($D16*1000)/(I16/3.6)-(0.5*1.167*0.5*0.5*(I16/3.6)^2)</f>
        <v>1559.8470710764291</v>
      </c>
      <c r="Q16" s="82">
        <f t="shared" ref="Q16:Q25" si="40">($D16*1000)/(J16/3.6)-(0.5*1.167*0.5*0.5*(J16/3.6)^2)</f>
        <v>1308.1100191081064</v>
      </c>
      <c r="R16" s="82">
        <f t="shared" ref="R16:R25" si="41">($D16*1000)/(K16/3.6)-(0.5*1.167*0.5*0.5*(K16/3.6)^2)</f>
        <v>1151.1834836618859</v>
      </c>
      <c r="S16" s="82">
        <f t="shared" ref="S16:S25" si="42">($D16*1000)/(L16/3.6)-(0.5*1.167*0.5*0.5*(L16/3.6)^2)</f>
        <v>1029.5634859588922</v>
      </c>
      <c r="T16" s="82">
        <f t="shared" ref="T16:T25" si="43">($D16*1000)/(M16/3.6)-(0.5*1.167*0.5*0.5*(M16/3.6)^2)</f>
        <v>921.66139456411815</v>
      </c>
      <c r="AJ16" s="81">
        <f t="shared" ref="AJ16:AJ25" si="44">O16/245</f>
        <v>8.150035234686646</v>
      </c>
      <c r="AK16" s="81">
        <f t="shared" ref="AK16:AK25" si="45">P16/245</f>
        <v>6.3667227390874652</v>
      </c>
      <c r="AL16" s="81">
        <f t="shared" ref="AL16:AL25" si="46">Q16/245</f>
        <v>5.3392245677881895</v>
      </c>
      <c r="AM16" s="81">
        <f t="shared" ref="AM16:AM25" si="47">R16/245</f>
        <v>4.6987080965791259</v>
      </c>
      <c r="AN16" s="81">
        <f t="shared" ref="AN16:AN25" si="48">S16/245</f>
        <v>4.2022999426893559</v>
      </c>
      <c r="AO16" s="81">
        <f t="shared" ref="AO16:AO25" si="49">T16/245</f>
        <v>3.7618832431188496</v>
      </c>
      <c r="AS16" s="81">
        <f>SUM(AS14:AS15)</f>
        <v>3.65149164532518</v>
      </c>
    </row>
    <row r="17" spans="1:43" x14ac:dyDescent="0.3">
      <c r="A17" s="81">
        <v>7000</v>
      </c>
      <c r="B17" s="81">
        <v>56</v>
      </c>
      <c r="C17" s="82">
        <f t="shared" si="34"/>
        <v>42.015999999999998</v>
      </c>
      <c r="D17" s="82">
        <f t="shared" si="35"/>
        <v>41.7592</v>
      </c>
      <c r="H17" s="82">
        <f>A17*60*(First/'Gearbox 675R'!$L$9)*('Gearbox 675R'!$K$3/'Gearbox 675R'!$L$3)*'Gearbox 675R'!$M$5*PI()/1000*'Gearbox 675R'!$K$4/'Gearbox 675R'!$L$4</f>
        <v>66.242200296920544</v>
      </c>
      <c r="I17" s="82">
        <f>A17*60*('Gearbox 675R'!$K$11/'Gearbox 675R'!$L$11)*('Gearbox 675R'!$K$3/'Gearbox 675R'!$L$3)*'Gearbox 675R'!$M$5*PI()/1000*'Gearbox 675R'!$K$4/'Gearbox 675R'!$L$4</f>
        <v>83.275908944700106</v>
      </c>
      <c r="J17" s="82">
        <f>A17*60*('Gearbox 675R'!$K$13/'Gearbox 675R'!$L$13)*('Gearbox 675R'!$K$3/'Gearbox 675R'!$L$3)*'Gearbox 675R'!$M$5*PI()/1000*'Gearbox 675R'!$K$4/'Gearbox 675R'!$L$4</f>
        <v>97.155227102150135</v>
      </c>
      <c r="K17" s="82">
        <f>A17*60*('Gearbox 675R'!$K$15/'Gearbox 675R'!$L$15)*('Gearbox 675R'!$K$3/'Gearbox 675R'!$L$3)*'Gearbox 675R'!$M$5*PI()/1000*'Gearbox 675R'!$K$4/'Gearbox 675R'!$L$4</f>
        <v>107.95025233572237</v>
      </c>
      <c r="L17" s="82">
        <f>A17*60*('Gearbox 675R'!$K$17/'Gearbox 675R'!$L$17)*('Gearbox 675R'!$K$3/'Gearbox 675R'!$L$3)*'Gearbox 675R'!$M$5*PI()/1000*'Gearbox 675R'!$K$4/'Gearbox 675R'!$L$4</f>
        <v>117.70729437375883</v>
      </c>
      <c r="M17" s="82">
        <f>A17*60*('Gearbox 675R'!$K$19/'Gearbox 675R'!$L$19)*('Gearbox 675R'!$K$3/'Gearbox 675R'!$L$3)*'Gearbox 675R'!$M$5*PI()/1000*'Gearbox 675R'!$K$4/'Gearbox 675R'!$L$4</f>
        <v>127.51623557157205</v>
      </c>
      <c r="O17" s="82">
        <f t="shared" si="38"/>
        <v>2220.0556337696294</v>
      </c>
      <c r="P17" s="82">
        <f t="shared" si="39"/>
        <v>1727.183919858619</v>
      </c>
      <c r="Q17" s="82">
        <f t="shared" si="40"/>
        <v>1441.1048585201268</v>
      </c>
      <c r="R17" s="82">
        <f t="shared" si="41"/>
        <v>1261.4482298004725</v>
      </c>
      <c r="S17" s="82">
        <f t="shared" si="42"/>
        <v>1121.2285924238627</v>
      </c>
      <c r="T17" s="82">
        <f t="shared" si="43"/>
        <v>995.90968059962313</v>
      </c>
      <c r="AJ17" s="81">
        <f t="shared" si="44"/>
        <v>9.0614515664066513</v>
      </c>
      <c r="AK17" s="81">
        <f t="shared" si="45"/>
        <v>7.0497302851372208</v>
      </c>
      <c r="AL17" s="81">
        <f t="shared" si="46"/>
        <v>5.8820606470209258</v>
      </c>
      <c r="AM17" s="81">
        <f t="shared" si="47"/>
        <v>5.1487682848998881</v>
      </c>
      <c r="AN17" s="81">
        <f t="shared" si="48"/>
        <v>4.5764432343831132</v>
      </c>
      <c r="AO17" s="81">
        <f t="shared" si="49"/>
        <v>4.0649374718351963</v>
      </c>
    </row>
    <row r="18" spans="1:43" x14ac:dyDescent="0.3">
      <c r="A18" s="81">
        <v>8000</v>
      </c>
      <c r="B18" s="81">
        <v>65</v>
      </c>
      <c r="C18" s="82">
        <f t="shared" si="34"/>
        <v>42.672499999999999</v>
      </c>
      <c r="D18" s="82">
        <f t="shared" si="35"/>
        <v>48.470500000000001</v>
      </c>
      <c r="H18" s="82">
        <f>A18*60*(First/'Gearbox 675R'!$L$9)*('Gearbox 675R'!$K$3/'Gearbox 675R'!$L$3)*'Gearbox 675R'!$M$5*PI()/1000*'Gearbox 675R'!$K$4/'Gearbox 675R'!$L$4</f>
        <v>75.705371767909199</v>
      </c>
      <c r="I18" s="82">
        <f>A18*60*('Gearbox 675R'!$K$11/'Gearbox 675R'!$L$11)*('Gearbox 675R'!$K$3/'Gearbox 675R'!$L$3)*'Gearbox 675R'!$M$5*PI()/1000*'Gearbox 675R'!$K$4/'Gearbox 675R'!$L$4</f>
        <v>95.172467365371546</v>
      </c>
      <c r="J18" s="82">
        <f>A18*60*('Gearbox 675R'!$K$13/'Gearbox 675R'!$L$13)*('Gearbox 675R'!$K$3/'Gearbox 675R'!$L$3)*'Gearbox 675R'!$M$5*PI()/1000*'Gearbox 675R'!$K$4/'Gearbox 675R'!$L$4</f>
        <v>111.03454525960015</v>
      </c>
      <c r="K18" s="82">
        <f>A18*60*('Gearbox 675R'!$K$15/'Gearbox 675R'!$L$15)*('Gearbox 675R'!$K$3/'Gearbox 675R'!$L$3)*'Gearbox 675R'!$M$5*PI()/1000*'Gearbox 675R'!$K$4/'Gearbox 675R'!$L$4</f>
        <v>123.3717169551113</v>
      </c>
      <c r="L18" s="82">
        <f>A18*60*('Gearbox 675R'!$K$17/'Gearbox 675R'!$L$17)*('Gearbox 675R'!$K$3/'Gearbox 675R'!$L$3)*'Gearbox 675R'!$M$5*PI()/1000*'Gearbox 675R'!$K$4/'Gearbox 675R'!$L$4</f>
        <v>134.52262214143869</v>
      </c>
      <c r="M18" s="82">
        <f>A18*60*('Gearbox 675R'!$K$19/'Gearbox 675R'!$L$19)*('Gearbox 675R'!$K$3/'Gearbox 675R'!$L$3)*'Gearbox 675R'!$M$5*PI()/1000*'Gearbox 675R'!$K$4/'Gearbox 675R'!$L$4</f>
        <v>145.7328406532252</v>
      </c>
      <c r="O18" s="82">
        <f t="shared" si="38"/>
        <v>2240.3961245749488</v>
      </c>
      <c r="P18" s="82">
        <f t="shared" si="39"/>
        <v>1731.4956643432004</v>
      </c>
      <c r="Q18" s="82">
        <f t="shared" si="40"/>
        <v>1432.7582411318015</v>
      </c>
      <c r="R18" s="82">
        <f t="shared" si="41"/>
        <v>1243.0548018445588</v>
      </c>
      <c r="S18" s="82">
        <f t="shared" si="42"/>
        <v>1093.4449996442706</v>
      </c>
      <c r="T18" s="82">
        <f t="shared" si="43"/>
        <v>958.30291219496235</v>
      </c>
      <c r="AJ18" s="81">
        <f t="shared" si="44"/>
        <v>9.1444739778569346</v>
      </c>
      <c r="AK18" s="81">
        <f t="shared" si="45"/>
        <v>7.0673292422171441</v>
      </c>
      <c r="AL18" s="81">
        <f t="shared" si="46"/>
        <v>5.8479928209461285</v>
      </c>
      <c r="AM18" s="81">
        <f t="shared" si="47"/>
        <v>5.0736930687533013</v>
      </c>
      <c r="AN18" s="81">
        <f t="shared" si="48"/>
        <v>4.4630408148745744</v>
      </c>
      <c r="AO18" s="81">
        <f t="shared" si="49"/>
        <v>3.9114404579386219</v>
      </c>
    </row>
    <row r="19" spans="1:43" x14ac:dyDescent="0.3">
      <c r="A19" s="81">
        <v>9000</v>
      </c>
      <c r="B19" s="81">
        <v>80</v>
      </c>
      <c r="C19" s="82">
        <f t="shared" si="34"/>
        <v>46.684444444444445</v>
      </c>
      <c r="D19" s="82">
        <f t="shared" si="35"/>
        <v>59.656000000000006</v>
      </c>
      <c r="H19" s="82">
        <f>A19*60*(First/'Gearbox 675R'!$L$9)*('Gearbox 675R'!$K$3/'Gearbox 675R'!$L$3)*'Gearbox 675R'!$M$5*PI()/1000*'Gearbox 675R'!$K$4/'Gearbox 675R'!$L$4</f>
        <v>85.168543238897854</v>
      </c>
      <c r="I19" s="82">
        <f>A19*60*('Gearbox 675R'!$K$11/'Gearbox 675R'!$L$11)*('Gearbox 675R'!$K$3/'Gearbox 675R'!$L$3)*'Gearbox 675R'!$M$5*PI()/1000*'Gearbox 675R'!$K$4/'Gearbox 675R'!$L$4</f>
        <v>107.06902578604303</v>
      </c>
      <c r="J19" s="82">
        <f>A19*60*('Gearbox 675R'!$K$13/'Gearbox 675R'!$L$13)*('Gearbox 675R'!$K$3/'Gearbox 675R'!$L$3)*'Gearbox 675R'!$M$5*PI()/1000*'Gearbox 675R'!$K$4/'Gearbox 675R'!$L$4</f>
        <v>124.91386341705018</v>
      </c>
      <c r="K19" s="82">
        <f>A19*60*('Gearbox 675R'!$K$15/'Gearbox 675R'!$L$15)*('Gearbox 675R'!$K$3/'Gearbox 675R'!$L$3)*'Gearbox 675R'!$M$5*PI()/1000*'Gearbox 675R'!$K$4/'Gearbox 675R'!$L$4</f>
        <v>138.79318157450021</v>
      </c>
      <c r="L19" s="82">
        <f>A19*60*('Gearbox 675R'!$K$17/'Gearbox 675R'!$L$17)*('Gearbox 675R'!$K$3/'Gearbox 675R'!$L$3)*'Gearbox 675R'!$M$5*PI()/1000*'Gearbox 675R'!$K$4/'Gearbox 675R'!$L$4</f>
        <v>151.33794990911852</v>
      </c>
      <c r="M19" s="82">
        <f>A19*60*('Gearbox 675R'!$K$19/'Gearbox 675R'!$L$19)*('Gearbox 675R'!$K$3/'Gearbox 675R'!$L$3)*'Gearbox 675R'!$M$5*PI()/1000*'Gearbox 675R'!$K$4/'Gearbox 675R'!$L$4</f>
        <v>163.94944573487831</v>
      </c>
      <c r="O19" s="82">
        <f t="shared" si="38"/>
        <v>2439.9611750858094</v>
      </c>
      <c r="P19" s="82">
        <f t="shared" si="39"/>
        <v>1876.7899739848713</v>
      </c>
      <c r="Q19" s="82">
        <f t="shared" si="40"/>
        <v>1543.6481693328722</v>
      </c>
      <c r="R19" s="82">
        <f t="shared" si="41"/>
        <v>1330.5234019449124</v>
      </c>
      <c r="S19" s="82">
        <f t="shared" si="42"/>
        <v>1161.2929635608548</v>
      </c>
      <c r="T19" s="82">
        <f t="shared" si="43"/>
        <v>1007.3767102185107</v>
      </c>
      <c r="AJ19" s="81">
        <f t="shared" si="44"/>
        <v>9.9590252044318746</v>
      </c>
      <c r="AK19" s="81">
        <f t="shared" si="45"/>
        <v>7.6603672407545762</v>
      </c>
      <c r="AL19" s="81">
        <f t="shared" si="46"/>
        <v>6.3006047727872332</v>
      </c>
      <c r="AM19" s="81">
        <f t="shared" si="47"/>
        <v>5.4307077630404583</v>
      </c>
      <c r="AN19" s="81">
        <f t="shared" si="48"/>
        <v>4.7399712798402236</v>
      </c>
      <c r="AO19" s="81">
        <f t="shared" si="49"/>
        <v>4.1117416743612676</v>
      </c>
    </row>
    <row r="20" spans="1:43" x14ac:dyDescent="0.3">
      <c r="A20" s="81">
        <v>10000</v>
      </c>
      <c r="B20" s="81">
        <v>92</v>
      </c>
      <c r="C20" s="82">
        <f t="shared" si="34"/>
        <v>48.318399999999997</v>
      </c>
      <c r="D20" s="82">
        <f t="shared" si="35"/>
        <v>68.604399999999998</v>
      </c>
      <c r="H20" s="82">
        <f>A20*60*(First/'Gearbox 675R'!$L$9)*('Gearbox 675R'!$K$3/'Gearbox 675R'!$L$3)*'Gearbox 675R'!$M$5*PI()/1000*'Gearbox 675R'!$K$4/'Gearbox 675R'!$L$4</f>
        <v>94.631714709886481</v>
      </c>
      <c r="I20" s="82">
        <f>A20*60*('Gearbox 675R'!$K$11/'Gearbox 675R'!$L$11)*('Gearbox 675R'!$K$3/'Gearbox 675R'!$L$3)*'Gearbox 675R'!$M$5*PI()/1000*'Gearbox 675R'!$K$4/'Gearbox 675R'!$L$4</f>
        <v>118.96558420671445</v>
      </c>
      <c r="J20" s="82">
        <f>A20*60*('Gearbox 675R'!$K$13/'Gearbox 675R'!$L$13)*('Gearbox 675R'!$K$3/'Gearbox 675R'!$L$3)*'Gearbox 675R'!$M$5*PI()/1000*'Gearbox 675R'!$K$4/'Gearbox 675R'!$L$4</f>
        <v>138.79318157450021</v>
      </c>
      <c r="K20" s="82">
        <f>A20*60*('Gearbox 675R'!$K$15/'Gearbox 675R'!$L$15)*('Gearbox 675R'!$K$3/'Gearbox 675R'!$L$3)*'Gearbox 675R'!$M$5*PI()/1000*'Gearbox 675R'!$K$4/'Gearbox 675R'!$L$4</f>
        <v>154.21464619388908</v>
      </c>
      <c r="L20" s="82">
        <f>A20*60*('Gearbox 675R'!$K$17/'Gearbox 675R'!$L$17)*('Gearbox 675R'!$K$3/'Gearbox 675R'!$L$3)*'Gearbox 675R'!$M$5*PI()/1000*'Gearbox 675R'!$K$4/'Gearbox 675R'!$L$4</f>
        <v>168.15327767679835</v>
      </c>
      <c r="M20" s="82">
        <f>A20*60*('Gearbox 675R'!$K$19/'Gearbox 675R'!$L$19)*('Gearbox 675R'!$K$3/'Gearbox 675R'!$L$3)*'Gearbox 675R'!$M$5*PI()/1000*'Gearbox 675R'!$K$4/'Gearbox 675R'!$L$4</f>
        <v>182.16605081653145</v>
      </c>
      <c r="O20" s="82">
        <f t="shared" si="38"/>
        <v>2509.0659181322167</v>
      </c>
      <c r="P20" s="82">
        <f t="shared" si="39"/>
        <v>1916.7266135347738</v>
      </c>
      <c r="Q20" s="82">
        <f t="shared" si="40"/>
        <v>1562.6258700528883</v>
      </c>
      <c r="R20" s="82">
        <f t="shared" si="41"/>
        <v>1333.8201343381274</v>
      </c>
      <c r="S20" s="82">
        <f t="shared" si="42"/>
        <v>1150.4909571948292</v>
      </c>
      <c r="T20" s="82">
        <f t="shared" si="43"/>
        <v>982.25581899754241</v>
      </c>
      <c r="AJ20" s="81">
        <f t="shared" si="44"/>
        <v>10.241085380131496</v>
      </c>
      <c r="AK20" s="81">
        <f t="shared" si="45"/>
        <v>7.8233739327949952</v>
      </c>
      <c r="AL20" s="81">
        <f t="shared" si="46"/>
        <v>6.3780647757260747</v>
      </c>
      <c r="AM20" s="81">
        <f t="shared" si="47"/>
        <v>5.4441638136250097</v>
      </c>
      <c r="AN20" s="81">
        <f t="shared" si="48"/>
        <v>4.6958814579380785</v>
      </c>
      <c r="AO20" s="81">
        <f t="shared" si="49"/>
        <v>4.0092074244797651</v>
      </c>
    </row>
    <row r="21" spans="1:43" x14ac:dyDescent="0.3">
      <c r="A21" s="81">
        <v>11000</v>
      </c>
      <c r="B21" s="81">
        <v>103</v>
      </c>
      <c r="C21" s="82">
        <f t="shared" si="34"/>
        <v>49.177818181818182</v>
      </c>
      <c r="D21" s="82">
        <f t="shared" si="35"/>
        <v>76.807100000000005</v>
      </c>
      <c r="H21" s="82">
        <f>A21*60*(First/'Gearbox 675R'!$L$9)*('Gearbox 675R'!$K$3/'Gearbox 675R'!$L$3)*'Gearbox 675R'!$M$5*PI()/1000*'Gearbox 675R'!$K$4/'Gearbox 675R'!$L$4</f>
        <v>104.09488618087515</v>
      </c>
      <c r="I21" s="82">
        <f>A21*60*('Gearbox 675R'!$K$11/'Gearbox 675R'!$L$11)*('Gearbox 675R'!$K$3/'Gearbox 675R'!$L$3)*'Gearbox 675R'!$M$5*PI()/1000*'Gearbox 675R'!$K$4/'Gearbox 675R'!$L$4</f>
        <v>130.86214262738591</v>
      </c>
      <c r="J21" s="82">
        <f>A21*60*('Gearbox 675R'!$K$13/'Gearbox 675R'!$L$13)*('Gearbox 675R'!$K$3/'Gearbox 675R'!$L$3)*'Gearbox 675R'!$M$5*PI()/1000*'Gearbox 675R'!$K$4/'Gearbox 675R'!$L$4</f>
        <v>152.67249973195024</v>
      </c>
      <c r="K21" s="82">
        <f>A21*60*('Gearbox 675R'!$K$15/'Gearbox 675R'!$L$15)*('Gearbox 675R'!$K$3/'Gearbox 675R'!$L$3)*'Gearbox 675R'!$M$5*PI()/1000*'Gearbox 675R'!$K$4/'Gearbox 675R'!$L$4</f>
        <v>169.63611081327804</v>
      </c>
      <c r="L21" s="82">
        <f>A21*60*('Gearbox 675R'!$K$17/'Gearbox 675R'!$L$17)*('Gearbox 675R'!$K$3/'Gearbox 675R'!$L$3)*'Gearbox 675R'!$M$5*PI()/1000*'Gearbox 675R'!$K$4/'Gearbox 675R'!$L$4</f>
        <v>184.96860544447813</v>
      </c>
      <c r="M21" s="82">
        <f>A21*60*('Gearbox 675R'!$K$19/'Gearbox 675R'!$L$19)*('Gearbox 675R'!$K$3/'Gearbox 675R'!$L$3)*'Gearbox 675R'!$M$5*PI()/1000*'Gearbox 675R'!$K$4/'Gearbox 675R'!$L$4</f>
        <v>200.38265589818468</v>
      </c>
      <c r="O21" s="82">
        <f t="shared" si="38"/>
        <v>2534.3189598692757</v>
      </c>
      <c r="P21" s="82">
        <f t="shared" si="39"/>
        <v>1920.1987924344694</v>
      </c>
      <c r="Q21" s="82">
        <f t="shared" si="40"/>
        <v>1548.7426656703319</v>
      </c>
      <c r="R21" s="82">
        <f t="shared" si="41"/>
        <v>1306.0911891648368</v>
      </c>
      <c r="S21" s="82">
        <f t="shared" si="42"/>
        <v>1109.7797545728797</v>
      </c>
      <c r="T21" s="82">
        <f t="shared" si="43"/>
        <v>927.93172224899649</v>
      </c>
      <c r="AJ21" s="81">
        <f t="shared" si="44"/>
        <v>10.344159019874594</v>
      </c>
      <c r="AK21" s="81">
        <f t="shared" si="45"/>
        <v>7.837546091569263</v>
      </c>
      <c r="AL21" s="81">
        <f t="shared" si="46"/>
        <v>6.3213986353891096</v>
      </c>
      <c r="AM21" s="81">
        <f t="shared" si="47"/>
        <v>5.3309844455707625</v>
      </c>
      <c r="AN21" s="81">
        <f t="shared" si="48"/>
        <v>4.5297132839709375</v>
      </c>
      <c r="AO21" s="81">
        <f t="shared" si="49"/>
        <v>3.7874764173428428</v>
      </c>
    </row>
    <row r="22" spans="1:43" x14ac:dyDescent="0.3">
      <c r="A22" s="81">
        <v>12000</v>
      </c>
      <c r="B22" s="81">
        <v>121</v>
      </c>
      <c r="C22" s="82">
        <f t="shared" si="34"/>
        <v>52.957666666666668</v>
      </c>
      <c r="D22" s="82">
        <f t="shared" si="35"/>
        <v>90.229700000000008</v>
      </c>
      <c r="H22" s="82">
        <f>A22*60*(First/'Gearbox 675R'!$L$9)*('Gearbox 675R'!$K$3/'Gearbox 675R'!$L$3)*'Gearbox 675R'!$M$5*PI()/1000*'Gearbox 675R'!$K$4/'Gearbox 675R'!$L$4</f>
        <v>113.55805765186381</v>
      </c>
      <c r="I22" s="82">
        <f>A22*60*('Gearbox 675R'!$K$11/'Gearbox 675R'!$L$11)*('Gearbox 675R'!$K$3/'Gearbox 675R'!$L$3)*'Gearbox 675R'!$M$5*PI()/1000*'Gearbox 675R'!$K$4/'Gearbox 675R'!$L$4</f>
        <v>142.75870104805736</v>
      </c>
      <c r="J22" s="82">
        <f>A22*60*('Gearbox 675R'!$K$13/'Gearbox 675R'!$L$13)*('Gearbox 675R'!$K$3/'Gearbox 675R'!$L$3)*'Gearbox 675R'!$M$5*PI()/1000*'Gearbox 675R'!$K$4/'Gearbox 675R'!$L$4</f>
        <v>166.55181788940021</v>
      </c>
      <c r="K22" s="82">
        <f>A22*60*('Gearbox 675R'!$K$15/'Gearbox 675R'!$L$15)*('Gearbox 675R'!$K$3/'Gearbox 675R'!$L$3)*'Gearbox 675R'!$M$5*PI()/1000*'Gearbox 675R'!$K$4/'Gearbox 675R'!$L$4</f>
        <v>185.05757543266688</v>
      </c>
      <c r="L22" s="82">
        <f>A22*60*('Gearbox 675R'!$K$17/'Gearbox 675R'!$L$17)*('Gearbox 675R'!$K$3/'Gearbox 675R'!$L$3)*'Gearbox 675R'!$M$5*PI()/1000*'Gearbox 675R'!$K$4/'Gearbox 675R'!$L$4</f>
        <v>201.78393321215796</v>
      </c>
      <c r="M22" s="82">
        <f>A22*60*('Gearbox 675R'!$K$19/'Gearbox 675R'!$L$19)*('Gearbox 675R'!$K$3/'Gearbox 675R'!$L$3)*'Gearbox 675R'!$M$5*PI()/1000*'Gearbox 675R'!$K$4/'Gearbox 675R'!$L$4</f>
        <v>218.59926097983779</v>
      </c>
      <c r="O22" s="82">
        <f t="shared" si="38"/>
        <v>2715.2997682441542</v>
      </c>
      <c r="P22" s="82">
        <f t="shared" si="39"/>
        <v>2045.9629056419312</v>
      </c>
      <c r="Q22" s="82">
        <f t="shared" si="40"/>
        <v>1638.0754661491803</v>
      </c>
      <c r="R22" s="82">
        <f t="shared" si="41"/>
        <v>1369.8057853926225</v>
      </c>
      <c r="S22" s="82">
        <f t="shared" si="42"/>
        <v>1151.4768051890803</v>
      </c>
      <c r="T22" s="82">
        <f t="shared" si="43"/>
        <v>948.0820656597142</v>
      </c>
      <c r="AJ22" s="81">
        <f t="shared" si="44"/>
        <v>11.082856196914914</v>
      </c>
      <c r="AK22" s="81">
        <f t="shared" si="45"/>
        <v>8.3508690026201275</v>
      </c>
      <c r="AL22" s="81">
        <f t="shared" si="46"/>
        <v>6.686022310812981</v>
      </c>
      <c r="AM22" s="81">
        <f t="shared" si="47"/>
        <v>5.5910440220107045</v>
      </c>
      <c r="AN22" s="81">
        <f t="shared" si="48"/>
        <v>4.6999053273023685</v>
      </c>
      <c r="AO22" s="81">
        <f t="shared" si="49"/>
        <v>3.8697227169784254</v>
      </c>
    </row>
    <row r="23" spans="1:43" x14ac:dyDescent="0.3">
      <c r="A23" s="81">
        <v>13000</v>
      </c>
      <c r="B23" s="81">
        <v>127</v>
      </c>
      <c r="C23" s="82">
        <f t="shared" si="34"/>
        <v>51.308</v>
      </c>
      <c r="D23" s="82">
        <f t="shared" si="35"/>
        <v>94.703900000000004</v>
      </c>
      <c r="H23" s="82">
        <f>A23*60*(First/'Gearbox 675R'!$L$9)*('Gearbox 675R'!$K$3/'Gearbox 675R'!$L$3)*'Gearbox 675R'!$M$5*PI()/1000*'Gearbox 675R'!$K$4/'Gearbox 675R'!$L$4</f>
        <v>123.02122912285243</v>
      </c>
      <c r="I23" s="82">
        <f>A23*60*('Gearbox 675R'!$K$11/'Gearbox 675R'!$L$11)*('Gearbox 675R'!$K$3/'Gearbox 675R'!$L$3)*'Gearbox 675R'!$M$5*PI()/1000*'Gearbox 675R'!$K$4/'Gearbox 675R'!$L$4</f>
        <v>154.65525946872879</v>
      </c>
      <c r="J23" s="82">
        <f>A23*60*('Gearbox 675R'!$K$13/'Gearbox 675R'!$L$13)*('Gearbox 675R'!$K$3/'Gearbox 675R'!$L$3)*'Gearbox 675R'!$M$5*PI()/1000*'Gearbox 675R'!$K$4/'Gearbox 675R'!$L$4</f>
        <v>180.43113604685027</v>
      </c>
      <c r="K23" s="82">
        <f>A23*60*('Gearbox 675R'!$K$15/'Gearbox 675R'!$L$15)*('Gearbox 675R'!$K$3/'Gearbox 675R'!$L$3)*'Gearbox 675R'!$M$5*PI()/1000*'Gearbox 675R'!$K$4/'Gearbox 675R'!$L$4</f>
        <v>200.47904005205584</v>
      </c>
      <c r="L23" s="82">
        <f>A23*60*('Gearbox 675R'!$K$17/'Gearbox 675R'!$L$17)*('Gearbox 675R'!$K$3/'Gearbox 675R'!$L$3)*'Gearbox 675R'!$M$5*PI()/1000*'Gearbox 675R'!$K$4/'Gearbox 675R'!$L$4</f>
        <v>218.59926097983779</v>
      </c>
      <c r="M23" s="82">
        <f>A23*60*('Gearbox 675R'!$K$19/'Gearbox 675R'!$L$19)*('Gearbox 675R'!$K$3/'Gearbox 675R'!$L$3)*'Gearbox 675R'!$M$5*PI()/1000*'Gearbox 675R'!$K$4/'Gearbox 675R'!$L$4</f>
        <v>236.81586606149096</v>
      </c>
      <c r="O23" s="82">
        <f t="shared" si="38"/>
        <v>2600.9955558692604</v>
      </c>
      <c r="P23" s="82">
        <f t="shared" si="39"/>
        <v>1935.258781371575</v>
      </c>
      <c r="Q23" s="82">
        <f t="shared" si="40"/>
        <v>1523.1155528160734</v>
      </c>
      <c r="R23" s="82">
        <f t="shared" si="41"/>
        <v>1248.2060762154576</v>
      </c>
      <c r="S23" s="82">
        <f t="shared" si="42"/>
        <v>1021.7653888685956</v>
      </c>
      <c r="T23" s="82">
        <f t="shared" si="43"/>
        <v>808.41449214523004</v>
      </c>
      <c r="AJ23" s="81">
        <f t="shared" si="44"/>
        <v>10.616308391303104</v>
      </c>
      <c r="AK23" s="81">
        <f t="shared" si="45"/>
        <v>7.8990154341696934</v>
      </c>
      <c r="AL23" s="81">
        <f t="shared" si="46"/>
        <v>6.2167981747594832</v>
      </c>
      <c r="AM23" s="81">
        <f t="shared" si="47"/>
        <v>5.0947186784304392</v>
      </c>
      <c r="AN23" s="81">
        <f t="shared" si="48"/>
        <v>4.1704709749738598</v>
      </c>
      <c r="AO23" s="81">
        <f t="shared" si="49"/>
        <v>3.2996509883478775</v>
      </c>
    </row>
    <row r="24" spans="1:43" x14ac:dyDescent="0.3">
      <c r="A24" s="81">
        <v>14000</v>
      </c>
      <c r="B24" s="81">
        <v>139</v>
      </c>
      <c r="C24" s="82">
        <f t="shared" si="34"/>
        <v>52.144857142857141</v>
      </c>
      <c r="D24" s="82">
        <f t="shared" si="35"/>
        <v>103.65230000000001</v>
      </c>
      <c r="H24" s="82">
        <f>A24*60*(First/'Gearbox 675R'!$L$9)*('Gearbox 675R'!$K$3/'Gearbox 675R'!$L$3)*'Gearbox 675R'!$M$5*PI()/1000*'Gearbox 675R'!$K$4/'Gearbox 675R'!$L$4</f>
        <v>132.48440059384109</v>
      </c>
      <c r="I24" s="82">
        <f>A24*60*('Gearbox 675R'!$K$11/'Gearbox 675R'!$L$11)*('Gearbox 675R'!$K$3/'Gearbox 675R'!$L$3)*'Gearbox 675R'!$M$5*PI()/1000*'Gearbox 675R'!$K$4/'Gearbox 675R'!$L$4</f>
        <v>166.55181788940021</v>
      </c>
      <c r="J24" s="82">
        <f>A24*60*('Gearbox 675R'!$K$13/'Gearbox 675R'!$L$13)*('Gearbox 675R'!$K$3/'Gearbox 675R'!$L$3)*'Gearbox 675R'!$M$5*PI()/1000*'Gearbox 675R'!$K$4/'Gearbox 675R'!$L$4</f>
        <v>194.31045420430027</v>
      </c>
      <c r="K24" s="82">
        <f>A24*60*('Gearbox 675R'!$K$15/'Gearbox 675R'!$L$15)*('Gearbox 675R'!$K$3/'Gearbox 675R'!$L$3)*'Gearbox 675R'!$M$5*PI()/1000*'Gearbox 675R'!$K$4/'Gearbox 675R'!$L$4</f>
        <v>215.90050467144474</v>
      </c>
      <c r="L24" s="82">
        <f>A24*60*('Gearbox 675R'!$K$17/'Gearbox 675R'!$L$17)*('Gearbox 675R'!$K$3/'Gearbox 675R'!$L$3)*'Gearbox 675R'!$M$5*PI()/1000*'Gearbox 675R'!$K$4/'Gearbox 675R'!$L$4</f>
        <v>235.41458874751766</v>
      </c>
      <c r="M24" s="82">
        <f>A24*60*('Gearbox 675R'!$K$19/'Gearbox 675R'!$L$19)*('Gearbox 675R'!$K$3/'Gearbox 675R'!$L$3)*'Gearbox 675R'!$M$5*PI()/1000*'Gearbox 675R'!$K$4/'Gearbox 675R'!$L$4</f>
        <v>255.03247114314411</v>
      </c>
      <c r="O24" s="82">
        <f t="shared" si="38"/>
        <v>2618.982145403822</v>
      </c>
      <c r="P24" s="82">
        <f t="shared" si="39"/>
        <v>1928.203551284151</v>
      </c>
      <c r="Q24" s="82">
        <f t="shared" si="40"/>
        <v>1495.391895665942</v>
      </c>
      <c r="R24" s="82">
        <f t="shared" si="41"/>
        <v>1203.6681346287819</v>
      </c>
      <c r="S24" s="82">
        <f t="shared" si="42"/>
        <v>961.27259195644683</v>
      </c>
      <c r="T24" s="82">
        <f t="shared" si="43"/>
        <v>731.04631217787198</v>
      </c>
      <c r="AJ24" s="81">
        <f t="shared" si="44"/>
        <v>10.68972304246458</v>
      </c>
      <c r="AK24" s="81">
        <f t="shared" si="45"/>
        <v>7.8702185766700037</v>
      </c>
      <c r="AL24" s="81">
        <f t="shared" si="46"/>
        <v>6.1036403904732328</v>
      </c>
      <c r="AM24" s="81">
        <f t="shared" si="47"/>
        <v>4.9129311617501301</v>
      </c>
      <c r="AN24" s="81">
        <f t="shared" si="48"/>
        <v>3.9235615998222322</v>
      </c>
      <c r="AO24" s="81">
        <f t="shared" si="49"/>
        <v>2.9838624986851916</v>
      </c>
    </row>
    <row r="25" spans="1:43" x14ac:dyDescent="0.3">
      <c r="A25" s="81">
        <v>15000</v>
      </c>
      <c r="B25" s="81">
        <v>142</v>
      </c>
      <c r="C25" s="81">
        <f t="shared" si="34"/>
        <v>49.718933333333332</v>
      </c>
      <c r="D25" s="81">
        <f t="shared" si="35"/>
        <v>105.88940000000001</v>
      </c>
      <c r="H25" s="82">
        <f>A25*60*(First/'Gearbox 675R'!$L$9)*('Gearbox 675R'!$K$3/'Gearbox 675R'!$L$3)*'Gearbox 675R'!$M$5*PI()/1000*'Gearbox 675R'!$K$4/'Gearbox 675R'!$L$4</f>
        <v>141.94757206482973</v>
      </c>
      <c r="I25" s="82">
        <f>A25*60*('Gearbox 675R'!$K$11/'Gearbox 675R'!$L$11)*('Gearbox 675R'!$K$3/'Gearbox 675R'!$L$3)*'Gearbox 675R'!$M$5*PI()/1000*'Gearbox 675R'!$K$4/'Gearbox 675R'!$L$4</f>
        <v>178.44837631007167</v>
      </c>
      <c r="J25" s="82">
        <f>A25*60*('Gearbox 675R'!$K$13/'Gearbox 675R'!$L$13)*('Gearbox 675R'!$K$3/'Gearbox 675R'!$L$3)*'Gearbox 675R'!$M$5*PI()/1000*'Gearbox 675R'!$K$4/'Gearbox 675R'!$L$4</f>
        <v>208.1897723617503</v>
      </c>
      <c r="K25" s="82">
        <f>A25*60*('Gearbox 675R'!$K$15/'Gearbox 675R'!$L$15)*('Gearbox 675R'!$K$3/'Gearbox 675R'!$L$3)*'Gearbox 675R'!$M$5*PI()/1000*'Gearbox 675R'!$K$4/'Gearbox 675R'!$L$4</f>
        <v>231.32196929083361</v>
      </c>
      <c r="L25" s="82">
        <f>A25*60*('Gearbox 675R'!$K$17/'Gearbox 675R'!$L$17)*('Gearbox 675R'!$K$3/'Gearbox 675R'!$L$3)*'Gearbox 675R'!$M$5*PI()/1000*'Gearbox 675R'!$K$4/'Gearbox 675R'!$L$4</f>
        <v>252.22991651519746</v>
      </c>
      <c r="M25" s="82">
        <f>A25*60*('Gearbox 675R'!$K$19/'Gearbox 675R'!$L$19)*('Gearbox 675R'!$K$3/'Gearbox 675R'!$L$3)*'Gearbox 675R'!$M$5*PI()/1000*'Gearbox 675R'!$K$4/'Gearbox 675R'!$L$4</f>
        <v>273.24907622479725</v>
      </c>
      <c r="O25" s="82">
        <f t="shared" si="38"/>
        <v>2458.7173925520497</v>
      </c>
      <c r="P25" s="82">
        <f t="shared" si="39"/>
        <v>1777.7750551443712</v>
      </c>
      <c r="Q25" s="82">
        <f t="shared" si="40"/>
        <v>1343.1712144971098</v>
      </c>
      <c r="R25" s="82">
        <f t="shared" si="41"/>
        <v>1045.6320084510864</v>
      </c>
      <c r="S25" s="82">
        <f t="shared" si="42"/>
        <v>795.23443714331574</v>
      </c>
      <c r="T25" s="82">
        <f t="shared" si="43"/>
        <v>554.65693131826811</v>
      </c>
      <c r="AJ25" s="81">
        <f t="shared" si="44"/>
        <v>10.035581194089998</v>
      </c>
      <c r="AK25" s="81">
        <f t="shared" si="45"/>
        <v>7.2562247148749845</v>
      </c>
      <c r="AL25" s="81">
        <f t="shared" si="46"/>
        <v>5.4823314877433047</v>
      </c>
      <c r="AM25" s="81">
        <f t="shared" si="47"/>
        <v>4.2678857487799444</v>
      </c>
      <c r="AN25" s="81">
        <f t="shared" si="48"/>
        <v>3.2458548454829215</v>
      </c>
      <c r="AO25" s="81">
        <f t="shared" si="49"/>
        <v>2.2639058421153799</v>
      </c>
    </row>
    <row r="27" spans="1:43" x14ac:dyDescent="0.3">
      <c r="AK27" s="81">
        <f>AVERAGE(AK15:AL25)</f>
        <v>6.6967851087278571</v>
      </c>
    </row>
    <row r="28" spans="1:43" x14ac:dyDescent="0.3">
      <c r="AO28" s="81">
        <f>AVERAGE(AK23:AO25)</f>
        <v>4.9994047411385782</v>
      </c>
      <c r="AQ28" s="81">
        <f>SQRT(1300/AK27)</f>
        <v>13.932802936284174</v>
      </c>
    </row>
    <row r="29" spans="1:43" x14ac:dyDescent="0.3">
      <c r="AQ29" s="81">
        <f>SQRT(600/AO28)</f>
        <v>10.955103281743883</v>
      </c>
    </row>
  </sheetData>
  <mergeCells count="2">
    <mergeCell ref="V1:AA1"/>
    <mergeCell ref="AC1:AH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Gearbox 675R</vt:lpstr>
      <vt:lpstr>Gear Change Calc</vt:lpstr>
      <vt:lpstr>Gear Change Chart</vt:lpstr>
      <vt:lpstr>Dyno Curve</vt:lpstr>
      <vt:lpstr>Gear Change Chart (2)</vt:lpstr>
      <vt:lpstr>First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Andy</cp:lastModifiedBy>
  <dcterms:created xsi:type="dcterms:W3CDTF">2013-06-27T11:50:24Z</dcterms:created>
  <dcterms:modified xsi:type="dcterms:W3CDTF">2018-02-22T08:51:18Z</dcterms:modified>
</cp:coreProperties>
</file>