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PC\AppData\Local\Packages\microsoft.windowscommunicationsapps_8wekyb3d8bbwe\LocalState\Files\S0\4\Attachments\"/>
    </mc:Choice>
  </mc:AlternateContent>
  <xr:revisionPtr revIDLastSave="0" documentId="8_{553C9B1F-C76F-4079-A393-77B6697CF6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lank spreadsheet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</sheets>
  <externalReferences>
    <externalReference r:id="rId8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8" i="2" l="1"/>
  <c r="G67" i="2"/>
  <c r="G66" i="2"/>
  <c r="G65" i="2"/>
  <c r="G64" i="2"/>
  <c r="G63" i="2"/>
  <c r="H69" i="2" s="1"/>
  <c r="H58" i="2"/>
  <c r="G52" i="2"/>
  <c r="H54" i="2" s="1"/>
  <c r="G51" i="2"/>
  <c r="G50" i="2"/>
  <c r="H47" i="2"/>
  <c r="H36" i="2"/>
  <c r="H39" i="2" s="1"/>
  <c r="F25" i="2"/>
  <c r="F24" i="2"/>
  <c r="F23" i="2"/>
  <c r="F22" i="2"/>
  <c r="F21" i="2"/>
  <c r="F26" i="2" s="1"/>
  <c r="G18" i="2"/>
  <c r="G17" i="2"/>
  <c r="G15" i="2"/>
  <c r="G14" i="2"/>
  <c r="G19" i="2" s="1"/>
  <c r="H27" i="2" s="1"/>
  <c r="G10" i="2"/>
  <c r="F10" i="2"/>
  <c r="H10" i="2" s="1"/>
  <c r="H9" i="2"/>
  <c r="H11" i="2" s="1"/>
  <c r="H31" i="2" s="1"/>
  <c r="G9" i="2"/>
  <c r="F9" i="2"/>
  <c r="U45" i="8"/>
  <c r="T45" i="8"/>
  <c r="R45" i="8"/>
  <c r="Q45" i="8"/>
  <c r="P45" i="8"/>
  <c r="O45" i="8"/>
  <c r="C45" i="8"/>
  <c r="E45" i="8"/>
  <c r="F45" i="8"/>
  <c r="G45" i="8"/>
  <c r="H45" i="8"/>
  <c r="I45" i="8"/>
  <c r="L45" i="8"/>
  <c r="M45" i="8"/>
  <c r="N45" i="8"/>
  <c r="S44" i="8"/>
  <c r="V41" i="8"/>
  <c r="Q38" i="8"/>
  <c r="T37" i="8"/>
  <c r="U36" i="8"/>
  <c r="S35" i="8"/>
  <c r="S34" i="8"/>
  <c r="S31" i="8"/>
  <c r="T30" i="8"/>
  <c r="S29" i="8"/>
  <c r="S28" i="8"/>
  <c r="S27" i="8"/>
  <c r="S26" i="8"/>
  <c r="S24" i="8"/>
  <c r="T23" i="8"/>
  <c r="S21" i="8"/>
  <c r="O20" i="8"/>
  <c r="S20" i="8" s="1"/>
  <c r="O19" i="8"/>
  <c r="S19" i="8" s="1"/>
  <c r="O18" i="8"/>
  <c r="S18" i="8" s="1"/>
  <c r="U17" i="8"/>
  <c r="V16" i="8"/>
  <c r="V15" i="8"/>
  <c r="U14" i="8"/>
  <c r="V13" i="8"/>
  <c r="U12" i="8"/>
  <c r="V11" i="8"/>
  <c r="U10" i="8"/>
  <c r="U9" i="8"/>
  <c r="U8" i="8"/>
  <c r="V7" i="8"/>
  <c r="H55" i="2" l="1"/>
  <c r="H60" i="2" s="1"/>
  <c r="H71" i="2" s="1"/>
  <c r="J39" i="2"/>
  <c r="U38" i="8"/>
  <c r="D18" i="6"/>
  <c r="D7" i="8"/>
  <c r="D45" i="8" s="1"/>
  <c r="G16" i="7"/>
  <c r="K15" i="8"/>
  <c r="J14" i="8"/>
  <c r="F19" i="4"/>
  <c r="F23" i="4" s="1"/>
  <c r="J45" i="8" l="1"/>
  <c r="K45" i="8"/>
  <c r="E18" i="4" l="1"/>
  <c r="D18" i="4"/>
  <c r="F13" i="3"/>
  <c r="E13" i="3"/>
  <c r="E17" i="4"/>
  <c r="D17" i="4"/>
  <c r="E16" i="4"/>
  <c r="D16" i="4"/>
  <c r="F16" i="5"/>
  <c r="H16" i="5"/>
  <c r="E15" i="4"/>
  <c r="D15" i="4"/>
  <c r="J17" i="6"/>
  <c r="F15" i="5"/>
  <c r="H15" i="5"/>
  <c r="F12" i="3"/>
  <c r="E12" i="3"/>
  <c r="F11" i="3"/>
  <c r="E11" i="3"/>
  <c r="J16" i="6"/>
  <c r="E14" i="4"/>
  <c r="D14" i="4"/>
  <c r="D13" i="6"/>
  <c r="E13" i="4"/>
  <c r="D13" i="4"/>
  <c r="E12" i="4"/>
  <c r="D12" i="4"/>
  <c r="E11" i="4"/>
  <c r="G11" i="4"/>
  <c r="G19" i="4" s="1"/>
  <c r="E8" i="7"/>
  <c r="F8" i="7"/>
  <c r="E16" i="7"/>
  <c r="F10" i="3"/>
  <c r="E10" i="3"/>
  <c r="E20" i="6"/>
  <c r="F23" i="6" s="1"/>
  <c r="F20" i="6"/>
  <c r="F24" i="6" s="1"/>
  <c r="G20" i="6"/>
  <c r="F25" i="6" s="1"/>
  <c r="H20" i="6"/>
  <c r="F26" i="6" s="1"/>
  <c r="I20" i="6"/>
  <c r="D20" i="6"/>
  <c r="F28" i="6" s="1"/>
  <c r="J10" i="6"/>
  <c r="L12" i="5"/>
  <c r="L11" i="5"/>
  <c r="L18" i="5" s="1"/>
  <c r="F16" i="7"/>
  <c r="D16" i="7"/>
  <c r="E10" i="4"/>
  <c r="D10" i="4"/>
  <c r="F9" i="3"/>
  <c r="F16" i="3" s="1"/>
  <c r="G22" i="3" s="1"/>
  <c r="E9" i="3"/>
  <c r="G16" i="3"/>
  <c r="G21" i="3" s="1"/>
  <c r="E16" i="3"/>
  <c r="G19" i="3" s="1"/>
  <c r="G18" i="5"/>
  <c r="G24" i="5" s="1"/>
  <c r="H18" i="5"/>
  <c r="G25" i="5" s="1"/>
  <c r="I18" i="5"/>
  <c r="J18" i="5"/>
  <c r="G26" i="5" s="1"/>
  <c r="E18" i="5"/>
  <c r="G21" i="5" s="1"/>
  <c r="F10" i="5"/>
  <c r="F18" i="5" s="1"/>
  <c r="G23" i="5" s="1"/>
  <c r="H10" i="5"/>
  <c r="N20" i="5" l="1"/>
  <c r="N21" i="5"/>
  <c r="J20" i="6"/>
  <c r="D19" i="4"/>
  <c r="F29" i="4" s="1"/>
  <c r="E19" i="4"/>
  <c r="F27" i="4" s="1"/>
  <c r="L25" i="6" l="1"/>
  <c r="L23" i="6"/>
</calcChain>
</file>

<file path=xl/sharedStrings.xml><?xml version="1.0" encoding="utf-8"?>
<sst xmlns="http://schemas.openxmlformats.org/spreadsheetml/2006/main" count="271" uniqueCount="154">
  <si>
    <t>Trade Debtors</t>
  </si>
  <si>
    <t>Trade Creditors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</si>
  <si>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</si>
  <si>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</si>
  <si>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</si>
  <si>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</si>
  <si>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</si>
  <si>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</si>
  <si>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</si>
  <si>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</si>
  <si>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</si>
  <si>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</si>
  <si>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</si>
  <si>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</si>
  <si>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</si>
  <si>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</si>
  <si>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</si>
  <si>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</si>
  <si>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</si>
  <si>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</si>
  <si>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</si>
  <si>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</si>
  <si>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</si>
  <si>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</si>
  <si>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</si>
  <si>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</si>
  <si>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</si>
  <si>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</si>
  <si>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</si>
  <si>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</si>
  <si>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</si>
  <si>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</si>
  <si>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</si>
  <si>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</si>
  <si>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</si>
  <si>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</si>
  <si>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</si>
  <si>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</si>
  <si>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</si>
  <si>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</si>
  <si>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</si>
  <si>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</si>
  <si>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</si>
  <si>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</si>
  <si>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</si>
  <si>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</si>
  <si>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</si>
  <si>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</si>
  <si>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</si>
  <si>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</si>
  <si>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</si>
  <si>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</si>
  <si>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</si>
  <si>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</si>
  <si>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</si>
  <si>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</si>
  <si>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</si>
  <si>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</si>
  <si>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</si>
  <si>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</si>
  <si>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</si>
  <si>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</si>
  <si>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</si>
  <si>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</si>
  <si>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</si>
  <si>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</si>
  <si>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</si>
  <si>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</si>
  <si>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</si>
  <si>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</si>
  <si>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</si>
  <si>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</si>
  <si>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</si>
  <si>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</si>
  <si>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</si>
  <si>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</si>
  <si>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</si>
  <si>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</si>
  <si>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</si>
  <si>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</si>
  <si>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</si>
  <si>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</si>
  <si>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</si>
  <si>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</si>
  <si>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</si>
  <si>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</si>
  <si>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</si>
  <si>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</si>
  <si>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</si>
  <si>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</si>
  <si>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</si>
  <si>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</si>
  <si>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</si>
  <si>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</si>
  <si>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</si>
  <si>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</si>
  <si>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</si>
  <si>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Bal b/f</t>
  </si>
  <si>
    <t>Bal c/f</t>
  </si>
  <si>
    <t>less : Drawings</t>
  </si>
  <si>
    <t>Balance Sheet at 31st January 2021</t>
  </si>
  <si>
    <t>Capital missing</t>
  </si>
  <si>
    <t xml:space="preserve">Bank Account </t>
  </si>
  <si>
    <t>Cash in Hand(petty cash)</t>
  </si>
  <si>
    <t>Motor Vehcles Cost</t>
  </si>
  <si>
    <t>VAT Control Account(Cr Balance)</t>
  </si>
  <si>
    <t>Accrued Electricity</t>
  </si>
  <si>
    <t>Accrued Gas</t>
  </si>
  <si>
    <t>Bank Loan</t>
  </si>
  <si>
    <t>Fixtures and Equiptment - Cost</t>
  </si>
  <si>
    <t>Stamps</t>
  </si>
  <si>
    <t>Motor Vehcles Provision for depreciation at 1.10.21</t>
  </si>
  <si>
    <t>Fixtures and Equiptment - Provision for depreation 1.10.21</t>
  </si>
  <si>
    <t>Stock at 1.10.21</t>
  </si>
  <si>
    <t>Utilities</t>
  </si>
  <si>
    <t>Credit Capital</t>
  </si>
  <si>
    <t xml:space="preserve">     month ended 31st March 2021</t>
  </si>
  <si>
    <t>Fixtures and equiptment</t>
  </si>
  <si>
    <t>CASH SALES</t>
  </si>
  <si>
    <t>BLACK</t>
  </si>
  <si>
    <t>WHITE</t>
  </si>
  <si>
    <t>CLARET RECEIPT</t>
  </si>
  <si>
    <t>(Debtors Less Discount)</t>
  </si>
  <si>
    <t>BLACK RECEIPT</t>
  </si>
  <si>
    <t>GREY PAYMENT</t>
  </si>
  <si>
    <t>(Creditors Less Discount)</t>
  </si>
  <si>
    <t>INSURANCE</t>
  </si>
  <si>
    <t>ORANGE</t>
  </si>
  <si>
    <t>VAT PAYMENT</t>
  </si>
  <si>
    <t>TELEPHONE</t>
  </si>
  <si>
    <t xml:space="preserve">GAS </t>
  </si>
  <si>
    <t>ELECTRIC</t>
  </si>
  <si>
    <t>LEGAL FEES</t>
  </si>
  <si>
    <t>GAS</t>
  </si>
  <si>
    <t>YELLOW</t>
  </si>
  <si>
    <t>SILVER</t>
  </si>
  <si>
    <t>CAPITAL INJECTION</t>
  </si>
  <si>
    <t xml:space="preserve">&lt; Could be a discount of £940, question doesn't make it clear. </t>
  </si>
  <si>
    <t>NEW EQUIP</t>
  </si>
  <si>
    <t>VEHICLE</t>
  </si>
  <si>
    <t>Telephone</t>
  </si>
  <si>
    <t>Gas</t>
  </si>
  <si>
    <t>PETTY CASH</t>
  </si>
  <si>
    <t>Cr</t>
  </si>
  <si>
    <t>Dr</t>
  </si>
  <si>
    <t>stamps</t>
  </si>
  <si>
    <t>Vat a/c</t>
  </si>
  <si>
    <t>STAMPS</t>
  </si>
  <si>
    <t>B</t>
  </si>
  <si>
    <t>P</t>
  </si>
  <si>
    <t>Electric</t>
  </si>
  <si>
    <t>Loan</t>
  </si>
  <si>
    <t>Electric &amp; Gas</t>
  </si>
  <si>
    <t xml:space="preserve">    Depreciation (233 + 87)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</si>
</sst>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1" fontId="0" fillId="0" borderId="0" xfId="0" applyNumberFormat="1" applyBorder="1"/>
    <xf numFmtId="1" fontId="0" fillId="0" borderId="3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5" xfId="0" applyNumberFormat="1" applyFont="1" applyBorder="1"/>
    <xf numFmtId="37" fontId="1" fillId="0" borderId="6" xfId="0" applyNumberFormat="1" applyFont="1" applyBorder="1"/>
    <xf numFmtId="37" fontId="1" fillId="0" borderId="2" xfId="0" applyNumberFormat="1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4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 applyBorder="1"/>
    <xf numFmtId="0" fontId="1" fillId="0" borderId="2" xfId="0" applyFont="1" applyBorder="1"/>
    <xf numFmtId="0" fontId="0" fillId="0" borderId="0" xfId="0" applyAlignment="1"/>
    <xf numFmtId="3" fontId="0" fillId="0" borderId="0" xfId="0" applyNumberFormat="1"/>
    <xf numFmtId="4" fontId="0" fillId="0" borderId="0" xfId="0" applyNumberFormat="1"/>
    <xf numFmtId="3" fontId="0" fillId="0" borderId="1" xfId="0" applyNumberFormat="1" applyBorder="1"/>
    <xf numFmtId="4" fontId="0" fillId="0" borderId="1" xfId="0" applyNumberFormat="1" applyBorder="1"/>
    <xf numFmtId="0" fontId="5" fillId="0" borderId="0" xfId="0" applyFont="1" applyFill="1" applyBorder="1"/>
    <xf numFmtId="3" fontId="1" fillId="0" borderId="0" xfId="0" applyNumberFormat="1" applyFont="1"/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1" fillId="0" borderId="0" xfId="0" applyFont="1" applyBorder="1"/>
    <xf numFmtId="0" fontId="0" fillId="0" borderId="0" xfId="0" applyFont="1" applyFill="1" applyBorder="1"/>
    <xf numFmtId="0" fontId="0" fillId="0" borderId="0" xfId="0" applyFill="1" applyBorder="1"/>
    <xf numFmtId="3" fontId="0" fillId="0" borderId="0" xfId="0" applyNumberFormat="1" applyBorder="1"/>
    <xf numFmtId="3" fontId="1" fillId="0" borderId="2" xfId="0" applyNumberFormat="1" applyFont="1" applyBorder="1"/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5" fillId="0" borderId="4" xfId="0" applyFont="1" applyBorder="1"/>
    <xf numFmtId="1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new%20task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spreadsheet"/>
      <sheetName val="SDB"/>
      <sheetName val="PDB"/>
      <sheetName val="CBP"/>
      <sheetName val="CBR"/>
      <sheetName val="PCB"/>
      <sheetName val="Accounts"/>
    </sheetNames>
    <sheetDataSet>
      <sheetData sheetId="0">
        <row r="8">
          <cell r="U8">
            <v>28764</v>
          </cell>
        </row>
        <row r="9">
          <cell r="U9">
            <v>675</v>
          </cell>
        </row>
        <row r="10">
          <cell r="U10">
            <v>42026</v>
          </cell>
        </row>
        <row r="11">
          <cell r="V11">
            <v>9675</v>
          </cell>
        </row>
        <row r="12">
          <cell r="U12">
            <v>31794</v>
          </cell>
        </row>
        <row r="13">
          <cell r="V13">
            <v>10133</v>
          </cell>
        </row>
        <row r="14">
          <cell r="U14">
            <v>25914</v>
          </cell>
        </row>
        <row r="15">
          <cell r="V15">
            <v>21000</v>
          </cell>
        </row>
        <row r="16">
          <cell r="V16">
            <v>15741</v>
          </cell>
        </row>
        <row r="17">
          <cell r="U17">
            <v>1802</v>
          </cell>
        </row>
        <row r="18">
          <cell r="S18">
            <v>60</v>
          </cell>
        </row>
        <row r="19">
          <cell r="S19">
            <v>120</v>
          </cell>
        </row>
        <row r="20">
          <cell r="S20">
            <v>240</v>
          </cell>
        </row>
        <row r="21">
          <cell r="O21">
            <v>13481</v>
          </cell>
        </row>
        <row r="23">
          <cell r="T23">
            <v>31545</v>
          </cell>
        </row>
        <row r="24">
          <cell r="S24">
            <v>17280</v>
          </cell>
        </row>
        <row r="26">
          <cell r="S26">
            <v>1283</v>
          </cell>
        </row>
        <row r="27">
          <cell r="S27">
            <v>1050</v>
          </cell>
        </row>
        <row r="28">
          <cell r="S28">
            <v>140</v>
          </cell>
        </row>
        <row r="29">
          <cell r="S29">
            <v>2200</v>
          </cell>
        </row>
        <row r="30">
          <cell r="T30">
            <v>446</v>
          </cell>
        </row>
        <row r="31">
          <cell r="S31">
            <v>140</v>
          </cell>
        </row>
        <row r="34">
          <cell r="S34">
            <v>2101</v>
          </cell>
        </row>
        <row r="35">
          <cell r="S35">
            <v>555</v>
          </cell>
        </row>
        <row r="36">
          <cell r="U36">
            <v>15840</v>
          </cell>
        </row>
        <row r="37">
          <cell r="T37">
            <v>15840</v>
          </cell>
        </row>
        <row r="38">
          <cell r="U38">
            <v>356</v>
          </cell>
        </row>
        <row r="41">
          <cell r="V41">
            <v>25500</v>
          </cell>
        </row>
        <row r="44">
          <cell r="V44">
            <v>9181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46"/>
  <sheetViews>
    <sheetView tabSelected="1" topLeftCell="E23" zoomScaleNormal="100" workbookViewId="0">
      <selection activeCell="W41" sqref="W41"/>
    </sheetView>
  </sheetViews>
  <sheetFormatPr defaultRowHeight="12.75" x14ac:dyDescent="0.2"/>
  <cols>
    <col min="1" max="1" width="48.5703125" customWidth="1"/>
    <col min="3" max="20" width="8.85546875" customWidth="1"/>
    <col min="21" max="22" width="9.140625" customWidth="1"/>
  </cols>
  <sheetData>
    <row r="2" spans="1:22" x14ac:dyDescent="0.2">
      <c r="A2" s="2" t="s">
        <v>9</v>
      </c>
      <c r="B2" s="6"/>
      <c r="C2" s="11" t="s">
        <v>5</v>
      </c>
      <c r="D2" s="13" t="s">
        <v>6</v>
      </c>
      <c r="E2" s="11" t="s">
        <v>7</v>
      </c>
      <c r="F2" s="13" t="s">
        <v>8</v>
      </c>
      <c r="G2" t="s">
        <v>11</v>
      </c>
      <c r="H2" s="1" t="s">
        <v>12</v>
      </c>
      <c r="I2" s="11" t="s">
        <v>15</v>
      </c>
      <c r="J2" s="13" t="s">
        <v>14</v>
      </c>
      <c r="K2" s="11" t="s">
        <v>15</v>
      </c>
      <c r="L2" s="13" t="s">
        <v>16</v>
      </c>
      <c r="M2" s="11" t="s">
        <v>20</v>
      </c>
      <c r="N2" s="13" t="s">
        <v>8</v>
      </c>
      <c r="O2" s="11" t="s">
        <v>22</v>
      </c>
      <c r="P2" s="13" t="s">
        <v>6</v>
      </c>
      <c r="Q2" s="52" t="s">
        <v>23</v>
      </c>
      <c r="R2" s="53"/>
      <c r="S2" s="54" t="s">
        <v>29</v>
      </c>
      <c r="T2" s="55"/>
      <c r="U2" s="52" t="s">
        <v>30</v>
      </c>
      <c r="V2" s="55"/>
    </row>
    <row r="3" spans="1:22" x14ac:dyDescent="0.2">
      <c r="A3" s="2"/>
      <c r="B3" s="6"/>
      <c r="C3" s="11"/>
      <c r="D3" s="13"/>
      <c r="E3" s="11"/>
      <c r="F3" s="13"/>
      <c r="H3" s="1"/>
      <c r="I3" s="11"/>
      <c r="J3" s="13"/>
      <c r="K3" s="11"/>
      <c r="L3" s="13"/>
      <c r="M3" s="11"/>
      <c r="N3" s="13"/>
      <c r="O3" s="11"/>
      <c r="P3" s="13"/>
      <c r="Q3" s="10"/>
      <c r="R3" s="11"/>
      <c r="S3" s="12"/>
      <c r="T3" s="13"/>
      <c r="U3" s="10"/>
      <c r="V3" s="13"/>
    </row>
    <row r="4" spans="1:22" x14ac:dyDescent="0.2">
      <c r="A4" s="10"/>
      <c r="B4" s="7"/>
      <c r="C4" s="11" t="s">
        <v>3</v>
      </c>
      <c r="D4" s="13" t="s">
        <v>4</v>
      </c>
      <c r="E4" s="11" t="s">
        <v>3</v>
      </c>
      <c r="F4" s="13" t="s">
        <v>4</v>
      </c>
      <c r="G4" s="11" t="s">
        <v>3</v>
      </c>
      <c r="H4" s="13" t="s">
        <v>4</v>
      </c>
      <c r="I4" s="11" t="s">
        <v>3</v>
      </c>
      <c r="J4" s="13" t="s">
        <v>4</v>
      </c>
      <c r="K4" s="11" t="s">
        <v>3</v>
      </c>
      <c r="L4" s="13" t="s">
        <v>4</v>
      </c>
      <c r="M4" s="11" t="s">
        <v>3</v>
      </c>
      <c r="N4" s="13" t="s">
        <v>4</v>
      </c>
      <c r="O4" s="11" t="s">
        <v>3</v>
      </c>
      <c r="P4" s="13" t="s">
        <v>4</v>
      </c>
      <c r="Q4" s="11" t="s">
        <v>3</v>
      </c>
      <c r="R4" s="13" t="s">
        <v>4</v>
      </c>
      <c r="S4" s="11" t="s">
        <v>3</v>
      </c>
      <c r="T4" s="13" t="s">
        <v>4</v>
      </c>
      <c r="U4" s="11" t="s">
        <v>3</v>
      </c>
      <c r="V4" s="13" t="s">
        <v>4</v>
      </c>
    </row>
    <row r="5" spans="1:22" x14ac:dyDescent="0.2">
      <c r="A5" s="10"/>
      <c r="B5" s="7"/>
      <c r="C5" s="11"/>
      <c r="D5" s="13"/>
      <c r="E5" s="11"/>
      <c r="F5" s="13"/>
      <c r="G5" s="11"/>
      <c r="H5" s="13"/>
      <c r="I5" s="11"/>
      <c r="J5" s="13"/>
      <c r="K5" s="11"/>
      <c r="L5" s="13"/>
      <c r="M5" s="11"/>
      <c r="N5" s="13"/>
      <c r="O5" s="11"/>
      <c r="P5" s="13"/>
      <c r="Q5" s="11"/>
      <c r="R5" s="13"/>
      <c r="S5" s="11"/>
      <c r="T5" s="13"/>
      <c r="U5" s="11"/>
      <c r="V5" s="13"/>
    </row>
    <row r="6" spans="1:22" x14ac:dyDescent="0.2">
      <c r="A6" s="2"/>
      <c r="B6" s="6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101</v>
      </c>
      <c r="B7" s="50" t="s">
        <v>148</v>
      </c>
      <c r="D7" s="34">
        <f>SUM(C8:C21)-SUM(D8:D21)</f>
        <v>44161</v>
      </c>
      <c r="F7" s="1"/>
      <c r="H7" s="1"/>
      <c r="J7" s="1">
        <v>12000</v>
      </c>
      <c r="L7" s="1"/>
      <c r="N7" s="1"/>
      <c r="P7" s="1">
        <v>56161</v>
      </c>
      <c r="Q7">
        <v>220</v>
      </c>
      <c r="R7" s="1"/>
      <c r="T7" s="1"/>
      <c r="V7" s="1">
        <f>P7-Q7</f>
        <v>55941</v>
      </c>
    </row>
    <row r="8" spans="1:22" x14ac:dyDescent="0.2">
      <c r="A8" s="2" t="s">
        <v>102</v>
      </c>
      <c r="B8" s="50" t="s">
        <v>148</v>
      </c>
      <c r="C8" s="32">
        <v>4010</v>
      </c>
      <c r="D8" s="1"/>
      <c r="F8" s="1"/>
      <c r="H8" s="1"/>
      <c r="I8">
        <v>34240</v>
      </c>
      <c r="J8" s="1"/>
      <c r="L8" s="1">
        <v>8118</v>
      </c>
      <c r="N8" s="1"/>
      <c r="O8">
        <v>28764</v>
      </c>
      <c r="P8" s="1"/>
      <c r="R8" s="4"/>
      <c r="T8" s="1"/>
      <c r="U8" s="32">
        <f>O8</f>
        <v>28764</v>
      </c>
      <c r="V8" s="34"/>
    </row>
    <row r="9" spans="1:22" x14ac:dyDescent="0.2">
      <c r="A9" s="2" t="s">
        <v>103</v>
      </c>
      <c r="B9" s="50" t="s">
        <v>148</v>
      </c>
      <c r="C9">
        <v>675</v>
      </c>
      <c r="D9" s="1"/>
      <c r="F9" s="1"/>
      <c r="H9" s="1"/>
      <c r="J9" s="1"/>
      <c r="K9">
        <v>308</v>
      </c>
      <c r="L9" s="1"/>
      <c r="M9" s="42"/>
      <c r="N9" s="1">
        <v>308</v>
      </c>
      <c r="O9">
        <v>675</v>
      </c>
      <c r="P9" s="1"/>
      <c r="R9" s="1"/>
      <c r="T9" s="1"/>
      <c r="U9">
        <f>O9</f>
        <v>675</v>
      </c>
      <c r="V9" s="1"/>
    </row>
    <row r="10" spans="1:22" x14ac:dyDescent="0.2">
      <c r="A10" s="2" t="s">
        <v>104</v>
      </c>
      <c r="B10" s="50" t="s">
        <v>148</v>
      </c>
      <c r="C10" s="32">
        <v>27176</v>
      </c>
      <c r="D10" s="1"/>
      <c r="F10" s="1"/>
      <c r="H10" s="1"/>
      <c r="J10" s="1"/>
      <c r="L10" s="1"/>
      <c r="N10" s="1"/>
      <c r="O10">
        <v>42026</v>
      </c>
      <c r="P10" s="1"/>
      <c r="R10" s="4"/>
      <c r="T10" s="1"/>
      <c r="U10" s="32">
        <f>O10</f>
        <v>42026</v>
      </c>
      <c r="V10" s="1"/>
    </row>
    <row r="11" spans="1:22" x14ac:dyDescent="0.2">
      <c r="A11" s="29" t="s">
        <v>111</v>
      </c>
      <c r="B11" s="50" t="s">
        <v>148</v>
      </c>
      <c r="C11" s="33"/>
      <c r="D11" s="34">
        <v>7574</v>
      </c>
      <c r="F11" s="1"/>
      <c r="H11" s="1"/>
      <c r="J11" s="1"/>
      <c r="L11" s="1"/>
      <c r="N11" s="1"/>
      <c r="P11" s="1">
        <v>7574</v>
      </c>
      <c r="R11" s="1">
        <v>2101</v>
      </c>
      <c r="T11" s="1"/>
      <c r="V11" s="35">
        <f>P11+R11</f>
        <v>9675</v>
      </c>
    </row>
    <row r="12" spans="1:22" x14ac:dyDescent="0.2">
      <c r="A12" s="36" t="s">
        <v>109</v>
      </c>
      <c r="B12" s="50" t="s">
        <v>148</v>
      </c>
      <c r="C12" s="43">
        <v>25394</v>
      </c>
      <c r="D12" s="34"/>
      <c r="F12" s="1"/>
      <c r="H12" s="1"/>
      <c r="J12" s="1"/>
      <c r="L12" s="1"/>
      <c r="N12" s="1"/>
      <c r="O12">
        <v>31794</v>
      </c>
      <c r="P12" s="1"/>
      <c r="R12" s="1"/>
      <c r="T12" s="1"/>
      <c r="U12" s="32">
        <f>O12</f>
        <v>31794</v>
      </c>
      <c r="V12" s="1"/>
    </row>
    <row r="13" spans="1:22" x14ac:dyDescent="0.2">
      <c r="A13" s="36" t="s">
        <v>112</v>
      </c>
      <c r="B13" s="50" t="s">
        <v>148</v>
      </c>
      <c r="C13" s="33"/>
      <c r="D13" s="34">
        <v>9578</v>
      </c>
      <c r="F13" s="1"/>
      <c r="H13" s="1"/>
      <c r="J13" s="1"/>
      <c r="L13" s="1"/>
      <c r="N13" s="1"/>
      <c r="P13" s="1">
        <v>9578</v>
      </c>
      <c r="R13" s="1">
        <v>555</v>
      </c>
      <c r="T13" s="1"/>
      <c r="V13" s="35">
        <f>P13+R13</f>
        <v>10133</v>
      </c>
    </row>
    <row r="14" spans="1:22" x14ac:dyDescent="0.2">
      <c r="A14" s="2" t="s">
        <v>0</v>
      </c>
      <c r="B14" s="50" t="s">
        <v>148</v>
      </c>
      <c r="C14" s="2">
        <v>11583</v>
      </c>
      <c r="D14" s="34"/>
      <c r="E14">
        <v>25914</v>
      </c>
      <c r="F14" s="1"/>
      <c r="H14" s="1"/>
      <c r="J14" s="1">
        <f>10300+343</f>
        <v>10643</v>
      </c>
      <c r="L14" s="1"/>
      <c r="N14" s="1"/>
      <c r="O14">
        <v>25914</v>
      </c>
      <c r="P14" s="1"/>
      <c r="R14" s="1"/>
      <c r="T14" s="1"/>
      <c r="U14" s="32">
        <f>O14</f>
        <v>25914</v>
      </c>
      <c r="V14" s="1"/>
    </row>
    <row r="15" spans="1:22" x14ac:dyDescent="0.2">
      <c r="A15" s="2" t="s">
        <v>1</v>
      </c>
      <c r="B15" s="50" t="s">
        <v>148</v>
      </c>
      <c r="D15" s="34">
        <v>2896</v>
      </c>
      <c r="F15" s="1"/>
      <c r="H15" s="1">
        <v>49023</v>
      </c>
      <c r="J15" s="1"/>
      <c r="K15">
        <f>3605+446</f>
        <v>4051</v>
      </c>
      <c r="L15" s="1"/>
      <c r="N15" s="1"/>
      <c r="P15" s="1">
        <v>21000</v>
      </c>
      <c r="R15" s="1"/>
      <c r="T15" s="1"/>
      <c r="V15" s="35">
        <f>P15+R15</f>
        <v>21000</v>
      </c>
    </row>
    <row r="16" spans="1:22" x14ac:dyDescent="0.2">
      <c r="A16" s="2" t="s">
        <v>108</v>
      </c>
      <c r="B16" s="50" t="s">
        <v>148</v>
      </c>
      <c r="D16" s="34">
        <v>15741</v>
      </c>
      <c r="F16" s="1"/>
      <c r="H16" s="1"/>
      <c r="J16" s="1"/>
      <c r="L16" s="1"/>
      <c r="N16" s="1"/>
      <c r="P16" s="1">
        <v>15741</v>
      </c>
      <c r="R16" s="1"/>
      <c r="T16" s="1"/>
      <c r="V16" s="35">
        <f>P16+R16</f>
        <v>15741</v>
      </c>
    </row>
    <row r="17" spans="1:22" x14ac:dyDescent="0.2">
      <c r="A17" s="2" t="s">
        <v>105</v>
      </c>
      <c r="B17" s="50" t="s">
        <v>148</v>
      </c>
      <c r="D17" s="34">
        <v>2005</v>
      </c>
      <c r="F17" s="1">
        <v>4319</v>
      </c>
      <c r="G17">
        <v>8083</v>
      </c>
      <c r="H17" s="1"/>
      <c r="I17" s="42"/>
      <c r="J17" s="1">
        <v>1990</v>
      </c>
      <c r="K17" s="42">
        <v>2005</v>
      </c>
      <c r="L17" s="1"/>
      <c r="M17">
        <v>28</v>
      </c>
      <c r="N17" s="1"/>
      <c r="O17">
        <v>1802</v>
      </c>
      <c r="P17" s="1"/>
      <c r="R17" s="1"/>
      <c r="T17" s="1"/>
      <c r="U17" s="32">
        <f>O17</f>
        <v>1802</v>
      </c>
      <c r="V17" s="1"/>
    </row>
    <row r="18" spans="1:22" x14ac:dyDescent="0.2">
      <c r="A18" s="2" t="s">
        <v>34</v>
      </c>
      <c r="B18" s="50" t="s">
        <v>149</v>
      </c>
      <c r="D18" s="34">
        <v>134</v>
      </c>
      <c r="F18" s="1"/>
      <c r="G18">
        <v>440</v>
      </c>
      <c r="H18" s="1"/>
      <c r="J18" s="1"/>
      <c r="L18" s="1"/>
      <c r="N18" s="1"/>
      <c r="O18">
        <f>440-134</f>
        <v>306</v>
      </c>
      <c r="P18" s="1"/>
      <c r="R18" s="1">
        <v>246</v>
      </c>
      <c r="S18">
        <f>O18-R18</f>
        <v>60</v>
      </c>
      <c r="T18" s="1"/>
      <c r="V18" s="1"/>
    </row>
    <row r="19" spans="1:22" x14ac:dyDescent="0.2">
      <c r="A19" s="2" t="s">
        <v>106</v>
      </c>
      <c r="B19" s="50" t="s">
        <v>149</v>
      </c>
      <c r="D19" s="34">
        <v>111</v>
      </c>
      <c r="F19" s="1"/>
      <c r="G19">
        <v>400</v>
      </c>
      <c r="H19" s="1"/>
      <c r="J19" s="1"/>
      <c r="L19" s="1"/>
      <c r="N19" s="1"/>
      <c r="O19">
        <f>400-111</f>
        <v>289</v>
      </c>
      <c r="P19" s="1"/>
      <c r="R19" s="1">
        <v>169</v>
      </c>
      <c r="S19">
        <f>O19-R19</f>
        <v>120</v>
      </c>
      <c r="T19" s="1"/>
      <c r="V19" s="1"/>
    </row>
    <row r="20" spans="1:22" x14ac:dyDescent="0.2">
      <c r="A20" s="2" t="s">
        <v>107</v>
      </c>
      <c r="B20" s="50" t="s">
        <v>149</v>
      </c>
      <c r="D20" s="34">
        <v>119</v>
      </c>
      <c r="F20" s="1"/>
      <c r="G20">
        <v>300</v>
      </c>
      <c r="H20" s="1"/>
      <c r="J20" s="1"/>
      <c r="L20" s="1"/>
      <c r="N20" s="1"/>
      <c r="O20">
        <f>300-119</f>
        <v>181</v>
      </c>
      <c r="P20" s="1"/>
      <c r="Q20">
        <v>59</v>
      </c>
      <c r="R20" s="1"/>
      <c r="S20">
        <f>O20+Q20</f>
        <v>240</v>
      </c>
      <c r="T20" s="1"/>
      <c r="V20" s="1"/>
    </row>
    <row r="21" spans="1:22" x14ac:dyDescent="0.2">
      <c r="A21" s="36" t="s">
        <v>113</v>
      </c>
      <c r="B21" s="50" t="s">
        <v>149</v>
      </c>
      <c r="C21" s="1">
        <v>13481</v>
      </c>
      <c r="D21" s="34"/>
      <c r="F21" s="1"/>
      <c r="H21" s="1"/>
      <c r="J21" s="1"/>
      <c r="L21" s="1"/>
      <c r="N21" s="1"/>
      <c r="O21">
        <v>13481</v>
      </c>
      <c r="P21" s="1"/>
      <c r="R21" s="1"/>
      <c r="S21">
        <f>O21</f>
        <v>13481</v>
      </c>
      <c r="T21" s="1"/>
      <c r="U21" s="57"/>
      <c r="V21" s="1"/>
    </row>
    <row r="22" spans="1:22" x14ac:dyDescent="0.2">
      <c r="A22" s="2"/>
      <c r="B22" s="6"/>
      <c r="D22" s="34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10</v>
      </c>
      <c r="B23" s="6"/>
      <c r="D23" s="1"/>
      <c r="F23" s="1">
        <v>21595</v>
      </c>
      <c r="H23" s="1"/>
      <c r="J23" s="1">
        <v>9950</v>
      </c>
      <c r="L23" s="1"/>
      <c r="N23" s="1"/>
      <c r="P23" s="1">
        <v>31545</v>
      </c>
      <c r="R23" s="1"/>
      <c r="T23" s="1">
        <f>P23</f>
        <v>31545</v>
      </c>
      <c r="U23" s="57"/>
      <c r="V23" s="1"/>
    </row>
    <row r="24" spans="1:22" x14ac:dyDescent="0.2">
      <c r="A24" s="2" t="s">
        <v>13</v>
      </c>
      <c r="B24" s="6"/>
      <c r="D24" s="1"/>
      <c r="F24" s="1"/>
      <c r="G24">
        <v>39800</v>
      </c>
      <c r="H24" s="1"/>
      <c r="J24" s="1"/>
      <c r="L24" s="1"/>
      <c r="N24" s="1"/>
      <c r="O24">
        <v>17500</v>
      </c>
      <c r="P24" s="1"/>
      <c r="R24" s="1">
        <v>220</v>
      </c>
      <c r="S24">
        <f>O24-R24</f>
        <v>17280</v>
      </c>
      <c r="T24" s="1"/>
      <c r="V24" s="58"/>
    </row>
    <row r="25" spans="1:22" x14ac:dyDescent="0.2">
      <c r="A25" s="2" t="s">
        <v>17</v>
      </c>
      <c r="B25" s="6"/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18</v>
      </c>
      <c r="B26" s="6"/>
      <c r="D26" s="1"/>
      <c r="F26" s="1"/>
      <c r="H26" s="1"/>
      <c r="I26">
        <v>343</v>
      </c>
      <c r="J26" s="1"/>
      <c r="L26" s="1"/>
      <c r="N26" s="1"/>
      <c r="O26">
        <v>1283</v>
      </c>
      <c r="P26" s="1"/>
      <c r="R26" s="1"/>
      <c r="S26">
        <f>O26</f>
        <v>1283</v>
      </c>
      <c r="T26" s="1"/>
      <c r="V26" s="1"/>
    </row>
    <row r="27" spans="1:22" x14ac:dyDescent="0.2">
      <c r="A27" s="2" t="s">
        <v>33</v>
      </c>
      <c r="B27" s="6"/>
      <c r="D27" s="1"/>
      <c r="F27" s="1"/>
      <c r="H27" s="1"/>
      <c r="J27" s="1"/>
      <c r="K27">
        <v>2200</v>
      </c>
      <c r="L27" s="1"/>
      <c r="N27" s="1"/>
      <c r="O27">
        <v>1050</v>
      </c>
      <c r="P27" s="1"/>
      <c r="R27" s="1"/>
      <c r="S27">
        <f>O27</f>
        <v>1050</v>
      </c>
      <c r="T27" s="1"/>
      <c r="V27" s="1"/>
    </row>
    <row r="28" spans="1:22" x14ac:dyDescent="0.2">
      <c r="A28" s="2" t="s">
        <v>19</v>
      </c>
      <c r="B28" s="6"/>
      <c r="D28" s="1"/>
      <c r="F28" s="1"/>
      <c r="H28" s="1"/>
      <c r="J28" s="1"/>
      <c r="L28" s="1">
        <v>446</v>
      </c>
      <c r="N28" s="1"/>
      <c r="O28">
        <v>140</v>
      </c>
      <c r="P28" s="1"/>
      <c r="R28" s="1"/>
      <c r="S28">
        <f>O28</f>
        <v>140</v>
      </c>
      <c r="T28" s="1"/>
      <c r="V28" s="1"/>
    </row>
    <row r="29" spans="1:22" x14ac:dyDescent="0.2">
      <c r="A29" s="2" t="s">
        <v>21</v>
      </c>
      <c r="B29" s="6"/>
      <c r="D29" s="1"/>
      <c r="H29" s="1"/>
      <c r="J29" s="1"/>
      <c r="L29" s="1"/>
      <c r="M29">
        <v>140</v>
      </c>
      <c r="N29" s="1"/>
      <c r="O29">
        <v>2200</v>
      </c>
      <c r="P29" s="1"/>
      <c r="R29" s="1"/>
      <c r="S29">
        <f>O29</f>
        <v>2200</v>
      </c>
      <c r="T29" s="1"/>
      <c r="V29" s="1"/>
    </row>
    <row r="30" spans="1:22" x14ac:dyDescent="0.2">
      <c r="A30" s="41" t="s">
        <v>110</v>
      </c>
      <c r="B30" s="6"/>
      <c r="D30" s="1"/>
      <c r="F30" s="1"/>
      <c r="H30" s="1"/>
      <c r="J30" s="1"/>
      <c r="L30" s="1"/>
      <c r="M30">
        <v>140</v>
      </c>
      <c r="N30" s="1"/>
      <c r="P30" s="1">
        <v>446</v>
      </c>
      <c r="R30" s="1"/>
      <c r="T30" s="1">
        <f>P30</f>
        <v>446</v>
      </c>
      <c r="V30" s="1"/>
    </row>
    <row r="31" spans="1:22" x14ac:dyDescent="0.2">
      <c r="A31" s="2"/>
      <c r="B31" s="6"/>
      <c r="D31" s="1"/>
      <c r="F31" s="1"/>
      <c r="H31" s="1"/>
      <c r="J31" s="1"/>
      <c r="L31" s="1"/>
      <c r="N31" s="1"/>
      <c r="O31">
        <v>140</v>
      </c>
      <c r="P31" s="1"/>
      <c r="R31" s="1"/>
      <c r="S31">
        <f>O31</f>
        <v>140</v>
      </c>
      <c r="T31" s="1"/>
      <c r="V31" s="1"/>
    </row>
    <row r="32" spans="1:22" x14ac:dyDescent="0.2">
      <c r="A32" s="2" t="s">
        <v>24</v>
      </c>
      <c r="B32" s="6"/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4" x14ac:dyDescent="0.2">
      <c r="A33" s="2" t="s">
        <v>25</v>
      </c>
      <c r="B33" s="6"/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4" x14ac:dyDescent="0.2">
      <c r="A34" s="2" t="s">
        <v>26</v>
      </c>
      <c r="B34" s="6"/>
      <c r="D34" s="1"/>
      <c r="F34" s="1"/>
      <c r="H34" s="1"/>
      <c r="J34" s="1"/>
      <c r="L34" s="1"/>
      <c r="N34" s="1"/>
      <c r="P34" s="1"/>
      <c r="Q34">
        <v>2101</v>
      </c>
      <c r="R34" s="1"/>
      <c r="S34">
        <f>Q34</f>
        <v>2101</v>
      </c>
      <c r="T34" s="1"/>
      <c r="V34" s="1"/>
    </row>
    <row r="35" spans="1:24" x14ac:dyDescent="0.2">
      <c r="A35" s="2" t="s">
        <v>27</v>
      </c>
      <c r="B35" s="6"/>
      <c r="D35" s="1"/>
      <c r="F35" s="1"/>
      <c r="H35" s="1"/>
      <c r="J35" s="1"/>
      <c r="L35" s="1"/>
      <c r="N35" s="1"/>
      <c r="P35" s="1"/>
      <c r="Q35">
        <v>555</v>
      </c>
      <c r="R35" s="1"/>
      <c r="S35">
        <f>Q35</f>
        <v>555</v>
      </c>
      <c r="T35" s="1"/>
      <c r="V35" s="1"/>
    </row>
    <row r="36" spans="1:24" x14ac:dyDescent="0.2">
      <c r="A36" s="2" t="s">
        <v>28</v>
      </c>
      <c r="B36" s="6"/>
      <c r="D36" s="1"/>
      <c r="F36" s="1"/>
      <c r="H36" s="1"/>
      <c r="J36" s="1"/>
      <c r="L36" s="1"/>
      <c r="N36" s="1"/>
      <c r="P36" s="1"/>
      <c r="Q36">
        <v>15840</v>
      </c>
      <c r="R36" s="1"/>
      <c r="T36" s="1"/>
      <c r="U36">
        <f>Q36</f>
        <v>15840</v>
      </c>
      <c r="V36" s="58"/>
    </row>
    <row r="37" spans="1:24" x14ac:dyDescent="0.2">
      <c r="A37" s="1" t="s">
        <v>31</v>
      </c>
      <c r="B37" s="1"/>
      <c r="D37" s="1"/>
      <c r="F37" s="1"/>
      <c r="H37" s="1"/>
      <c r="J37" s="1"/>
      <c r="L37" s="1"/>
      <c r="N37" s="1"/>
      <c r="P37" s="1"/>
      <c r="R37" s="1">
        <v>15840</v>
      </c>
      <c r="T37" s="1">
        <f>R37</f>
        <v>15840</v>
      </c>
      <c r="V37" s="1"/>
    </row>
    <row r="38" spans="1:24" x14ac:dyDescent="0.2">
      <c r="A38" s="1"/>
      <c r="B38" s="1"/>
      <c r="D38" s="1"/>
      <c r="F38" s="1"/>
      <c r="H38" s="1"/>
      <c r="J38" s="1"/>
      <c r="L38" s="1"/>
      <c r="N38" s="1"/>
      <c r="P38" s="1"/>
      <c r="Q38">
        <f>R18+R19-Q20</f>
        <v>356</v>
      </c>
      <c r="R38" s="1"/>
      <c r="T38" s="1"/>
      <c r="U38">
        <f>Q38</f>
        <v>356</v>
      </c>
      <c r="V38" s="1"/>
    </row>
    <row r="39" spans="1:24" x14ac:dyDescent="0.2">
      <c r="A39" s="1"/>
      <c r="B39" s="1"/>
      <c r="D39" s="1"/>
      <c r="F39" s="1"/>
      <c r="H39" s="1"/>
      <c r="J39" s="1"/>
      <c r="L39" s="1"/>
      <c r="N39" s="1"/>
      <c r="P39" s="1"/>
      <c r="R39" s="1"/>
      <c r="T39" s="1"/>
      <c r="V39" s="1"/>
    </row>
    <row r="40" spans="1:24" x14ac:dyDescent="0.2">
      <c r="A40" s="1"/>
      <c r="B40" s="1"/>
      <c r="D40" s="1"/>
      <c r="F40" s="1"/>
      <c r="H40" s="1"/>
      <c r="J40" s="1"/>
      <c r="L40" s="1"/>
      <c r="N40" s="1"/>
      <c r="P40" s="1"/>
      <c r="Q40" s="5"/>
      <c r="R40" s="4"/>
      <c r="S40" s="9"/>
      <c r="T40" s="4"/>
      <c r="V40" s="1"/>
    </row>
    <row r="41" spans="1:24" x14ac:dyDescent="0.2">
      <c r="A41" s="1"/>
      <c r="B41" s="1"/>
      <c r="D41" s="1"/>
      <c r="F41" s="1"/>
      <c r="H41" s="1"/>
      <c r="J41" s="1"/>
      <c r="L41" s="1"/>
      <c r="N41" s="1"/>
      <c r="P41" s="1">
        <v>25500</v>
      </c>
      <c r="R41" s="4"/>
      <c r="S41" s="8"/>
      <c r="T41" s="4"/>
      <c r="V41" s="1">
        <f>P41</f>
        <v>25500</v>
      </c>
    </row>
    <row r="42" spans="1:24" x14ac:dyDescent="0.2">
      <c r="A42" s="1" t="s">
        <v>32</v>
      </c>
      <c r="B42" s="1"/>
      <c r="D42" s="1"/>
      <c r="F42" s="1"/>
      <c r="H42" s="1"/>
      <c r="J42" s="1"/>
      <c r="L42" s="1"/>
      <c r="N42" s="1"/>
      <c r="P42" s="1"/>
      <c r="R42" s="4"/>
      <c r="S42" s="51"/>
      <c r="T42" s="4"/>
      <c r="V42" s="1"/>
    </row>
    <row r="43" spans="1:24" x14ac:dyDescent="0.2">
      <c r="A43" s="1"/>
      <c r="B43" s="1"/>
      <c r="D43" s="1"/>
      <c r="F43" s="1"/>
      <c r="H43" s="1"/>
      <c r="J43" s="1"/>
      <c r="L43" s="1"/>
      <c r="N43" s="1"/>
      <c r="P43" s="1"/>
      <c r="Q43" s="49"/>
      <c r="R43" s="4"/>
      <c r="S43" s="51"/>
      <c r="T43" s="4"/>
      <c r="V43" s="1"/>
    </row>
    <row r="44" spans="1:24" x14ac:dyDescent="0.2">
      <c r="A44" s="1"/>
      <c r="B44" s="1"/>
      <c r="D44" s="1"/>
      <c r="F44" s="1"/>
      <c r="H44" s="1"/>
      <c r="J44" s="1"/>
      <c r="L44" s="1"/>
      <c r="N44" s="1"/>
      <c r="P44" s="1"/>
      <c r="R44" s="4"/>
      <c r="S44" s="51">
        <f>9624-443</f>
        <v>9181</v>
      </c>
      <c r="T44" s="4"/>
      <c r="V44" s="4">
        <v>9181</v>
      </c>
    </row>
    <row r="45" spans="1:24" ht="13.5" thickBot="1" x14ac:dyDescent="0.25">
      <c r="A45" s="2"/>
      <c r="B45" s="2"/>
      <c r="C45" s="3">
        <f t="shared" ref="C45:N45" si="0">SUM(C6:C37)</f>
        <v>82319</v>
      </c>
      <c r="D45" s="3">
        <f t="shared" si="0"/>
        <v>82319</v>
      </c>
      <c r="E45" s="3">
        <f t="shared" si="0"/>
        <v>25914</v>
      </c>
      <c r="F45" s="3">
        <f t="shared" si="0"/>
        <v>25914</v>
      </c>
      <c r="G45" s="3">
        <f t="shared" si="0"/>
        <v>49023</v>
      </c>
      <c r="H45" s="3">
        <f t="shared" si="0"/>
        <v>49023</v>
      </c>
      <c r="I45" s="3">
        <f t="shared" si="0"/>
        <v>34583</v>
      </c>
      <c r="J45" s="3">
        <f t="shared" si="0"/>
        <v>34583</v>
      </c>
      <c r="K45" s="3">
        <f t="shared" si="0"/>
        <v>8564</v>
      </c>
      <c r="L45" s="3">
        <f t="shared" si="0"/>
        <v>8564</v>
      </c>
      <c r="M45" s="3">
        <f t="shared" si="0"/>
        <v>308</v>
      </c>
      <c r="N45" s="3">
        <f t="shared" si="0"/>
        <v>308</v>
      </c>
      <c r="O45" s="3">
        <f>SUM(O5:O42)</f>
        <v>167545</v>
      </c>
      <c r="P45" s="3">
        <f>SUM(P5:P42)</f>
        <v>167545</v>
      </c>
      <c r="Q45" s="3">
        <f>SUM(Q5:Q42)</f>
        <v>19131</v>
      </c>
      <c r="R45" s="3">
        <f>SUM(R5:R42)</f>
        <v>19131</v>
      </c>
      <c r="S45" s="3">
        <v>47831</v>
      </c>
      <c r="T45" s="3">
        <f t="shared" ref="S45:V45" si="1">SUM(T5:T42)</f>
        <v>47831</v>
      </c>
      <c r="U45" s="3">
        <f t="shared" si="1"/>
        <v>147171</v>
      </c>
      <c r="V45" s="3">
        <v>147171</v>
      </c>
      <c r="X45" s="51"/>
    </row>
    <row r="46" spans="1:24" ht="13.5" thickTop="1" x14ac:dyDescent="0.2">
      <c r="P46" s="2"/>
      <c r="Q46" s="2"/>
      <c r="R46" s="2"/>
      <c r="S46" s="2"/>
      <c r="T46" s="2"/>
      <c r="U46" s="2"/>
      <c r="V46" s="2"/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topLeftCell="A2" zoomScale="90" zoomScaleNormal="90" workbookViewId="0">
      <selection activeCell="G28" sqref="G28"/>
    </sheetView>
  </sheetViews>
  <sheetFormatPr defaultRowHeight="12.75" x14ac:dyDescent="0.2"/>
  <cols>
    <col min="1" max="1" width="10.42578125" customWidth="1"/>
    <col min="5" max="5" width="9.85546875" bestFit="1" customWidth="1"/>
    <col min="6" max="6" width="10.28515625" bestFit="1" customWidth="1"/>
    <col min="7" max="7" width="9.85546875" bestFit="1" customWidth="1"/>
  </cols>
  <sheetData>
    <row r="1" spans="1:7" ht="23.25" x14ac:dyDescent="0.35">
      <c r="A1" s="21" t="s">
        <v>72</v>
      </c>
      <c r="B1" s="21"/>
      <c r="C1" s="21"/>
      <c r="D1" s="21"/>
    </row>
    <row r="6" spans="1:7" ht="18" x14ac:dyDescent="0.25">
      <c r="A6" s="22" t="s">
        <v>73</v>
      </c>
      <c r="B6" s="56" t="s">
        <v>74</v>
      </c>
      <c r="C6" s="56"/>
      <c r="D6" s="56"/>
      <c r="E6" s="22" t="s">
        <v>75</v>
      </c>
      <c r="F6" s="22" t="s">
        <v>76</v>
      </c>
      <c r="G6" s="22" t="s">
        <v>77</v>
      </c>
    </row>
    <row r="7" spans="1:7" ht="18" x14ac:dyDescent="0.25">
      <c r="A7" s="11"/>
      <c r="B7" s="11"/>
      <c r="C7" s="11"/>
      <c r="D7" s="11"/>
      <c r="E7" s="11"/>
      <c r="F7" s="22"/>
      <c r="G7" s="22"/>
    </row>
    <row r="8" spans="1:7" ht="18" x14ac:dyDescent="0.25">
      <c r="A8" s="11"/>
      <c r="B8" s="11"/>
      <c r="C8" s="11"/>
      <c r="D8" s="11"/>
      <c r="E8" s="22" t="s">
        <v>78</v>
      </c>
      <c r="F8" s="22" t="s">
        <v>78</v>
      </c>
      <c r="G8" s="22" t="s">
        <v>78</v>
      </c>
    </row>
    <row r="9" spans="1:7" ht="18" x14ac:dyDescent="0.25">
      <c r="A9" s="46">
        <v>44202</v>
      </c>
      <c r="B9" s="11" t="s">
        <v>119</v>
      </c>
      <c r="C9" s="11"/>
      <c r="D9" s="11"/>
      <c r="E9" s="11">
        <f>10395*1.2</f>
        <v>12474</v>
      </c>
      <c r="F9" s="22">
        <f>12474-10395</f>
        <v>2079</v>
      </c>
      <c r="G9" s="22">
        <v>10395</v>
      </c>
    </row>
    <row r="10" spans="1:7" ht="18" x14ac:dyDescent="0.25">
      <c r="A10" s="24">
        <v>44209</v>
      </c>
      <c r="B10" s="23" t="s">
        <v>127</v>
      </c>
      <c r="C10" s="23"/>
      <c r="D10" s="23"/>
      <c r="E10" s="37">
        <f>4640*1.2</f>
        <v>5568</v>
      </c>
      <c r="F10" s="37">
        <f>5568-4640</f>
        <v>928</v>
      </c>
      <c r="G10" s="37">
        <v>4640</v>
      </c>
    </row>
    <row r="11" spans="1:7" ht="18" x14ac:dyDescent="0.25">
      <c r="A11" s="24">
        <v>44255</v>
      </c>
      <c r="B11" s="23" t="s">
        <v>135</v>
      </c>
      <c r="C11" s="23"/>
      <c r="D11" s="23"/>
      <c r="E11" s="37">
        <f>1200*1.2</f>
        <v>1440</v>
      </c>
      <c r="F11" s="23">
        <f>1440-1200</f>
        <v>240</v>
      </c>
      <c r="G11" s="37">
        <v>1200</v>
      </c>
    </row>
    <row r="12" spans="1:7" ht="18" x14ac:dyDescent="0.25">
      <c r="A12" s="24">
        <v>44255</v>
      </c>
      <c r="B12" s="23" t="s">
        <v>127</v>
      </c>
      <c r="C12" s="23"/>
      <c r="D12" s="23"/>
      <c r="E12" s="37">
        <f>2450*1.2</f>
        <v>2940</v>
      </c>
      <c r="F12" s="23">
        <f>2940-2450</f>
        <v>490</v>
      </c>
      <c r="G12" s="37">
        <v>2450</v>
      </c>
    </row>
    <row r="13" spans="1:7" ht="18" x14ac:dyDescent="0.25">
      <c r="A13" s="24">
        <v>44278</v>
      </c>
      <c r="B13" s="23" t="s">
        <v>119</v>
      </c>
      <c r="C13" s="23"/>
      <c r="D13" s="23"/>
      <c r="E13" s="37">
        <f>2910*1.2</f>
        <v>3492</v>
      </c>
      <c r="F13" s="23">
        <f>3492-2910</f>
        <v>582</v>
      </c>
      <c r="G13" s="37">
        <v>2910</v>
      </c>
    </row>
    <row r="14" spans="1:7" ht="18" x14ac:dyDescent="0.25">
      <c r="A14" s="24"/>
      <c r="B14" s="23"/>
      <c r="C14" s="23"/>
      <c r="D14" s="23"/>
      <c r="E14" s="23"/>
      <c r="F14" s="23"/>
      <c r="G14" s="23"/>
    </row>
    <row r="15" spans="1:7" ht="18" x14ac:dyDescent="0.25">
      <c r="A15" s="39"/>
      <c r="B15" s="23"/>
      <c r="C15" s="23"/>
      <c r="D15" s="23"/>
      <c r="E15" s="23"/>
      <c r="F15" s="23"/>
      <c r="G15" s="23"/>
    </row>
    <row r="16" spans="1:7" ht="18.75" thickBot="1" x14ac:dyDescent="0.3">
      <c r="A16" s="23"/>
      <c r="B16" s="23"/>
      <c r="C16" s="23"/>
      <c r="D16" s="23"/>
      <c r="E16" s="30">
        <f>SUM(E8:E14)</f>
        <v>25914</v>
      </c>
      <c r="F16" s="30">
        <f t="shared" ref="F16:G16" si="0">SUM(F8:F14)</f>
        <v>4319</v>
      </c>
      <c r="G16" s="30">
        <f t="shared" si="0"/>
        <v>21595</v>
      </c>
    </row>
    <row r="17" spans="1:10" ht="18.75" thickTop="1" x14ac:dyDescent="0.25">
      <c r="A17" s="23"/>
      <c r="B17" s="23"/>
      <c r="C17" s="23"/>
      <c r="D17" s="23"/>
      <c r="E17" s="23"/>
      <c r="F17" s="23"/>
      <c r="G17" s="23"/>
    </row>
    <row r="19" spans="1:10" ht="18" x14ac:dyDescent="0.25">
      <c r="E19" s="23" t="s">
        <v>3</v>
      </c>
      <c r="F19" s="23" t="s">
        <v>83</v>
      </c>
      <c r="G19" s="23">
        <f>E16</f>
        <v>25914</v>
      </c>
      <c r="H19" s="23"/>
      <c r="I19" s="23"/>
      <c r="J19" s="23"/>
    </row>
    <row r="20" spans="1:10" ht="18" x14ac:dyDescent="0.25">
      <c r="E20" s="23"/>
      <c r="F20" s="23"/>
      <c r="G20" s="23"/>
      <c r="H20" s="23"/>
      <c r="I20" s="23"/>
      <c r="J20" s="23"/>
    </row>
    <row r="21" spans="1:10" ht="18" x14ac:dyDescent="0.25">
      <c r="E21" s="23" t="s">
        <v>4</v>
      </c>
      <c r="F21" s="23" t="s">
        <v>10</v>
      </c>
      <c r="G21" s="23">
        <f>G16</f>
        <v>21595</v>
      </c>
      <c r="H21" s="23"/>
      <c r="I21" s="23"/>
      <c r="J21" s="23"/>
    </row>
    <row r="22" spans="1:10" ht="18" x14ac:dyDescent="0.25">
      <c r="E22" s="23"/>
      <c r="F22" s="23" t="s">
        <v>94</v>
      </c>
      <c r="G22" s="23">
        <f>F16</f>
        <v>4319</v>
      </c>
      <c r="H22" s="23"/>
      <c r="I22" s="23"/>
      <c r="J22" s="23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30"/>
  <sheetViews>
    <sheetView topLeftCell="A3" zoomScale="90" zoomScaleNormal="90" workbookViewId="0">
      <selection activeCell="H24" sqref="H24"/>
    </sheetView>
  </sheetViews>
  <sheetFormatPr defaultRowHeight="12.75" x14ac:dyDescent="0.2"/>
  <cols>
    <col min="1" max="1" width="10.42578125" customWidth="1"/>
    <col min="2" max="2" width="14" customWidth="1"/>
    <col min="4" max="4" width="11" customWidth="1"/>
    <col min="5" max="5" width="16.42578125" bestFit="1" customWidth="1"/>
    <col min="6" max="6" width="14.140625" customWidth="1"/>
    <col min="7" max="7" width="14" customWidth="1"/>
  </cols>
  <sheetData>
    <row r="1" spans="1:7" ht="23.25" x14ac:dyDescent="0.35">
      <c r="A1" s="21" t="s">
        <v>79</v>
      </c>
      <c r="B1" s="21"/>
      <c r="C1" s="21"/>
    </row>
    <row r="6" spans="1:7" ht="18" x14ac:dyDescent="0.25">
      <c r="A6" s="22" t="s">
        <v>73</v>
      </c>
      <c r="B6" s="56" t="s">
        <v>80</v>
      </c>
      <c r="C6" s="56"/>
      <c r="D6" s="22" t="s">
        <v>75</v>
      </c>
      <c r="E6" s="22" t="s">
        <v>76</v>
      </c>
      <c r="F6" s="22" t="s">
        <v>13</v>
      </c>
      <c r="G6" s="22" t="s">
        <v>114</v>
      </c>
    </row>
    <row r="7" spans="1:7" ht="18" x14ac:dyDescent="0.25">
      <c r="A7" s="11"/>
      <c r="B7" s="11"/>
      <c r="C7" s="11"/>
      <c r="D7" s="11"/>
      <c r="E7" s="11"/>
      <c r="F7" s="11"/>
      <c r="G7" s="22"/>
    </row>
    <row r="8" spans="1:7" ht="18" x14ac:dyDescent="0.25">
      <c r="A8" s="11"/>
      <c r="B8" s="11"/>
      <c r="C8" s="11"/>
      <c r="D8" s="22" t="s">
        <v>78</v>
      </c>
      <c r="E8" s="22" t="s">
        <v>78</v>
      </c>
      <c r="F8" s="22" t="s">
        <v>78</v>
      </c>
      <c r="G8" s="22" t="s">
        <v>78</v>
      </c>
    </row>
    <row r="9" spans="1:7" ht="18" x14ac:dyDescent="0.25">
      <c r="A9" s="23"/>
      <c r="B9" s="23"/>
      <c r="C9" s="23"/>
      <c r="D9" s="23"/>
      <c r="E9" s="23"/>
      <c r="F9" s="23"/>
      <c r="G9" s="23"/>
    </row>
    <row r="10" spans="1:7" ht="18" x14ac:dyDescent="0.25">
      <c r="A10" s="24">
        <v>44202</v>
      </c>
      <c r="B10" s="23" t="s">
        <v>120</v>
      </c>
      <c r="C10" s="23"/>
      <c r="D10" s="37">
        <f>6240*1.2</f>
        <v>7488</v>
      </c>
      <c r="E10" s="37">
        <f>7488-6240</f>
        <v>1248</v>
      </c>
      <c r="F10" s="37">
        <v>6240</v>
      </c>
      <c r="G10" s="23"/>
    </row>
    <row r="11" spans="1:7" ht="18" x14ac:dyDescent="0.25">
      <c r="A11" s="24">
        <v>44227</v>
      </c>
      <c r="B11" s="23" t="s">
        <v>129</v>
      </c>
      <c r="C11" s="23"/>
      <c r="D11" s="23">
        <v>528</v>
      </c>
      <c r="E11" s="23">
        <f>528-440</f>
        <v>88</v>
      </c>
      <c r="F11" s="23"/>
      <c r="G11" s="23">
        <f>528/1.2</f>
        <v>440</v>
      </c>
    </row>
    <row r="12" spans="1:7" ht="18" x14ac:dyDescent="0.25">
      <c r="A12" s="24">
        <v>44227</v>
      </c>
      <c r="B12" s="23" t="s">
        <v>130</v>
      </c>
      <c r="C12" s="23"/>
      <c r="D12" s="23">
        <f>300*1.05</f>
        <v>315</v>
      </c>
      <c r="E12" s="23">
        <f>315-300</f>
        <v>15</v>
      </c>
      <c r="F12" s="23"/>
      <c r="G12" s="23">
        <v>300</v>
      </c>
    </row>
    <row r="13" spans="1:7" ht="18" x14ac:dyDescent="0.25">
      <c r="A13" s="24">
        <v>44230</v>
      </c>
      <c r="B13" s="23" t="s">
        <v>131</v>
      </c>
      <c r="C13" s="23"/>
      <c r="D13" s="23">
        <f>400*1.05</f>
        <v>420</v>
      </c>
      <c r="E13" s="23">
        <f>420-400</f>
        <v>20</v>
      </c>
      <c r="F13" s="23"/>
      <c r="G13" s="23">
        <v>400</v>
      </c>
    </row>
    <row r="14" spans="1:7" ht="18" x14ac:dyDescent="0.25">
      <c r="A14" s="24">
        <v>44237</v>
      </c>
      <c r="B14" s="23" t="s">
        <v>132</v>
      </c>
      <c r="C14" s="23"/>
      <c r="D14" s="23">
        <f>1050*1.2</f>
        <v>1260</v>
      </c>
      <c r="E14" s="23">
        <f>1260-1050</f>
        <v>210</v>
      </c>
      <c r="F14" s="23">
        <v>1050</v>
      </c>
      <c r="G14" s="23"/>
    </row>
    <row r="15" spans="1:7" ht="18" x14ac:dyDescent="0.25">
      <c r="A15" s="24">
        <v>44264</v>
      </c>
      <c r="B15" s="23" t="s">
        <v>138</v>
      </c>
      <c r="C15" s="23"/>
      <c r="D15" s="23">
        <f>6400*1.2</f>
        <v>7680</v>
      </c>
      <c r="E15" s="23">
        <f>7680-6400</f>
        <v>1280</v>
      </c>
      <c r="F15" s="23">
        <v>6400</v>
      </c>
      <c r="G15" s="23"/>
    </row>
    <row r="16" spans="1:7" ht="18" x14ac:dyDescent="0.25">
      <c r="A16" s="24">
        <v>44268</v>
      </c>
      <c r="B16" s="23" t="s">
        <v>134</v>
      </c>
      <c r="C16" s="23"/>
      <c r="D16" s="23">
        <f>4780*1.2</f>
        <v>5736</v>
      </c>
      <c r="E16" s="23">
        <f>5736-4780</f>
        <v>956</v>
      </c>
      <c r="F16" s="23">
        <v>4780</v>
      </c>
      <c r="G16" s="23"/>
    </row>
    <row r="17" spans="1:8" ht="18" x14ac:dyDescent="0.25">
      <c r="A17" s="24">
        <v>44271</v>
      </c>
      <c r="B17" s="23" t="s">
        <v>120</v>
      </c>
      <c r="C17" s="23"/>
      <c r="D17" s="23">
        <f>6480*1.2</f>
        <v>7776</v>
      </c>
      <c r="E17" s="23">
        <f>7776-6480</f>
        <v>1296</v>
      </c>
      <c r="F17" s="23">
        <v>6480</v>
      </c>
      <c r="G17" s="23"/>
    </row>
    <row r="18" spans="1:8" ht="18" x14ac:dyDescent="0.25">
      <c r="A18" s="24">
        <v>44281</v>
      </c>
      <c r="B18" s="23" t="s">
        <v>139</v>
      </c>
      <c r="C18" s="23"/>
      <c r="D18" s="23">
        <f>14850*1.2</f>
        <v>17820</v>
      </c>
      <c r="E18" s="23">
        <f>17820-14850</f>
        <v>2970</v>
      </c>
      <c r="F18" s="23">
        <v>14850</v>
      </c>
      <c r="G18" s="23"/>
    </row>
    <row r="19" spans="1:8" ht="18.75" thickBot="1" x14ac:dyDescent="0.3">
      <c r="D19" s="44">
        <f>SUM(D10:D18)</f>
        <v>49023</v>
      </c>
      <c r="E19" s="44">
        <f t="shared" ref="E19:G19" si="0">SUM(E10:E18)</f>
        <v>8083</v>
      </c>
      <c r="F19" s="44">
        <f t="shared" si="0"/>
        <v>39800</v>
      </c>
      <c r="G19" s="44">
        <f t="shared" si="0"/>
        <v>1140</v>
      </c>
    </row>
    <row r="20" spans="1:8" ht="13.5" thickTop="1" x14ac:dyDescent="0.2"/>
    <row r="23" spans="1:8" ht="18" x14ac:dyDescent="0.25">
      <c r="D23" s="23" t="s">
        <v>3</v>
      </c>
      <c r="E23" s="23" t="s">
        <v>13</v>
      </c>
      <c r="F23" s="37">
        <f>F19</f>
        <v>39800</v>
      </c>
      <c r="G23" s="23"/>
      <c r="H23" s="23"/>
    </row>
    <row r="24" spans="1:8" ht="18" x14ac:dyDescent="0.25">
      <c r="D24" s="23"/>
      <c r="E24" s="23" t="s">
        <v>141</v>
      </c>
      <c r="F24" s="37">
        <v>300</v>
      </c>
      <c r="G24" s="23"/>
      <c r="H24" s="23"/>
    </row>
    <row r="25" spans="1:8" ht="18" x14ac:dyDescent="0.25">
      <c r="D25" s="23"/>
      <c r="E25" s="23" t="s">
        <v>150</v>
      </c>
      <c r="F25" s="37">
        <v>400</v>
      </c>
      <c r="G25" s="23"/>
      <c r="H25" s="23"/>
    </row>
    <row r="26" spans="1:8" ht="18" x14ac:dyDescent="0.25">
      <c r="D26" s="23"/>
      <c r="E26" s="23" t="s">
        <v>140</v>
      </c>
      <c r="F26" s="37">
        <v>440</v>
      </c>
      <c r="G26" s="23"/>
      <c r="H26" s="23"/>
    </row>
    <row r="27" spans="1:8" ht="18" x14ac:dyDescent="0.25">
      <c r="D27" s="23"/>
      <c r="E27" s="23" t="s">
        <v>94</v>
      </c>
      <c r="F27" s="37">
        <f>E19</f>
        <v>8083</v>
      </c>
      <c r="G27" s="23"/>
      <c r="H27" s="23"/>
    </row>
    <row r="28" spans="1:8" ht="18" x14ac:dyDescent="0.25">
      <c r="D28" s="23"/>
      <c r="E28" s="23"/>
      <c r="F28" s="23"/>
      <c r="G28" s="23"/>
      <c r="H28" s="23"/>
    </row>
    <row r="29" spans="1:8" ht="18" x14ac:dyDescent="0.25">
      <c r="D29" s="23" t="s">
        <v>4</v>
      </c>
      <c r="E29" s="23" t="s">
        <v>88</v>
      </c>
      <c r="F29" s="37">
        <f>D19</f>
        <v>49023</v>
      </c>
      <c r="G29" s="23"/>
      <c r="H29" s="23"/>
    </row>
    <row r="30" spans="1:8" ht="18" x14ac:dyDescent="0.25">
      <c r="E30" s="23"/>
      <c r="G30" s="23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26"/>
  <sheetViews>
    <sheetView topLeftCell="H3" workbookViewId="0">
      <selection activeCell="N22" sqref="N22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2" max="12" width="11.85546875" customWidth="1"/>
    <col min="13" max="13" width="20.42578125" bestFit="1" customWidth="1"/>
  </cols>
  <sheetData>
    <row r="1" spans="1:14" ht="23.25" x14ac:dyDescent="0.35">
      <c r="A1" s="21" t="s">
        <v>81</v>
      </c>
    </row>
    <row r="4" spans="1:14" x14ac:dyDescent="0.2">
      <c r="L4" t="s">
        <v>122</v>
      </c>
    </row>
    <row r="6" spans="1:14" ht="18" x14ac:dyDescent="0.25">
      <c r="A6" s="22" t="s">
        <v>73</v>
      </c>
      <c r="B6" s="56" t="s">
        <v>80</v>
      </c>
      <c r="C6" s="56"/>
      <c r="D6" s="56"/>
      <c r="E6" s="22" t="s">
        <v>75</v>
      </c>
      <c r="F6" s="22" t="s">
        <v>76</v>
      </c>
      <c r="G6" s="22" t="s">
        <v>82</v>
      </c>
      <c r="H6" s="22" t="s">
        <v>10</v>
      </c>
      <c r="I6" s="22" t="s">
        <v>93</v>
      </c>
      <c r="J6" s="38" t="s">
        <v>2</v>
      </c>
      <c r="K6" s="45"/>
      <c r="L6" s="22" t="s">
        <v>90</v>
      </c>
    </row>
    <row r="7" spans="1:14" ht="18" x14ac:dyDescent="0.25">
      <c r="A7" s="11"/>
      <c r="B7" s="11"/>
      <c r="C7" s="11"/>
      <c r="D7" s="11"/>
      <c r="E7" s="11"/>
      <c r="F7" s="11"/>
      <c r="G7" s="22" t="s">
        <v>83</v>
      </c>
      <c r="H7" s="11"/>
      <c r="L7" s="22" t="s">
        <v>92</v>
      </c>
    </row>
    <row r="8" spans="1:14" ht="18" x14ac:dyDescent="0.25">
      <c r="A8" s="11"/>
      <c r="B8" s="11"/>
      <c r="C8" s="11"/>
      <c r="D8" s="11"/>
      <c r="E8" s="22" t="s">
        <v>78</v>
      </c>
      <c r="F8" s="22" t="s">
        <v>78</v>
      </c>
      <c r="G8" s="22" t="s">
        <v>78</v>
      </c>
      <c r="H8" s="22" t="s">
        <v>78</v>
      </c>
      <c r="I8" s="22" t="s">
        <v>78</v>
      </c>
      <c r="L8" s="22" t="s">
        <v>78</v>
      </c>
    </row>
    <row r="9" spans="1:14" ht="18" x14ac:dyDescent="0.25">
      <c r="A9" s="11"/>
      <c r="B9" s="11"/>
      <c r="C9" s="11"/>
      <c r="D9" s="11"/>
      <c r="E9" s="22"/>
      <c r="F9" s="22"/>
      <c r="G9" s="22"/>
      <c r="H9" s="22"/>
      <c r="I9" s="22"/>
      <c r="L9" s="22"/>
    </row>
    <row r="10" spans="1:14" ht="18" x14ac:dyDescent="0.25">
      <c r="A10" s="27">
        <v>44202</v>
      </c>
      <c r="B10" s="47" t="s">
        <v>118</v>
      </c>
      <c r="D10" s="22"/>
      <c r="E10" s="28">
        <v>4812</v>
      </c>
      <c r="F10" s="28">
        <f>4812-4010</f>
        <v>802</v>
      </c>
      <c r="G10" s="22"/>
      <c r="H10" s="23">
        <f>4812/1.2</f>
        <v>4010</v>
      </c>
      <c r="L10" s="23"/>
    </row>
    <row r="11" spans="1:14" ht="18" x14ac:dyDescent="0.25">
      <c r="A11" s="24">
        <v>44205</v>
      </c>
      <c r="B11" s="25" t="s">
        <v>121</v>
      </c>
      <c r="C11" s="31"/>
      <c r="D11" s="25"/>
      <c r="E11" s="23">
        <v>2900</v>
      </c>
      <c r="F11" s="23"/>
      <c r="G11" s="23">
        <v>2900</v>
      </c>
      <c r="H11" s="23"/>
      <c r="L11" s="23">
        <f>3118-2900</f>
        <v>218</v>
      </c>
    </row>
    <row r="12" spans="1:14" ht="18" x14ac:dyDescent="0.25">
      <c r="A12" s="24">
        <v>44206</v>
      </c>
      <c r="B12" s="23" t="s">
        <v>123</v>
      </c>
      <c r="C12" s="23"/>
      <c r="D12" s="23"/>
      <c r="E12" s="23">
        <v>2400</v>
      </c>
      <c r="F12" s="23"/>
      <c r="G12" s="23">
        <v>2400</v>
      </c>
      <c r="H12" s="23"/>
      <c r="L12" s="23">
        <f>2525-2400</f>
        <v>125</v>
      </c>
    </row>
    <row r="13" spans="1:14" ht="18" x14ac:dyDescent="0.25">
      <c r="A13" s="24">
        <v>44255</v>
      </c>
      <c r="B13" s="23" t="s">
        <v>136</v>
      </c>
      <c r="C13" s="23"/>
      <c r="D13" s="23"/>
      <c r="E13" s="23">
        <v>12000</v>
      </c>
      <c r="F13" s="23"/>
      <c r="G13" s="23"/>
      <c r="H13" s="23"/>
      <c r="I13" s="23"/>
      <c r="J13" s="23">
        <v>12000</v>
      </c>
      <c r="K13" s="23"/>
      <c r="L13" s="23"/>
    </row>
    <row r="14" spans="1:14" ht="18" x14ac:dyDescent="0.25">
      <c r="A14" s="24">
        <v>44257</v>
      </c>
      <c r="B14" s="23" t="s">
        <v>127</v>
      </c>
      <c r="C14" s="23"/>
      <c r="D14" s="23"/>
      <c r="E14" s="23">
        <v>5000</v>
      </c>
      <c r="F14" s="23"/>
      <c r="G14" s="23">
        <v>5000</v>
      </c>
      <c r="H14" s="23"/>
      <c r="I14" s="23"/>
      <c r="J14" s="23"/>
      <c r="K14" s="23"/>
      <c r="L14" s="23"/>
      <c r="N14" s="49" t="s">
        <v>137</v>
      </c>
    </row>
    <row r="15" spans="1:14" ht="18" x14ac:dyDescent="0.25">
      <c r="A15" s="24">
        <v>44257</v>
      </c>
      <c r="B15" s="23" t="s">
        <v>118</v>
      </c>
      <c r="C15" s="23"/>
      <c r="D15" s="23"/>
      <c r="E15" s="23">
        <v>5346</v>
      </c>
      <c r="F15" s="23">
        <f>5346-4455</f>
        <v>891</v>
      </c>
      <c r="G15" s="23"/>
      <c r="H15" s="23">
        <f>5346/1.2</f>
        <v>4455</v>
      </c>
      <c r="J15" s="23"/>
      <c r="K15" s="23"/>
      <c r="L15" s="40"/>
    </row>
    <row r="16" spans="1:14" ht="18" x14ac:dyDescent="0.25">
      <c r="A16" s="24">
        <v>44264</v>
      </c>
      <c r="B16" s="23" t="s">
        <v>118</v>
      </c>
      <c r="C16" s="23"/>
      <c r="D16" s="23"/>
      <c r="E16" s="23">
        <v>1782</v>
      </c>
      <c r="F16" s="23">
        <f>1782-1485</f>
        <v>297</v>
      </c>
      <c r="G16" s="23"/>
      <c r="H16" s="40">
        <f>1782/1.2</f>
        <v>1485</v>
      </c>
      <c r="I16" s="40"/>
    </row>
    <row r="17" spans="1:17" ht="18" x14ac:dyDescent="0.25">
      <c r="A17" s="39"/>
      <c r="B17" s="23"/>
      <c r="C17" s="23"/>
      <c r="D17" s="23"/>
      <c r="E17" s="23"/>
      <c r="F17" s="23"/>
      <c r="G17" s="23"/>
    </row>
    <row r="18" spans="1:17" ht="18.75" thickBot="1" x14ac:dyDescent="0.3">
      <c r="A18" s="23"/>
      <c r="B18" s="23"/>
      <c r="C18" s="23"/>
      <c r="D18" s="23"/>
      <c r="E18" s="30">
        <f>SUM(E10:E16)</f>
        <v>34240</v>
      </c>
      <c r="F18" s="30">
        <f t="shared" ref="F18:L18" si="0">SUM(F10:F16)</f>
        <v>1990</v>
      </c>
      <c r="G18" s="30">
        <f t="shared" si="0"/>
        <v>10300</v>
      </c>
      <c r="H18" s="30">
        <f t="shared" si="0"/>
        <v>9950</v>
      </c>
      <c r="I18" s="30">
        <f t="shared" si="0"/>
        <v>0</v>
      </c>
      <c r="J18" s="30">
        <f t="shared" si="0"/>
        <v>12000</v>
      </c>
      <c r="K18" s="30"/>
      <c r="L18" s="30">
        <f t="shared" si="0"/>
        <v>343</v>
      </c>
      <c r="M18" s="23"/>
      <c r="N18" s="23"/>
      <c r="O18" s="23"/>
      <c r="P18" s="23"/>
      <c r="Q18" s="23"/>
    </row>
    <row r="19" spans="1:17" ht="18.75" thickTop="1" x14ac:dyDescent="0.25"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ht="18" x14ac:dyDescent="0.25">
      <c r="H20" s="23"/>
      <c r="I20" s="23"/>
      <c r="J20" s="23"/>
      <c r="K20" s="23"/>
      <c r="L20" s="23" t="s">
        <v>143</v>
      </c>
      <c r="M20" s="23" t="s">
        <v>83</v>
      </c>
      <c r="N20" s="23">
        <f>L18</f>
        <v>343</v>
      </c>
      <c r="O20" s="23"/>
      <c r="P20" s="23"/>
      <c r="Q20" s="23"/>
    </row>
    <row r="21" spans="1:17" ht="18" x14ac:dyDescent="0.25">
      <c r="E21" s="23" t="s">
        <v>95</v>
      </c>
      <c r="F21" s="23" t="s">
        <v>96</v>
      </c>
      <c r="G21" s="37">
        <f>E18</f>
        <v>34240</v>
      </c>
      <c r="H21" s="23"/>
      <c r="I21" s="23"/>
      <c r="J21" s="23"/>
      <c r="K21" s="23"/>
      <c r="L21" s="23" t="s">
        <v>144</v>
      </c>
      <c r="M21" s="23" t="s">
        <v>18</v>
      </c>
      <c r="N21" s="23">
        <f>L18</f>
        <v>343</v>
      </c>
      <c r="O21" s="23"/>
      <c r="P21" s="23"/>
    </row>
    <row r="22" spans="1:17" ht="18" x14ac:dyDescent="0.25"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  <row r="23" spans="1:17" ht="18" x14ac:dyDescent="0.25">
      <c r="E23" s="23" t="s">
        <v>4</v>
      </c>
      <c r="F23" s="23" t="s">
        <v>94</v>
      </c>
      <c r="G23" s="23">
        <f>F18</f>
        <v>1990</v>
      </c>
      <c r="H23" s="23"/>
      <c r="I23" s="23"/>
      <c r="J23" s="23"/>
      <c r="K23" s="23"/>
      <c r="L23" s="23"/>
      <c r="M23" s="23"/>
      <c r="N23" s="23"/>
      <c r="O23" s="23"/>
      <c r="P23" s="23"/>
    </row>
    <row r="24" spans="1:17" ht="18" x14ac:dyDescent="0.25">
      <c r="E24" s="23"/>
      <c r="F24" s="23" t="s">
        <v>83</v>
      </c>
      <c r="G24" s="23">
        <f>G18</f>
        <v>10300</v>
      </c>
      <c r="H24" s="23"/>
      <c r="I24" s="23"/>
      <c r="L24" s="23"/>
      <c r="M24" s="23"/>
      <c r="N24" s="23"/>
      <c r="O24" s="23"/>
    </row>
    <row r="25" spans="1:17" ht="18" x14ac:dyDescent="0.25">
      <c r="E25" s="23"/>
      <c r="F25" s="23" t="s">
        <v>10</v>
      </c>
      <c r="G25" s="23">
        <f>H18</f>
        <v>9950</v>
      </c>
      <c r="L25" s="23"/>
      <c r="M25" s="23"/>
      <c r="N25" s="23"/>
      <c r="O25" s="23"/>
    </row>
    <row r="26" spans="1:17" ht="18" x14ac:dyDescent="0.25">
      <c r="E26" s="23" t="s">
        <v>115</v>
      </c>
      <c r="F26" s="23"/>
      <c r="G26" s="23">
        <f>J18</f>
        <v>12000</v>
      </c>
      <c r="L26" s="23"/>
      <c r="M26" s="23"/>
      <c r="N26" s="23"/>
      <c r="O26" s="23"/>
    </row>
  </sheetData>
  <mergeCells count="1">
    <mergeCell ref="B6:D6"/>
  </mergeCells>
  <pageMargins left="0.7" right="0.7" top="0.75" bottom="0.75" header="0.3" footer="0.3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9"/>
  <sheetViews>
    <sheetView topLeftCell="A4" workbookViewId="0">
      <selection activeCell="D18" sqref="D18"/>
    </sheetView>
  </sheetViews>
  <sheetFormatPr defaultRowHeight="12.75" x14ac:dyDescent="0.2"/>
  <cols>
    <col min="1" max="1" width="11" customWidth="1"/>
    <col min="4" max="4" width="11.5703125" customWidth="1"/>
    <col min="5" max="5" width="13.7109375" bestFit="1" customWidth="1"/>
    <col min="6" max="6" width="13.140625" customWidth="1"/>
    <col min="10" max="10" width="13.28515625" customWidth="1"/>
    <col min="11" max="11" width="22.7109375" bestFit="1" customWidth="1"/>
  </cols>
  <sheetData>
    <row r="1" spans="1:11" ht="23.25" x14ac:dyDescent="0.35">
      <c r="A1" s="21" t="s">
        <v>84</v>
      </c>
      <c r="B1" s="21"/>
      <c r="C1" s="21"/>
    </row>
    <row r="4" spans="1:11" x14ac:dyDescent="0.2">
      <c r="J4" s="49" t="s">
        <v>125</v>
      </c>
    </row>
    <row r="6" spans="1:11" ht="18" x14ac:dyDescent="0.25">
      <c r="A6" s="22" t="s">
        <v>73</v>
      </c>
      <c r="B6" s="25" t="s">
        <v>85</v>
      </c>
      <c r="C6" s="25"/>
      <c r="D6" s="22" t="s">
        <v>75</v>
      </c>
      <c r="E6" s="22" t="s">
        <v>76</v>
      </c>
      <c r="F6" s="22" t="s">
        <v>86</v>
      </c>
      <c r="G6" s="22" t="s">
        <v>33</v>
      </c>
      <c r="H6" s="22" t="s">
        <v>87</v>
      </c>
      <c r="I6" s="38"/>
      <c r="J6" s="25" t="s">
        <v>90</v>
      </c>
    </row>
    <row r="7" spans="1:11" ht="18" x14ac:dyDescent="0.25">
      <c r="A7" s="11"/>
      <c r="B7" s="11"/>
      <c r="C7" s="11"/>
      <c r="D7" s="11"/>
      <c r="E7" s="11"/>
      <c r="F7" s="22" t="s">
        <v>88</v>
      </c>
      <c r="G7" s="22"/>
      <c r="H7" s="22" t="s">
        <v>15</v>
      </c>
      <c r="J7" s="25" t="s">
        <v>91</v>
      </c>
    </row>
    <row r="8" spans="1:11" ht="18" x14ac:dyDescent="0.25">
      <c r="A8" s="11"/>
      <c r="B8" s="11"/>
      <c r="C8" s="11"/>
      <c r="D8" s="22" t="s">
        <v>78</v>
      </c>
      <c r="E8" s="22" t="s">
        <v>78</v>
      </c>
      <c r="F8" s="22" t="s">
        <v>78</v>
      </c>
      <c r="G8" s="22" t="s">
        <v>78</v>
      </c>
      <c r="H8" s="22" t="s">
        <v>78</v>
      </c>
      <c r="J8" s="23"/>
    </row>
    <row r="9" spans="1:11" ht="18" x14ac:dyDescent="0.25">
      <c r="A9" s="24"/>
      <c r="B9" s="23"/>
      <c r="C9" s="23"/>
      <c r="D9" s="23"/>
      <c r="E9" s="23"/>
      <c r="F9" s="23"/>
      <c r="G9" s="23"/>
      <c r="H9" s="23"/>
      <c r="J9" s="23"/>
    </row>
    <row r="10" spans="1:11" ht="18" x14ac:dyDescent="0.25">
      <c r="A10" s="24">
        <v>44209</v>
      </c>
      <c r="B10" s="48" t="s">
        <v>124</v>
      </c>
      <c r="C10" s="23"/>
      <c r="D10" s="23">
        <v>700</v>
      </c>
      <c r="E10" s="23"/>
      <c r="F10" s="23">
        <v>700</v>
      </c>
      <c r="G10" s="23"/>
      <c r="H10" s="23"/>
      <c r="J10" s="23">
        <f>817-700</f>
        <v>117</v>
      </c>
    </row>
    <row r="11" spans="1:11" ht="18" x14ac:dyDescent="0.25">
      <c r="A11" s="24">
        <v>44209</v>
      </c>
      <c r="B11" s="48" t="s">
        <v>126</v>
      </c>
      <c r="C11" s="23"/>
      <c r="D11" s="23">
        <v>2200</v>
      </c>
      <c r="E11" s="23"/>
      <c r="F11" s="23"/>
      <c r="G11" s="23">
        <v>2200</v>
      </c>
      <c r="H11" s="23"/>
      <c r="J11" s="23"/>
    </row>
    <row r="12" spans="1:11" ht="18" x14ac:dyDescent="0.25">
      <c r="A12" s="24">
        <v>44227</v>
      </c>
      <c r="B12" s="48" t="s">
        <v>128</v>
      </c>
      <c r="C12" s="23"/>
      <c r="D12" s="23">
        <v>2005</v>
      </c>
      <c r="E12" s="23">
        <v>2005</v>
      </c>
      <c r="F12" s="23"/>
      <c r="G12" s="23"/>
      <c r="H12" s="23"/>
      <c r="J12" s="23"/>
    </row>
    <row r="13" spans="1:11" ht="18" x14ac:dyDescent="0.25">
      <c r="A13" s="24">
        <v>44230</v>
      </c>
      <c r="B13" s="48" t="s">
        <v>131</v>
      </c>
      <c r="C13" s="23"/>
      <c r="D13" s="23">
        <f>400*1.05</f>
        <v>420</v>
      </c>
      <c r="E13" s="23"/>
      <c r="F13" s="23">
        <v>420</v>
      </c>
      <c r="G13" s="23"/>
      <c r="H13" s="23"/>
      <c r="J13" s="23"/>
    </row>
    <row r="14" spans="1:11" ht="18" x14ac:dyDescent="0.25">
      <c r="A14" s="24">
        <v>44237</v>
      </c>
      <c r="B14" s="48" t="s">
        <v>133</v>
      </c>
      <c r="C14" s="23"/>
      <c r="D14" s="23">
        <v>315</v>
      </c>
      <c r="E14" s="23"/>
      <c r="F14" s="23">
        <v>315</v>
      </c>
      <c r="G14" s="23"/>
      <c r="K14" s="23"/>
    </row>
    <row r="15" spans="1:11" ht="18" x14ac:dyDescent="0.25">
      <c r="A15" s="24">
        <v>44237</v>
      </c>
      <c r="B15" s="48" t="s">
        <v>131</v>
      </c>
      <c r="C15" s="23"/>
      <c r="D15" s="23">
        <v>420</v>
      </c>
      <c r="E15" s="23"/>
      <c r="F15" s="23">
        <v>420</v>
      </c>
      <c r="G15" s="23"/>
      <c r="H15" s="23"/>
      <c r="J15" s="23"/>
    </row>
    <row r="16" spans="1:11" ht="18" x14ac:dyDescent="0.25">
      <c r="A16" s="24">
        <v>44255</v>
      </c>
      <c r="B16" s="48" t="s">
        <v>134</v>
      </c>
      <c r="C16" s="23"/>
      <c r="D16" s="23">
        <v>250</v>
      </c>
      <c r="E16" s="23"/>
      <c r="F16" s="23">
        <v>250</v>
      </c>
      <c r="G16" s="23"/>
      <c r="H16" s="23"/>
      <c r="J16" s="23">
        <f>282-250</f>
        <v>32</v>
      </c>
    </row>
    <row r="17" spans="1:16" ht="18" x14ac:dyDescent="0.25">
      <c r="A17" s="24">
        <v>44264</v>
      </c>
      <c r="B17" s="48" t="s">
        <v>120</v>
      </c>
      <c r="C17" s="23"/>
      <c r="D17" s="23">
        <v>1500</v>
      </c>
      <c r="E17" s="23"/>
      <c r="F17" s="23">
        <v>1500</v>
      </c>
      <c r="G17" s="23"/>
      <c r="H17" s="23"/>
      <c r="J17" s="23">
        <f>1797-1500</f>
        <v>297</v>
      </c>
    </row>
    <row r="18" spans="1:16" ht="18" x14ac:dyDescent="0.25">
      <c r="A18" s="24">
        <v>44282</v>
      </c>
      <c r="B18" s="48" t="s">
        <v>142</v>
      </c>
      <c r="C18" s="23"/>
      <c r="D18" s="23">
        <f>675-367</f>
        <v>308</v>
      </c>
      <c r="E18" s="23"/>
      <c r="F18" s="23"/>
      <c r="G18" s="23"/>
      <c r="H18" s="23">
        <v>308</v>
      </c>
      <c r="I18" s="23"/>
      <c r="K18" s="23"/>
    </row>
    <row r="19" spans="1:16" ht="18" x14ac:dyDescent="0.25">
      <c r="A19" s="23"/>
      <c r="B19" s="23"/>
      <c r="C19" s="23"/>
      <c r="D19" s="23"/>
      <c r="E19" s="23"/>
      <c r="F19" s="23"/>
      <c r="G19" s="23"/>
      <c r="H19" s="23"/>
      <c r="J19" s="23"/>
    </row>
    <row r="20" spans="1:16" ht="18.75" thickBot="1" x14ac:dyDescent="0.3">
      <c r="A20" s="23"/>
      <c r="B20" s="23"/>
      <c r="C20" s="23"/>
      <c r="D20" s="30">
        <f t="shared" ref="D20:J20" si="0">SUM(D10:D18)</f>
        <v>8118</v>
      </c>
      <c r="E20" s="30">
        <f t="shared" si="0"/>
        <v>2005</v>
      </c>
      <c r="F20" s="30">
        <f t="shared" si="0"/>
        <v>3605</v>
      </c>
      <c r="G20" s="30">
        <f t="shared" si="0"/>
        <v>2200</v>
      </c>
      <c r="H20" s="30">
        <f t="shared" si="0"/>
        <v>308</v>
      </c>
      <c r="I20" s="30">
        <f t="shared" si="0"/>
        <v>0</v>
      </c>
      <c r="J20" s="30">
        <f t="shared" si="0"/>
        <v>446</v>
      </c>
    </row>
    <row r="21" spans="1:16" ht="13.5" thickTop="1" x14ac:dyDescent="0.2"/>
    <row r="23" spans="1:16" ht="18" x14ac:dyDescent="0.25">
      <c r="D23" s="23" t="s">
        <v>3</v>
      </c>
      <c r="E23" s="23" t="s">
        <v>94</v>
      </c>
      <c r="F23" s="23">
        <f>E20</f>
        <v>2005</v>
      </c>
      <c r="G23" s="23"/>
      <c r="H23" s="23"/>
      <c r="I23" s="23"/>
      <c r="J23" s="23" t="s">
        <v>3</v>
      </c>
      <c r="K23" s="23" t="s">
        <v>88</v>
      </c>
      <c r="L23" s="23">
        <f>J20</f>
        <v>446</v>
      </c>
      <c r="M23" s="23"/>
      <c r="N23" s="23"/>
      <c r="O23" s="23"/>
      <c r="P23" s="23"/>
    </row>
    <row r="24" spans="1:16" ht="18" x14ac:dyDescent="0.25">
      <c r="D24" s="23"/>
      <c r="E24" s="23" t="s">
        <v>88</v>
      </c>
      <c r="F24" s="23">
        <f>F20</f>
        <v>3605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5" spans="1:16" ht="18" x14ac:dyDescent="0.25">
      <c r="D25" s="23"/>
      <c r="E25" s="23" t="s">
        <v>33</v>
      </c>
      <c r="F25" s="23">
        <f>G20</f>
        <v>2200</v>
      </c>
      <c r="G25" s="23"/>
      <c r="H25" s="23"/>
      <c r="I25" s="23"/>
      <c r="J25" s="23" t="s">
        <v>4</v>
      </c>
      <c r="K25" s="23" t="s">
        <v>19</v>
      </c>
      <c r="L25" s="23">
        <f>J20</f>
        <v>446</v>
      </c>
      <c r="M25" s="23"/>
      <c r="N25" s="23"/>
      <c r="O25" s="23"/>
      <c r="P25" s="23"/>
    </row>
    <row r="26" spans="1:16" ht="18" x14ac:dyDescent="0.25">
      <c r="D26" s="23"/>
      <c r="E26" s="23" t="s">
        <v>20</v>
      </c>
      <c r="F26" s="23">
        <f>H20</f>
        <v>308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16" ht="18" x14ac:dyDescent="0.25"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16" ht="18" x14ac:dyDescent="0.25">
      <c r="D28" s="23" t="s">
        <v>4</v>
      </c>
      <c r="E28" s="23" t="s">
        <v>96</v>
      </c>
      <c r="F28" s="23">
        <f>D20</f>
        <v>8118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16" ht="18" x14ac:dyDescent="0.25"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</sheetData>
  <pageMargins left="0.7" right="0.7" top="0.75" bottom="0.75" header="0.3" footer="0.3"/>
  <pageSetup paperSize="9" scale="94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9"/>
  <sheetViews>
    <sheetView topLeftCell="C2" workbookViewId="0">
      <selection activeCell="L9" sqref="L9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7.28515625" customWidth="1"/>
    <col min="5" max="5" width="11.7109375" customWidth="1"/>
    <col min="6" max="6" width="14.28515625" customWidth="1"/>
  </cols>
  <sheetData>
    <row r="1" spans="1:7" ht="18" x14ac:dyDescent="0.25">
      <c r="A1" s="26" t="s">
        <v>89</v>
      </c>
      <c r="B1" s="26"/>
      <c r="C1" s="26"/>
      <c r="D1" s="23"/>
    </row>
    <row r="2" spans="1:7" ht="18" x14ac:dyDescent="0.25">
      <c r="A2" s="23"/>
      <c r="B2" s="23"/>
      <c r="C2" s="23"/>
      <c r="D2" s="23"/>
    </row>
    <row r="3" spans="1:7" ht="18" x14ac:dyDescent="0.25">
      <c r="A3" s="23"/>
      <c r="B3" s="23"/>
      <c r="C3" s="23"/>
      <c r="D3" s="23"/>
    </row>
    <row r="4" spans="1:7" ht="18" x14ac:dyDescent="0.25">
      <c r="A4" s="23"/>
      <c r="B4" s="23"/>
      <c r="C4" s="23"/>
      <c r="D4" s="23"/>
    </row>
    <row r="5" spans="1:7" ht="18" x14ac:dyDescent="0.25">
      <c r="A5" s="23"/>
      <c r="B5" s="23"/>
      <c r="C5" s="23"/>
      <c r="D5" s="23"/>
    </row>
    <row r="6" spans="1:7" ht="18" x14ac:dyDescent="0.25">
      <c r="A6" s="23" t="s">
        <v>14</v>
      </c>
      <c r="B6" s="23" t="s">
        <v>80</v>
      </c>
      <c r="C6" s="23" t="s">
        <v>73</v>
      </c>
      <c r="D6" s="23" t="s">
        <v>75</v>
      </c>
      <c r="E6" s="23" t="s">
        <v>76</v>
      </c>
      <c r="F6" s="23" t="s">
        <v>21</v>
      </c>
      <c r="G6" s="23" t="s">
        <v>147</v>
      </c>
    </row>
    <row r="7" spans="1:7" ht="18" x14ac:dyDescent="0.25">
      <c r="A7" s="23"/>
      <c r="B7" s="23" t="s">
        <v>110</v>
      </c>
      <c r="C7" s="24">
        <v>44204</v>
      </c>
      <c r="D7" s="23">
        <v>70</v>
      </c>
      <c r="E7" s="23">
        <v>0</v>
      </c>
      <c r="F7" s="23"/>
      <c r="G7" s="23">
        <v>70</v>
      </c>
    </row>
    <row r="8" spans="1:7" ht="18" x14ac:dyDescent="0.25">
      <c r="A8" s="23"/>
      <c r="B8" s="23" t="s">
        <v>21</v>
      </c>
      <c r="C8" s="24">
        <v>44227</v>
      </c>
      <c r="D8" s="23">
        <v>168</v>
      </c>
      <c r="E8" s="23">
        <f>168-140</f>
        <v>28</v>
      </c>
      <c r="F8" s="23">
        <f>168/1.2</f>
        <v>140</v>
      </c>
      <c r="G8" s="23"/>
    </row>
    <row r="9" spans="1:7" ht="18" x14ac:dyDescent="0.25">
      <c r="A9" s="23"/>
      <c r="B9" s="23" t="s">
        <v>110</v>
      </c>
      <c r="C9" s="24">
        <v>44230</v>
      </c>
      <c r="D9" s="23">
        <v>70</v>
      </c>
      <c r="E9" s="23"/>
      <c r="F9" s="23"/>
      <c r="G9" s="23">
        <v>70</v>
      </c>
    </row>
    <row r="10" spans="1:7" ht="18" x14ac:dyDescent="0.25">
      <c r="A10" s="23"/>
      <c r="B10" s="23"/>
      <c r="C10" s="24"/>
      <c r="D10" s="23"/>
      <c r="E10" s="23"/>
      <c r="F10" s="23"/>
    </row>
    <row r="11" spans="1:7" ht="18" x14ac:dyDescent="0.25">
      <c r="A11" s="23"/>
      <c r="B11" s="23"/>
      <c r="C11" s="24"/>
      <c r="D11" s="23"/>
      <c r="E11" s="23"/>
      <c r="F11" s="23"/>
    </row>
    <row r="12" spans="1:7" ht="18" x14ac:dyDescent="0.25">
      <c r="A12" s="23"/>
      <c r="B12" s="23"/>
      <c r="C12" s="24"/>
      <c r="D12" s="23"/>
      <c r="E12" s="23"/>
      <c r="F12" s="23"/>
    </row>
    <row r="13" spans="1:7" ht="18" x14ac:dyDescent="0.25">
      <c r="A13" s="23"/>
      <c r="B13" s="39"/>
      <c r="C13" s="39"/>
      <c r="D13" s="23"/>
    </row>
    <row r="14" spans="1:7" ht="18" x14ac:dyDescent="0.25">
      <c r="A14" s="23"/>
      <c r="B14" s="23" t="s">
        <v>98</v>
      </c>
      <c r="C14" s="24"/>
      <c r="D14" s="23"/>
      <c r="E14" s="23"/>
      <c r="F14" s="23"/>
    </row>
    <row r="15" spans="1:7" ht="18" x14ac:dyDescent="0.25">
      <c r="A15" s="23"/>
      <c r="B15" s="23"/>
      <c r="C15" s="23"/>
      <c r="D15" s="23"/>
    </row>
    <row r="16" spans="1:7" ht="18.75" thickBot="1" x14ac:dyDescent="0.3">
      <c r="A16" s="30"/>
      <c r="B16" s="23"/>
      <c r="C16" s="23"/>
      <c r="D16" s="30">
        <f>SUM(D7:D14)</f>
        <v>308</v>
      </c>
      <c r="E16" s="30">
        <f t="shared" ref="E16:G16" si="0">SUM(E7:E14)</f>
        <v>28</v>
      </c>
      <c r="F16" s="30">
        <f t="shared" si="0"/>
        <v>140</v>
      </c>
      <c r="G16" s="30">
        <f t="shared" si="0"/>
        <v>140</v>
      </c>
    </row>
    <row r="17" spans="1:9" ht="18.75" thickTop="1" x14ac:dyDescent="0.25">
      <c r="A17" s="23"/>
      <c r="B17" s="23"/>
      <c r="C17" s="23"/>
      <c r="D17" s="23"/>
    </row>
    <row r="18" spans="1:9" ht="18" x14ac:dyDescent="0.25">
      <c r="A18" s="23"/>
      <c r="B18" s="24" t="s">
        <v>97</v>
      </c>
      <c r="C18" s="24"/>
      <c r="D18" s="23"/>
    </row>
    <row r="19" spans="1:9" ht="18" x14ac:dyDescent="0.25">
      <c r="A19" s="23"/>
      <c r="B19" s="23" t="s">
        <v>96</v>
      </c>
      <c r="C19" s="24"/>
      <c r="D19" s="23"/>
    </row>
    <row r="20" spans="1:9" ht="1.5" customHeight="1" x14ac:dyDescent="0.2"/>
    <row r="21" spans="1:9" hidden="1" x14ac:dyDescent="0.2"/>
    <row r="22" spans="1:9" ht="18" x14ac:dyDescent="0.25">
      <c r="D22" s="23" t="s">
        <v>95</v>
      </c>
      <c r="E22" s="23" t="s">
        <v>21</v>
      </c>
      <c r="F22" s="23"/>
      <c r="G22" s="23">
        <v>140</v>
      </c>
      <c r="H22" s="23"/>
      <c r="I22" s="23"/>
    </row>
    <row r="23" spans="1:9" ht="18" x14ac:dyDescent="0.25">
      <c r="D23" s="23"/>
      <c r="E23" s="23" t="s">
        <v>145</v>
      </c>
      <c r="F23" s="23"/>
      <c r="G23" s="23">
        <v>140</v>
      </c>
      <c r="H23" s="23"/>
      <c r="I23" s="23"/>
    </row>
    <row r="24" spans="1:9" ht="18" x14ac:dyDescent="0.25">
      <c r="D24" s="23"/>
      <c r="E24" s="23" t="s">
        <v>146</v>
      </c>
      <c r="F24" s="23"/>
      <c r="G24" s="23">
        <v>28</v>
      </c>
      <c r="H24" s="23"/>
      <c r="I24" s="23"/>
    </row>
    <row r="25" spans="1:9" ht="18" x14ac:dyDescent="0.25">
      <c r="D25" s="23"/>
      <c r="E25" s="23"/>
      <c r="F25" s="23"/>
      <c r="G25" s="23"/>
      <c r="H25" s="23"/>
      <c r="I25" s="23"/>
    </row>
    <row r="26" spans="1:9" ht="18" x14ac:dyDescent="0.25">
      <c r="D26" s="23" t="s">
        <v>4</v>
      </c>
      <c r="E26" s="23" t="s">
        <v>20</v>
      </c>
      <c r="F26" s="23"/>
      <c r="G26" s="23">
        <v>308</v>
      </c>
      <c r="H26" s="23"/>
      <c r="I26" s="23"/>
    </row>
    <row r="27" spans="1:9" ht="18" x14ac:dyDescent="0.25">
      <c r="D27" s="23"/>
      <c r="E27" s="23"/>
      <c r="F27" s="23"/>
      <c r="G27" s="23"/>
      <c r="H27" s="23"/>
      <c r="I27" s="23"/>
    </row>
    <row r="28" spans="1:9" ht="18" x14ac:dyDescent="0.25">
      <c r="D28" s="23"/>
      <c r="E28" s="23"/>
    </row>
    <row r="29" spans="1:9" ht="18" x14ac:dyDescent="0.25">
      <c r="D29" s="23"/>
      <c r="E29" s="23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72"/>
  <sheetViews>
    <sheetView workbookViewId="0">
      <selection activeCell="O10" sqref="O10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4"/>
      <c r="B1" s="14"/>
      <c r="C1" s="14"/>
      <c r="D1" s="14"/>
      <c r="E1" s="14"/>
      <c r="F1" s="14"/>
      <c r="G1" s="14"/>
      <c r="H1" s="15"/>
    </row>
    <row r="2" spans="1:8" ht="20.25" x14ac:dyDescent="0.3">
      <c r="A2" s="16" t="s">
        <v>100</v>
      </c>
      <c r="B2" s="16"/>
      <c r="C2" s="16"/>
      <c r="D2" s="16"/>
      <c r="E2" s="16"/>
      <c r="F2" s="14"/>
      <c r="G2" s="14"/>
      <c r="H2" s="14"/>
    </row>
    <row r="3" spans="1:8" ht="18" x14ac:dyDescent="0.25">
      <c r="A3" s="14"/>
      <c r="B3" s="14"/>
      <c r="C3" s="14"/>
      <c r="D3" s="14"/>
      <c r="E3" s="14"/>
      <c r="F3" s="14"/>
      <c r="G3" s="14"/>
      <c r="H3" s="14"/>
    </row>
    <row r="4" spans="1:8" ht="18" x14ac:dyDescent="0.25">
      <c r="A4" s="14"/>
      <c r="B4" s="14"/>
      <c r="C4" s="14"/>
      <c r="D4" s="14"/>
      <c r="E4" s="14"/>
      <c r="F4" s="14"/>
      <c r="G4" s="14"/>
      <c r="H4" s="14"/>
    </row>
    <row r="5" spans="1:8" ht="18" x14ac:dyDescent="0.25">
      <c r="A5" s="14"/>
      <c r="B5" s="14"/>
      <c r="C5" s="14"/>
      <c r="D5" s="14"/>
      <c r="E5" s="14"/>
      <c r="F5" s="14"/>
      <c r="G5" s="14" t="s">
        <v>35</v>
      </c>
      <c r="H5" s="14"/>
    </row>
    <row r="6" spans="1:8" ht="18" x14ac:dyDescent="0.25">
      <c r="A6" s="14"/>
      <c r="B6" s="14"/>
      <c r="C6" s="14"/>
      <c r="D6" s="14"/>
      <c r="E6" s="14"/>
      <c r="F6" s="14" t="s">
        <v>36</v>
      </c>
      <c r="G6" s="14" t="s">
        <v>37</v>
      </c>
      <c r="H6" s="14" t="s">
        <v>38</v>
      </c>
    </row>
    <row r="7" spans="1:8" ht="18" x14ac:dyDescent="0.25">
      <c r="A7" s="14"/>
      <c r="B7" s="14"/>
      <c r="C7" s="14"/>
      <c r="D7" s="14"/>
      <c r="E7" s="14"/>
      <c r="F7" s="14" t="s">
        <v>39</v>
      </c>
      <c r="G7" s="14" t="s">
        <v>40</v>
      </c>
      <c r="H7" s="14" t="s">
        <v>41</v>
      </c>
    </row>
    <row r="8" spans="1:8" ht="18" x14ac:dyDescent="0.25">
      <c r="A8" s="14" t="s">
        <v>42</v>
      </c>
      <c r="B8" s="14"/>
      <c r="C8" s="14"/>
      <c r="D8" s="14"/>
      <c r="E8" s="14"/>
      <c r="F8" s="17"/>
      <c r="G8" s="17"/>
      <c r="H8" s="14"/>
    </row>
    <row r="9" spans="1:8" ht="18" x14ac:dyDescent="0.25">
      <c r="A9" s="14" t="s">
        <v>117</v>
      </c>
      <c r="B9" s="14"/>
      <c r="C9" s="14"/>
      <c r="D9" s="14"/>
      <c r="E9" s="14"/>
      <c r="F9" s="14">
        <f>'[1]Blank spreadsheet'!U12</f>
        <v>31794</v>
      </c>
      <c r="G9" s="14">
        <f>'[1]Blank spreadsheet'!V13</f>
        <v>10133</v>
      </c>
      <c r="H9" s="14">
        <f>F9-G9</f>
        <v>21661</v>
      </c>
    </row>
    <row r="10" spans="1:8" ht="18" x14ac:dyDescent="0.25">
      <c r="A10" s="14" t="s">
        <v>43</v>
      </c>
      <c r="B10" s="14"/>
      <c r="C10" s="14"/>
      <c r="D10" s="14"/>
      <c r="E10" s="14"/>
      <c r="F10" s="18">
        <f>'[1]Blank spreadsheet'!U10</f>
        <v>42026</v>
      </c>
      <c r="G10" s="18">
        <f>'[1]Blank spreadsheet'!V11</f>
        <v>9675</v>
      </c>
      <c r="H10" s="14">
        <f>F10-G10</f>
        <v>32351</v>
      </c>
    </row>
    <row r="11" spans="1:8" ht="18" x14ac:dyDescent="0.25">
      <c r="A11" s="14"/>
      <c r="B11" s="14"/>
      <c r="C11" s="14"/>
      <c r="D11" s="14"/>
      <c r="E11" s="14"/>
      <c r="F11" s="14"/>
      <c r="G11" s="14"/>
      <c r="H11" s="19">
        <f>SUM(H9:H10)</f>
        <v>54012</v>
      </c>
    </row>
    <row r="12" spans="1:8" ht="18" x14ac:dyDescent="0.25">
      <c r="A12" s="14"/>
      <c r="B12" s="14"/>
      <c r="C12" s="14"/>
      <c r="D12" s="14"/>
      <c r="E12" s="14"/>
      <c r="F12" s="14"/>
      <c r="G12" s="14"/>
      <c r="H12" s="14"/>
    </row>
    <row r="13" spans="1:8" ht="18" x14ac:dyDescent="0.25">
      <c r="A13" s="14" t="s">
        <v>44</v>
      </c>
      <c r="B13" s="14"/>
      <c r="C13" s="14"/>
      <c r="D13" s="14"/>
      <c r="E13" s="14"/>
      <c r="F13" s="14"/>
      <c r="G13" s="14"/>
      <c r="H13" s="14"/>
    </row>
    <row r="14" spans="1:8" ht="18" x14ac:dyDescent="0.25">
      <c r="A14" s="14" t="s">
        <v>45</v>
      </c>
      <c r="B14" s="14"/>
      <c r="C14" s="14"/>
      <c r="D14" s="14"/>
      <c r="E14" s="14"/>
      <c r="F14" s="14"/>
      <c r="G14" s="14">
        <f>'[1]Blank spreadsheet'!U36</f>
        <v>15840</v>
      </c>
      <c r="H14" s="14"/>
    </row>
    <row r="15" spans="1:8" ht="18" x14ac:dyDescent="0.25">
      <c r="A15" s="14" t="s">
        <v>46</v>
      </c>
      <c r="B15" s="14"/>
      <c r="C15" s="14"/>
      <c r="D15" s="14"/>
      <c r="E15" s="14"/>
      <c r="F15" s="14"/>
      <c r="G15" s="14">
        <f>'[1]Blank spreadsheet'!U14</f>
        <v>25914</v>
      </c>
      <c r="H15" s="14"/>
    </row>
    <row r="16" spans="1:8" ht="18" x14ac:dyDescent="0.25">
      <c r="A16" s="14" t="s">
        <v>47</v>
      </c>
      <c r="B16" s="14"/>
      <c r="C16" s="14"/>
      <c r="D16" s="14"/>
      <c r="E16" s="14"/>
      <c r="F16" s="14"/>
      <c r="G16" s="14">
        <v>0</v>
      </c>
      <c r="H16" s="14"/>
    </row>
    <row r="17" spans="1:8" ht="18" x14ac:dyDescent="0.25">
      <c r="A17" s="14" t="s">
        <v>48</v>
      </c>
      <c r="B17" s="14"/>
      <c r="C17" s="14"/>
      <c r="D17" s="14"/>
      <c r="E17" s="14"/>
      <c r="F17" s="14"/>
      <c r="G17" s="14">
        <f>'[1]Blank spreadsheet'!U8</f>
        <v>28764</v>
      </c>
      <c r="H17" s="14"/>
    </row>
    <row r="18" spans="1:8" ht="18" x14ac:dyDescent="0.25">
      <c r="A18" s="14" t="s">
        <v>49</v>
      </c>
      <c r="B18" s="14"/>
      <c r="C18" s="14"/>
      <c r="D18" s="14"/>
      <c r="E18" s="14"/>
      <c r="F18" s="14"/>
      <c r="G18" s="18">
        <f>'[1]Blank spreadsheet'!U9</f>
        <v>675</v>
      </c>
      <c r="H18" s="14"/>
    </row>
    <row r="19" spans="1:8" ht="18" x14ac:dyDescent="0.25">
      <c r="A19" s="14"/>
      <c r="B19" s="14"/>
      <c r="C19" s="14"/>
      <c r="D19" s="14"/>
      <c r="E19" s="14"/>
      <c r="F19" s="14"/>
      <c r="G19" s="14">
        <f>SUM(G14:G18)</f>
        <v>71193</v>
      </c>
      <c r="H19" s="14"/>
    </row>
    <row r="20" spans="1:8" ht="18" x14ac:dyDescent="0.25">
      <c r="A20" s="14"/>
      <c r="B20" s="14"/>
      <c r="C20" s="14"/>
      <c r="D20" s="14"/>
      <c r="E20" s="14"/>
      <c r="F20" s="14"/>
      <c r="G20" s="14"/>
      <c r="H20" s="14"/>
    </row>
    <row r="21" spans="1:8" ht="18" x14ac:dyDescent="0.25">
      <c r="A21" s="14" t="s">
        <v>50</v>
      </c>
      <c r="B21" s="14"/>
      <c r="C21" s="14"/>
      <c r="D21" s="14"/>
      <c r="E21" s="14"/>
      <c r="F21" s="14">
        <f>'[1]Blank spreadsheet'!V41</f>
        <v>25500</v>
      </c>
      <c r="G21" s="14"/>
      <c r="H21" s="14"/>
    </row>
    <row r="22" spans="1:8" ht="18" x14ac:dyDescent="0.25">
      <c r="A22" s="14" t="s">
        <v>151</v>
      </c>
      <c r="B22" s="14"/>
      <c r="C22" s="14"/>
      <c r="D22" s="14"/>
      <c r="E22" s="14"/>
      <c r="F22" s="14">
        <f>'[1]Blank spreadsheet'!V16</f>
        <v>15741</v>
      </c>
      <c r="G22" s="14"/>
      <c r="H22" s="14"/>
    </row>
    <row r="23" spans="1:8" ht="18" x14ac:dyDescent="0.25">
      <c r="A23" s="14" t="s">
        <v>51</v>
      </c>
      <c r="B23" s="14"/>
      <c r="C23" s="14"/>
      <c r="D23" s="14"/>
      <c r="E23" s="14"/>
      <c r="F23" s="14">
        <f>'[1]Blank spreadsheet'!V15</f>
        <v>21000</v>
      </c>
      <c r="G23" s="14"/>
      <c r="H23" s="14"/>
    </row>
    <row r="24" spans="1:8" ht="18" x14ac:dyDescent="0.25">
      <c r="A24" s="14" t="s">
        <v>52</v>
      </c>
      <c r="B24" s="14"/>
      <c r="C24" s="14"/>
      <c r="D24" s="14"/>
      <c r="E24" s="14"/>
      <c r="F24" s="14">
        <f>-'[1]Blank spreadsheet'!U17</f>
        <v>-1802</v>
      </c>
      <c r="G24" s="14"/>
      <c r="H24" s="14"/>
    </row>
    <row r="25" spans="1:8" ht="18" x14ac:dyDescent="0.25">
      <c r="A25" s="14" t="s">
        <v>53</v>
      </c>
      <c r="B25" s="14"/>
      <c r="C25" s="14"/>
      <c r="D25" s="14"/>
      <c r="E25" s="14"/>
      <c r="F25" s="18">
        <f>-'[1]Blank spreadsheet'!U38</f>
        <v>-356</v>
      </c>
      <c r="G25" s="14"/>
      <c r="H25" s="14"/>
    </row>
    <row r="26" spans="1:8" ht="18" x14ac:dyDescent="0.25">
      <c r="A26" s="14"/>
      <c r="B26" s="14"/>
      <c r="C26" s="14"/>
      <c r="D26" s="14"/>
      <c r="E26" s="14"/>
      <c r="F26" s="14">
        <f>SUM(F21:F25)</f>
        <v>60083</v>
      </c>
      <c r="G26" s="18"/>
      <c r="H26" s="14"/>
    </row>
    <row r="27" spans="1:8" ht="18" x14ac:dyDescent="0.25">
      <c r="A27" s="14" t="s">
        <v>54</v>
      </c>
      <c r="B27" s="14"/>
      <c r="C27" s="14"/>
      <c r="D27" s="14"/>
      <c r="E27" s="14"/>
      <c r="F27" s="14"/>
      <c r="G27" s="14"/>
      <c r="H27" s="18">
        <f>G19-F26</f>
        <v>11110</v>
      </c>
    </row>
    <row r="28" spans="1:8" ht="18" x14ac:dyDescent="0.25">
      <c r="A28" s="14"/>
      <c r="B28" s="14"/>
      <c r="C28" s="14"/>
      <c r="D28" s="14"/>
      <c r="E28" s="14"/>
      <c r="F28" s="14"/>
      <c r="G28" s="14"/>
      <c r="H28" s="14"/>
    </row>
    <row r="29" spans="1:8" ht="18" x14ac:dyDescent="0.25">
      <c r="A29" s="14"/>
      <c r="B29" s="14"/>
      <c r="C29" s="14"/>
      <c r="D29" s="14"/>
      <c r="E29" s="14"/>
      <c r="F29" s="14"/>
      <c r="G29" s="14"/>
      <c r="H29" s="14"/>
    </row>
    <row r="30" spans="1:8" ht="18" x14ac:dyDescent="0.25">
      <c r="A30" s="14"/>
      <c r="B30" s="14"/>
      <c r="C30" s="14"/>
      <c r="D30" s="14"/>
      <c r="E30" s="14"/>
      <c r="F30" s="14"/>
      <c r="G30" s="14"/>
      <c r="H30" s="14"/>
    </row>
    <row r="31" spans="1:8" ht="18.75" thickBot="1" x14ac:dyDescent="0.3">
      <c r="A31" s="14"/>
      <c r="B31" s="14"/>
      <c r="C31" s="14"/>
      <c r="D31" s="14"/>
      <c r="E31" s="14"/>
      <c r="F31" s="14"/>
      <c r="G31" s="14"/>
      <c r="H31" s="20">
        <f>H11+H27</f>
        <v>65122</v>
      </c>
    </row>
    <row r="32" spans="1:8" ht="18.75" thickTop="1" x14ac:dyDescent="0.25">
      <c r="A32" s="14"/>
      <c r="B32" s="14"/>
      <c r="C32" s="14"/>
      <c r="D32" s="14"/>
      <c r="E32" s="14"/>
      <c r="F32" s="14"/>
      <c r="G32" s="14"/>
      <c r="H32" s="14"/>
    </row>
    <row r="33" spans="1:10" ht="18" x14ac:dyDescent="0.25">
      <c r="A33" s="14" t="s">
        <v>55</v>
      </c>
      <c r="B33" s="14"/>
      <c r="C33" s="14"/>
      <c r="D33" s="14"/>
      <c r="E33" s="14"/>
      <c r="F33" s="14"/>
      <c r="G33" s="14"/>
      <c r="H33" s="14"/>
    </row>
    <row r="34" spans="1:10" ht="18" x14ac:dyDescent="0.25">
      <c r="A34" s="14"/>
      <c r="B34" s="14"/>
      <c r="C34" s="14"/>
      <c r="D34" s="14"/>
      <c r="E34" s="14"/>
      <c r="F34" s="14"/>
      <c r="G34" s="14"/>
      <c r="H34" s="14"/>
    </row>
    <row r="35" spans="1:10" ht="18" x14ac:dyDescent="0.25">
      <c r="A35" s="14" t="s">
        <v>2</v>
      </c>
      <c r="B35" s="14"/>
      <c r="C35" s="14"/>
      <c r="D35" s="14"/>
      <c r="E35" s="14"/>
      <c r="F35" s="14"/>
      <c r="G35" s="14"/>
      <c r="H35" s="14">
        <v>56161</v>
      </c>
    </row>
    <row r="36" spans="1:10" ht="18" x14ac:dyDescent="0.25">
      <c r="A36" s="14" t="s">
        <v>56</v>
      </c>
      <c r="B36" s="14"/>
      <c r="C36" s="14"/>
      <c r="D36" s="14"/>
      <c r="E36" s="14"/>
      <c r="F36" s="14"/>
      <c r="G36" s="14"/>
      <c r="H36" s="14">
        <f>'[1]Blank spreadsheet'!V44</f>
        <v>9181</v>
      </c>
    </row>
    <row r="37" spans="1:10" ht="18" x14ac:dyDescent="0.25">
      <c r="A37" s="14" t="s">
        <v>99</v>
      </c>
      <c r="B37" s="14"/>
      <c r="C37" s="14"/>
      <c r="D37" s="14"/>
      <c r="E37" s="14"/>
      <c r="F37" s="14"/>
      <c r="G37" s="14"/>
      <c r="H37" s="14">
        <v>220</v>
      </c>
    </row>
    <row r="38" spans="1:10" ht="18" x14ac:dyDescent="0.25">
      <c r="A38" s="14"/>
      <c r="B38" s="14"/>
      <c r="C38" s="14"/>
      <c r="D38" s="14"/>
      <c r="E38" s="14"/>
      <c r="F38" s="14"/>
      <c r="G38" s="14"/>
      <c r="H38" s="14"/>
    </row>
    <row r="39" spans="1:10" ht="18.75" thickBot="1" x14ac:dyDescent="0.3">
      <c r="A39" s="14"/>
      <c r="B39" s="14"/>
      <c r="C39" s="14"/>
      <c r="D39" s="14"/>
      <c r="E39" s="14"/>
      <c r="F39" s="14"/>
      <c r="G39" s="14"/>
      <c r="H39" s="20">
        <f>SUM(H35:H36)-H37</f>
        <v>65122</v>
      </c>
      <c r="J39" s="17">
        <f>H39-H31</f>
        <v>0</v>
      </c>
    </row>
    <row r="40" spans="1:10" ht="18.75" thickTop="1" x14ac:dyDescent="0.25">
      <c r="A40" s="14"/>
      <c r="B40" s="14"/>
      <c r="C40" s="14"/>
      <c r="D40" s="14"/>
      <c r="E40" s="14"/>
      <c r="F40" s="14"/>
      <c r="G40" s="14"/>
      <c r="H40" s="14"/>
    </row>
    <row r="41" spans="1:10" ht="18" x14ac:dyDescent="0.25">
      <c r="A41" s="14"/>
      <c r="B41" s="14"/>
      <c r="C41" s="14"/>
      <c r="D41" s="14"/>
      <c r="E41" s="14"/>
      <c r="F41" s="14"/>
      <c r="G41" s="14"/>
      <c r="H41" s="14"/>
    </row>
    <row r="42" spans="1:10" ht="20.25" x14ac:dyDescent="0.3">
      <c r="A42" s="16" t="s">
        <v>57</v>
      </c>
      <c r="B42" s="17"/>
      <c r="C42" s="17"/>
      <c r="D42" s="17"/>
      <c r="E42" s="17"/>
      <c r="F42" s="17"/>
      <c r="G42" s="17"/>
      <c r="H42" s="17"/>
    </row>
    <row r="43" spans="1:10" ht="20.25" x14ac:dyDescent="0.3">
      <c r="A43" s="16" t="s">
        <v>116</v>
      </c>
      <c r="B43" s="16"/>
      <c r="C43" s="16"/>
      <c r="D43" s="16"/>
      <c r="E43" s="17"/>
      <c r="F43" s="17"/>
      <c r="G43" s="17"/>
      <c r="H43" s="17"/>
    </row>
    <row r="44" spans="1:10" ht="20.25" x14ac:dyDescent="0.3">
      <c r="A44" s="16"/>
      <c r="B44" s="16"/>
      <c r="C44" s="16"/>
      <c r="D44" s="16"/>
      <c r="E44" s="17"/>
      <c r="F44" s="17"/>
      <c r="G44" s="17"/>
      <c r="H44" s="17"/>
    </row>
    <row r="45" spans="1:10" ht="18" x14ac:dyDescent="0.25">
      <c r="A45" s="14"/>
      <c r="B45" s="14"/>
      <c r="C45" s="14"/>
      <c r="D45" s="14"/>
      <c r="E45" s="14"/>
      <c r="F45" s="14"/>
      <c r="G45" s="14"/>
      <c r="H45" s="14"/>
    </row>
    <row r="46" spans="1:10" ht="18" x14ac:dyDescent="0.25">
      <c r="A46" s="14"/>
      <c r="B46" s="14"/>
      <c r="C46" s="14"/>
      <c r="D46" s="14"/>
      <c r="E46" s="14"/>
      <c r="F46" s="14"/>
      <c r="G46" s="14"/>
      <c r="H46" s="14"/>
    </row>
    <row r="47" spans="1:10" ht="18" x14ac:dyDescent="0.25">
      <c r="A47" s="14" t="s">
        <v>58</v>
      </c>
      <c r="B47" s="14"/>
      <c r="C47" s="14"/>
      <c r="D47" s="14"/>
      <c r="E47" s="14"/>
      <c r="F47" s="14"/>
      <c r="G47" s="14"/>
      <c r="H47" s="14">
        <f>'[1]Blank spreadsheet'!T23</f>
        <v>31545</v>
      </c>
    </row>
    <row r="48" spans="1:10" ht="18" x14ac:dyDescent="0.25">
      <c r="A48" s="14"/>
      <c r="B48" s="14"/>
      <c r="C48" s="14"/>
      <c r="D48" s="14"/>
      <c r="E48" s="14"/>
      <c r="F48" s="14"/>
      <c r="G48" s="14"/>
      <c r="H48" s="14"/>
    </row>
    <row r="49" spans="1:8" ht="18" x14ac:dyDescent="0.25">
      <c r="A49" s="14" t="s">
        <v>59</v>
      </c>
      <c r="B49" s="14"/>
      <c r="C49" s="14"/>
      <c r="D49" s="14"/>
      <c r="E49" s="14"/>
      <c r="F49" s="14"/>
      <c r="G49" s="14"/>
      <c r="H49" s="14"/>
    </row>
    <row r="50" spans="1:8" ht="18" x14ac:dyDescent="0.25">
      <c r="A50" s="14" t="s">
        <v>60</v>
      </c>
      <c r="B50" s="14"/>
      <c r="C50" s="14"/>
      <c r="D50" s="14"/>
      <c r="E50" s="14"/>
      <c r="F50" s="14"/>
      <c r="G50" s="14">
        <f>'[1]Blank spreadsheet'!O21</f>
        <v>13481</v>
      </c>
      <c r="H50" s="14"/>
    </row>
    <row r="51" spans="1:8" ht="18" x14ac:dyDescent="0.25">
      <c r="A51" s="14" t="s">
        <v>61</v>
      </c>
      <c r="B51" s="14"/>
      <c r="C51" s="14"/>
      <c r="D51" s="14"/>
      <c r="E51" s="14"/>
      <c r="F51" s="14"/>
      <c r="G51" s="14">
        <f>'[1]Blank spreadsheet'!S24</f>
        <v>17280</v>
      </c>
      <c r="H51" s="14"/>
    </row>
    <row r="52" spans="1:8" ht="18" x14ac:dyDescent="0.25">
      <c r="A52" s="14" t="s">
        <v>62</v>
      </c>
      <c r="B52" s="14"/>
      <c r="C52" s="14"/>
      <c r="D52" s="14"/>
      <c r="E52" s="14"/>
      <c r="F52" s="14"/>
      <c r="G52" s="14">
        <f>-'[1]Blank spreadsheet'!T37</f>
        <v>-15840</v>
      </c>
      <c r="H52" s="14"/>
    </row>
    <row r="53" spans="1:8" ht="18" x14ac:dyDescent="0.25">
      <c r="A53" s="14"/>
      <c r="B53" s="14"/>
      <c r="C53" s="14"/>
      <c r="D53" s="14"/>
      <c r="E53" s="14"/>
      <c r="F53" s="14"/>
      <c r="G53" s="14"/>
      <c r="H53" s="18"/>
    </row>
    <row r="54" spans="1:8" ht="18" x14ac:dyDescent="0.25">
      <c r="A54" s="14"/>
      <c r="B54" s="14"/>
      <c r="C54" s="14"/>
      <c r="D54" s="14"/>
      <c r="E54" s="14"/>
      <c r="F54" s="14"/>
      <c r="G54" s="14"/>
      <c r="H54" s="14">
        <f>SUM(G50:G52)</f>
        <v>14921</v>
      </c>
    </row>
    <row r="55" spans="1:8" ht="18" x14ac:dyDescent="0.25">
      <c r="A55" s="14" t="s">
        <v>63</v>
      </c>
      <c r="B55" s="14"/>
      <c r="C55" s="14"/>
      <c r="D55" s="14"/>
      <c r="E55" s="14"/>
      <c r="F55" s="14"/>
      <c r="G55" s="14"/>
      <c r="H55" s="14">
        <f>H47-H54</f>
        <v>16624</v>
      </c>
    </row>
    <row r="56" spans="1:8" ht="18" x14ac:dyDescent="0.25">
      <c r="A56" s="14"/>
      <c r="B56" s="14"/>
      <c r="C56" s="14"/>
      <c r="D56" s="14"/>
      <c r="E56" s="14"/>
      <c r="F56" s="14"/>
      <c r="G56" s="14"/>
      <c r="H56" s="14"/>
    </row>
    <row r="57" spans="1:8" ht="18" x14ac:dyDescent="0.25">
      <c r="A57" s="14" t="s">
        <v>64</v>
      </c>
      <c r="B57" s="14"/>
      <c r="C57" s="14"/>
      <c r="D57" s="14"/>
      <c r="E57" s="14"/>
      <c r="F57" s="14"/>
      <c r="G57" s="14"/>
      <c r="H57" s="14"/>
    </row>
    <row r="58" spans="1:8" ht="18" x14ac:dyDescent="0.25">
      <c r="A58" s="14" t="s">
        <v>65</v>
      </c>
      <c r="B58" s="14"/>
      <c r="C58" s="14"/>
      <c r="D58" s="14"/>
      <c r="E58" s="14"/>
      <c r="F58" s="14"/>
      <c r="G58" s="14"/>
      <c r="H58" s="14">
        <f>'[1]Blank spreadsheet'!T30</f>
        <v>446</v>
      </c>
    </row>
    <row r="59" spans="1:8" ht="18" x14ac:dyDescent="0.25">
      <c r="A59" s="14"/>
      <c r="B59" s="14"/>
      <c r="C59" s="14"/>
      <c r="D59" s="14"/>
      <c r="E59" s="14"/>
      <c r="F59" s="14"/>
      <c r="G59" s="14"/>
      <c r="H59" s="18"/>
    </row>
    <row r="60" spans="1:8" ht="18" x14ac:dyDescent="0.25">
      <c r="A60" s="14"/>
      <c r="B60" s="14"/>
      <c r="C60" s="14"/>
      <c r="D60" s="14"/>
      <c r="E60" s="14"/>
      <c r="F60" s="14"/>
      <c r="G60" s="14"/>
      <c r="H60" s="14">
        <f>H55+H58</f>
        <v>17070</v>
      </c>
    </row>
    <row r="61" spans="1:8" ht="18" x14ac:dyDescent="0.25">
      <c r="A61" s="14"/>
      <c r="B61" s="14"/>
      <c r="C61" s="14"/>
      <c r="D61" s="14"/>
      <c r="E61" s="14"/>
      <c r="F61" s="14"/>
      <c r="G61" s="14"/>
      <c r="H61" s="14"/>
    </row>
    <row r="62" spans="1:8" ht="18" x14ac:dyDescent="0.25">
      <c r="A62" s="14" t="s">
        <v>66</v>
      </c>
      <c r="B62" s="14"/>
      <c r="C62" s="14"/>
      <c r="D62" s="14"/>
      <c r="E62" s="14"/>
      <c r="F62" s="14"/>
      <c r="G62" s="14"/>
      <c r="H62" s="14"/>
    </row>
    <row r="63" spans="1:8" ht="18" x14ac:dyDescent="0.25">
      <c r="A63" s="14" t="s">
        <v>67</v>
      </c>
      <c r="B63" s="14"/>
      <c r="C63" s="14"/>
      <c r="D63" s="14"/>
      <c r="E63" s="14"/>
      <c r="F63" s="14"/>
      <c r="G63" s="14">
        <f>'[1]Blank spreadsheet'!S18</f>
        <v>60</v>
      </c>
      <c r="H63" s="14"/>
    </row>
    <row r="64" spans="1:8" ht="18" x14ac:dyDescent="0.25">
      <c r="A64" s="14" t="s">
        <v>152</v>
      </c>
      <c r="B64" s="14"/>
      <c r="C64" s="14"/>
      <c r="D64" s="14"/>
      <c r="E64" s="14"/>
      <c r="F64" s="14"/>
      <c r="G64" s="14">
        <f>'[1]Blank spreadsheet'!S19+'[1]Blank spreadsheet'!S20</f>
        <v>360</v>
      </c>
      <c r="H64" s="14"/>
    </row>
    <row r="65" spans="1:8" ht="18" x14ac:dyDescent="0.25">
      <c r="A65" s="14" t="s">
        <v>68</v>
      </c>
      <c r="B65" s="14"/>
      <c r="C65" s="14"/>
      <c r="D65" s="14"/>
      <c r="E65" s="14"/>
      <c r="F65" s="14"/>
      <c r="G65" s="14">
        <f>'[1]Blank spreadsheet'!S26</f>
        <v>1283</v>
      </c>
      <c r="H65" s="14"/>
    </row>
    <row r="66" spans="1:8" ht="18" x14ac:dyDescent="0.25">
      <c r="A66" s="14" t="s">
        <v>69</v>
      </c>
      <c r="B66" s="14"/>
      <c r="C66" s="14"/>
      <c r="D66" s="14"/>
      <c r="E66" s="14"/>
      <c r="F66" s="14"/>
      <c r="G66" s="14">
        <f>'[1]Blank spreadsheet'!S27+'[1]Blank spreadsheet'!S28+'[1]Blank spreadsheet'!S29</f>
        <v>3390</v>
      </c>
      <c r="H66" s="14"/>
    </row>
    <row r="67" spans="1:8" ht="18" x14ac:dyDescent="0.25">
      <c r="A67" s="14" t="s">
        <v>70</v>
      </c>
      <c r="B67" s="14"/>
      <c r="C67" s="14"/>
      <c r="D67" s="14"/>
      <c r="E67" s="14"/>
      <c r="F67" s="14"/>
      <c r="G67" s="14">
        <f>'[1]Blank spreadsheet'!S31</f>
        <v>140</v>
      </c>
      <c r="H67" s="14"/>
    </row>
    <row r="68" spans="1:8" ht="18" x14ac:dyDescent="0.25">
      <c r="A68" s="14" t="s">
        <v>153</v>
      </c>
      <c r="B68" s="14"/>
      <c r="C68" s="14"/>
      <c r="D68" s="14"/>
      <c r="E68" s="14"/>
      <c r="F68" s="14"/>
      <c r="G68" s="18">
        <f>'[1]Blank spreadsheet'!S34+'[1]Blank spreadsheet'!S35</f>
        <v>2656</v>
      </c>
      <c r="H68" s="14"/>
    </row>
    <row r="69" spans="1:8" ht="18" x14ac:dyDescent="0.25">
      <c r="A69" s="14"/>
      <c r="B69" s="14"/>
      <c r="C69" s="14"/>
      <c r="D69" s="14"/>
      <c r="E69" s="14"/>
      <c r="F69" s="14"/>
      <c r="G69" s="14"/>
      <c r="H69" s="14">
        <f>-(G63+G65+G66+G67+G68+G64)</f>
        <v>-7889</v>
      </c>
    </row>
    <row r="70" spans="1:8" ht="18" x14ac:dyDescent="0.25">
      <c r="A70" s="14"/>
      <c r="B70" s="14"/>
      <c r="C70" s="14"/>
      <c r="D70" s="14"/>
      <c r="E70" s="14"/>
      <c r="F70" s="14"/>
      <c r="G70" s="14"/>
      <c r="H70" s="14"/>
    </row>
    <row r="71" spans="1:8" ht="18.75" thickBot="1" x14ac:dyDescent="0.3">
      <c r="A71" s="14" t="s">
        <v>71</v>
      </c>
      <c r="B71" s="14"/>
      <c r="C71" s="14"/>
      <c r="D71" s="14"/>
      <c r="E71" s="14"/>
      <c r="F71" s="14"/>
      <c r="G71" s="14"/>
      <c r="H71" s="20">
        <f>H60+H69</f>
        <v>9181</v>
      </c>
    </row>
    <row r="72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7" ma:contentTypeDescription="Create a new document." ma:contentTypeScope="" ma:versionID="67899e27d6a30a1b0680042708aad820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68ebffb0b35b0d1c6b48b017c9dca7c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0D9E3F-9103-4476-B2FD-8B558ECF80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12C0F1-6A05-4E09-8D97-6E394BA21C60}">
  <ds:schemaRefs>
    <ds:schemaRef ds:uri="7b23fa32-4003-4364-bee1-59546296639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f54e4810-f1f5-4bce-aa8e-e4722dc561be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00E9CF3-07DC-4585-A81F-97D99CC691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CBR</vt:lpstr>
      <vt:lpstr>CBP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HomePC</cp:lastModifiedBy>
  <cp:lastPrinted>2021-05-12T09:12:09Z</cp:lastPrinted>
  <dcterms:created xsi:type="dcterms:W3CDTF">2000-09-12T10:39:32Z</dcterms:created>
  <dcterms:modified xsi:type="dcterms:W3CDTF">2021-05-21T06:47:52Z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