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jf\Documents\University\2015-2016\M3X8761 Project Planning monitoring and control\4 Cost analysis\"/>
    </mc:Choice>
  </mc:AlternateContent>
  <bookViews>
    <workbookView xWindow="240" yWindow="75" windowWidth="10515" windowHeight="7740" firstSheet="1" activeTab="2"/>
  </bookViews>
  <sheets>
    <sheet name="Programming" sheetId="1" r:id="rId1"/>
    <sheet name="Monthly valuation" sheetId="5" r:id="rId2"/>
    <sheet name="Cash in - out" sheetId="2" r:id="rId3"/>
    <sheet name="Hoja3" sheetId="3" r:id="rId4"/>
  </sheets>
  <calcPr calcId="152511"/>
</workbook>
</file>

<file path=xl/calcChain.xml><?xml version="1.0" encoding="utf-8"?>
<calcChain xmlns="http://schemas.openxmlformats.org/spreadsheetml/2006/main">
  <c r="H4" i="2" l="1"/>
  <c r="B17" i="2"/>
  <c r="H5" i="2" l="1"/>
  <c r="B20" i="2"/>
  <c r="P18" i="5"/>
  <c r="P20" i="5" s="1"/>
  <c r="P22" i="5" s="1"/>
  <c r="O18" i="5"/>
  <c r="O20" i="5" s="1"/>
  <c r="N18" i="5"/>
  <c r="N20" i="5" s="1"/>
  <c r="N22" i="5" s="1"/>
  <c r="M18" i="5"/>
  <c r="M20" i="5" s="1"/>
  <c r="L18" i="5"/>
  <c r="L20" i="5" s="1"/>
  <c r="L22" i="5" s="1"/>
  <c r="K18" i="5"/>
  <c r="K20" i="5" s="1"/>
  <c r="J18" i="5"/>
  <c r="J20" i="5" s="1"/>
  <c r="J22" i="5" s="1"/>
  <c r="I18" i="5"/>
  <c r="I20" i="5" s="1"/>
  <c r="H18" i="5"/>
  <c r="H20" i="5" s="1"/>
  <c r="H22" i="5" s="1"/>
  <c r="G18" i="5"/>
  <c r="G20" i="5" s="1"/>
  <c r="F18" i="5"/>
  <c r="F20" i="5" s="1"/>
  <c r="F22" i="5" s="1"/>
  <c r="E18" i="5"/>
  <c r="E20" i="5" s="1"/>
  <c r="E22" i="5" l="1"/>
  <c r="E24" i="5"/>
  <c r="I22" i="5"/>
  <c r="I24" i="5"/>
  <c r="M22" i="5"/>
  <c r="M24" i="5" s="1"/>
  <c r="G22" i="5"/>
  <c r="G24" i="5" s="1"/>
  <c r="K22" i="5"/>
  <c r="K24" i="5" s="1"/>
  <c r="O22" i="5"/>
  <c r="O24" i="5" s="1"/>
  <c r="H24" i="5"/>
  <c r="L24" i="5"/>
  <c r="P24" i="5"/>
  <c r="F24" i="5"/>
  <c r="J24" i="5"/>
  <c r="N24" i="5"/>
  <c r="Q24" i="5" l="1"/>
  <c r="E4" i="5"/>
  <c r="P7" i="5"/>
  <c r="O6" i="5"/>
  <c r="N6" i="5"/>
  <c r="M6" i="5"/>
  <c r="L6" i="5"/>
  <c r="K6" i="5"/>
  <c r="J6" i="5"/>
  <c r="I5" i="5"/>
  <c r="H4" i="5"/>
  <c r="G4" i="5"/>
  <c r="F4" i="5"/>
  <c r="AH22" i="5" l="1"/>
  <c r="E5" i="2"/>
  <c r="D5" i="2"/>
  <c r="F6" i="2" l="1"/>
  <c r="D27" i="2"/>
  <c r="E27" i="2" s="1"/>
  <c r="D6" i="2"/>
  <c r="E6" i="2" l="1"/>
  <c r="G6" i="2" l="1"/>
  <c r="F7" i="2" s="1"/>
  <c r="E7" i="2"/>
  <c r="D28" i="2"/>
  <c r="D7" i="2"/>
  <c r="G7" i="2" l="1"/>
  <c r="F8" i="2" s="1"/>
  <c r="E28" i="2"/>
  <c r="E8" i="2"/>
  <c r="G8" i="2" s="1"/>
  <c r="F9" i="2" s="1"/>
  <c r="D29" i="2"/>
  <c r="D8" i="2"/>
  <c r="E29" i="2" l="1"/>
  <c r="D9" i="2"/>
  <c r="D30" i="2"/>
  <c r="E9" i="2"/>
  <c r="G9" i="2" s="1"/>
  <c r="F10" i="2" s="1"/>
  <c r="E30" i="2" l="1"/>
  <c r="E10" i="2"/>
  <c r="G10" i="2" s="1"/>
  <c r="F11" i="2" s="1"/>
  <c r="D10" i="2"/>
  <c r="D31" i="2"/>
  <c r="E11" i="2" l="1"/>
  <c r="G11" i="2" s="1"/>
  <c r="F12" i="2" s="1"/>
  <c r="D32" i="2"/>
  <c r="D11" i="2"/>
  <c r="E31" i="2"/>
  <c r="E32" i="2" l="1"/>
  <c r="E12" i="2"/>
  <c r="D33" i="2"/>
  <c r="D12" i="2"/>
  <c r="E13" i="2" l="1"/>
  <c r="D13" i="2"/>
  <c r="G12" i="2"/>
  <c r="F13" i="2" s="1"/>
  <c r="E33" i="2"/>
  <c r="E34" i="2" s="1"/>
  <c r="D35" i="2"/>
  <c r="G13" i="2" l="1"/>
  <c r="F14" i="2" s="1"/>
  <c r="E14" i="2"/>
  <c r="D14" i="2"/>
  <c r="E15" i="2" l="1"/>
  <c r="D15" i="2"/>
  <c r="G14" i="2"/>
  <c r="F15" i="2" s="1"/>
  <c r="G15" i="2" l="1"/>
  <c r="F16" i="2" s="1"/>
  <c r="E16" i="2"/>
  <c r="D16" i="2"/>
  <c r="I5" i="2" l="1"/>
  <c r="H6" i="2"/>
  <c r="H7" i="2" s="1"/>
  <c r="G16" i="2"/>
  <c r="F17" i="2" s="1"/>
  <c r="F18" i="2" s="1"/>
  <c r="E17" i="2"/>
  <c r="D17" i="2"/>
</calcChain>
</file>

<file path=xl/sharedStrings.xml><?xml version="1.0" encoding="utf-8"?>
<sst xmlns="http://schemas.openxmlformats.org/spreadsheetml/2006/main" count="59" uniqueCount="29">
  <si>
    <t>Num</t>
  </si>
  <si>
    <t>Activity</t>
  </si>
  <si>
    <t>Duration</t>
  </si>
  <si>
    <t>General conditions</t>
  </si>
  <si>
    <t>4w</t>
  </si>
  <si>
    <t>Site layout</t>
  </si>
  <si>
    <t>1w</t>
  </si>
  <si>
    <t>Foundations</t>
  </si>
  <si>
    <t>6w</t>
  </si>
  <si>
    <t>Framing</t>
  </si>
  <si>
    <t>Exterior finishes</t>
  </si>
  <si>
    <t>2w</t>
  </si>
  <si>
    <t>Interior finishes</t>
  </si>
  <si>
    <t>5w</t>
  </si>
  <si>
    <t>Landscaping</t>
  </si>
  <si>
    <t>Final acceptance</t>
  </si>
  <si>
    <t>TOTAL</t>
  </si>
  <si>
    <t>Budget</t>
  </si>
  <si>
    <t>Services</t>
  </si>
  <si>
    <t>Building envelope</t>
  </si>
  <si>
    <t>Cash in</t>
  </si>
  <si>
    <t>Cash out</t>
  </si>
  <si>
    <t>Cash flow</t>
  </si>
  <si>
    <t>Month</t>
  </si>
  <si>
    <t>5% retention</t>
  </si>
  <si>
    <t xml:space="preserve">Cumulative </t>
  </si>
  <si>
    <t>Interest 7%</t>
  </si>
  <si>
    <t>8% profit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</si>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</sst>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/>
    <xf numFmtId="0" fontId="0" fillId="2" borderId="1" xfId="0" applyFill="1" applyBorder="1"/>
    <xf numFmtId="0" fontId="3" fillId="2" borderId="1" xfId="0" applyFont="1" applyFill="1" applyBorder="1"/>
    <xf numFmtId="0" fontId="3" fillId="0" borderId="1" xfId="0" applyFont="1" applyBorder="1"/>
    <xf numFmtId="0" fontId="4" fillId="0" borderId="1" xfId="0" applyFont="1" applyBorder="1"/>
    <xf numFmtId="0" fontId="3" fillId="3" borderId="1" xfId="0" applyFont="1" applyFill="1" applyBorder="1"/>
    <xf numFmtId="0" fontId="1" fillId="0" borderId="0" xfId="0" applyFont="1"/>
    <xf numFmtId="2" fontId="0" fillId="0" borderId="0" xfId="0" applyNumberFormat="1"/>
    <xf numFmtId="2" fontId="1" fillId="0" borderId="0" xfId="0" applyNumberFormat="1" applyFont="1"/>
    <xf numFmtId="2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Cash flow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'Cash in - out'!$E$5:$E$17</c:f>
              <c:numCache>
                <c:formatCode>0.00</c:formatCode>
                <c:ptCount val="13"/>
                <c:pt idx="0">
                  <c:v>-10000</c:v>
                </c:pt>
                <c:pt idx="1">
                  <c:v>-29740</c:v>
                </c:pt>
                <c:pt idx="2">
                  <c:v>-48960</c:v>
                </c:pt>
                <c:pt idx="3">
                  <c:v>-52660</c:v>
                </c:pt>
                <c:pt idx="4">
                  <c:v>-66230</c:v>
                </c:pt>
                <c:pt idx="5">
                  <c:v>-64410</c:v>
                </c:pt>
                <c:pt idx="6">
                  <c:v>-77590</c:v>
                </c:pt>
                <c:pt idx="7">
                  <c:v>-90380</c:v>
                </c:pt>
                <c:pt idx="8">
                  <c:v>-87780</c:v>
                </c:pt>
                <c:pt idx="9">
                  <c:v>-75180</c:v>
                </c:pt>
                <c:pt idx="10">
                  <c:v>-12840</c:v>
                </c:pt>
                <c:pt idx="11">
                  <c:v>7940</c:v>
                </c:pt>
                <c:pt idx="12">
                  <c:v>56000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043712"/>
        <c:axId val="142044104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v>Cash flow 7% interest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'Cash in - out'!$E$27:$E$34</c15:sqref>
                        </c15:formulaRef>
                      </c:ext>
                    </c:extLst>
                    <c:numCache>
                      <c:formatCode>0.00</c:formatCode>
                      <c:ptCount val="8"/>
                      <c:pt idx="0">
                        <c:v>-10058.333333333334</c:v>
                      </c:pt>
                      <c:pt idx="1">
                        <c:v>-29971.816666666669</c:v>
                      </c:pt>
                      <c:pt idx="2">
                        <c:v>-49477.416666666664</c:v>
                      </c:pt>
                      <c:pt idx="3">
                        <c:v>-53484.6</c:v>
                      </c:pt>
                      <c:pt idx="4">
                        <c:v>-67440.941666666666</c:v>
                      </c:pt>
                      <c:pt idx="5">
                        <c:v>-65996.666666666672</c:v>
                      </c:pt>
                      <c:pt idx="6">
                        <c:v>-79629.275000000009</c:v>
                      </c:pt>
                      <c:pt idx="7">
                        <c:v>-92419.275000000009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1420437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044104"/>
        <c:crosses val="autoZero"/>
        <c:auto val="1"/>
        <c:lblAlgn val="ctr"/>
        <c:lblOffset val="100"/>
        <c:noMultiLvlLbl val="0"/>
      </c:catAx>
      <c:valAx>
        <c:axId val="142044104"/>
        <c:scaling>
          <c:orientation val="minMax"/>
          <c:max val="60000"/>
          <c:min val="-1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04371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17</xdr:row>
      <xdr:rowOff>42862</xdr:rowOff>
    </xdr:from>
    <xdr:to>
      <xdr:col>13</xdr:col>
      <xdr:colOff>161925</xdr:colOff>
      <xdr:row>35</xdr:row>
      <xdr:rowOff>171450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D13"/>
  <sheetViews>
    <sheetView topLeftCell="A4" workbookViewId="0">
      <selection activeCell="B9" sqref="B9"/>
    </sheetView>
  </sheetViews>
  <sheetFormatPr defaultColWidth="11.42578125" defaultRowHeight="15" x14ac:dyDescent="0.25"/>
  <cols>
    <col min="1" max="1" width="5.42578125" customWidth="1"/>
    <col min="2" max="2" width="23" customWidth="1"/>
    <col min="4" max="40" width="2.7109375" customWidth="1"/>
  </cols>
  <sheetData>
    <row r="3" spans="1:30" x14ac:dyDescent="0.25">
      <c r="A3" s="1" t="s">
        <v>0</v>
      </c>
      <c r="B3" s="1" t="s">
        <v>1</v>
      </c>
      <c r="C3" s="1" t="s">
        <v>2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0</v>
      </c>
      <c r="N3" s="2">
        <v>1</v>
      </c>
      <c r="O3" s="2">
        <v>2</v>
      </c>
      <c r="P3" s="2">
        <v>3</v>
      </c>
      <c r="Q3" s="2">
        <v>4</v>
      </c>
      <c r="R3" s="2">
        <v>5</v>
      </c>
      <c r="S3" s="2">
        <v>6</v>
      </c>
      <c r="T3" s="2">
        <v>7</v>
      </c>
      <c r="U3" s="2">
        <v>8</v>
      </c>
      <c r="V3" s="2">
        <v>9</v>
      </c>
      <c r="W3" s="2">
        <v>0</v>
      </c>
      <c r="X3" s="2">
        <v>1</v>
      </c>
      <c r="Y3" s="2">
        <v>2</v>
      </c>
      <c r="Z3" s="2">
        <v>3</v>
      </c>
      <c r="AA3" s="2">
        <v>4</v>
      </c>
      <c r="AB3" s="2">
        <v>5</v>
      </c>
      <c r="AC3" s="2">
        <v>6</v>
      </c>
      <c r="AD3" s="2">
        <v>7</v>
      </c>
    </row>
    <row r="4" spans="1:30" x14ac:dyDescent="0.25">
      <c r="A4" s="2">
        <v>1</v>
      </c>
      <c r="B4" s="2" t="s">
        <v>3</v>
      </c>
      <c r="C4" s="2" t="s">
        <v>4</v>
      </c>
      <c r="D4" s="3"/>
      <c r="E4" s="3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>
        <v>2</v>
      </c>
      <c r="B5" s="2" t="s">
        <v>5</v>
      </c>
      <c r="C5" s="2" t="s">
        <v>6</v>
      </c>
      <c r="D5" s="2"/>
      <c r="E5" s="2"/>
      <c r="F5" s="2"/>
      <c r="G5" s="2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x14ac:dyDescent="0.25">
      <c r="A6" s="2">
        <v>3</v>
      </c>
      <c r="B6" s="2" t="s">
        <v>7</v>
      </c>
      <c r="C6" s="2" t="s">
        <v>8</v>
      </c>
      <c r="D6" s="2"/>
      <c r="E6" s="2"/>
      <c r="F6" s="2"/>
      <c r="G6" s="2"/>
      <c r="H6" s="2"/>
      <c r="I6" s="4"/>
      <c r="J6" s="4"/>
      <c r="K6" s="4"/>
      <c r="L6" s="4"/>
      <c r="M6" s="4"/>
      <c r="N6" s="4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x14ac:dyDescent="0.25">
      <c r="A7" s="2">
        <v>4</v>
      </c>
      <c r="B7" s="2" t="s">
        <v>9</v>
      </c>
      <c r="C7" s="2" t="s">
        <v>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4"/>
      <c r="P7" s="4"/>
      <c r="Q7" s="4"/>
      <c r="R7" s="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2">
        <v>5</v>
      </c>
      <c r="B8" s="2" t="s">
        <v>19</v>
      </c>
      <c r="C8" s="2" t="s">
        <v>4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"/>
      <c r="T8" s="4"/>
      <c r="U8" s="4"/>
      <c r="V8" s="4"/>
      <c r="W8" s="2"/>
      <c r="X8" s="2"/>
      <c r="Y8" s="2"/>
      <c r="Z8" s="2"/>
      <c r="AA8" s="2"/>
      <c r="AB8" s="2"/>
      <c r="AC8" s="2"/>
      <c r="AD8" s="2"/>
    </row>
    <row r="9" spans="1:30" x14ac:dyDescent="0.25">
      <c r="A9" s="2">
        <v>6</v>
      </c>
      <c r="B9" s="2" t="s">
        <v>10</v>
      </c>
      <c r="C9" s="2" t="s">
        <v>11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4"/>
      <c r="X9" s="4"/>
      <c r="Y9" s="2"/>
      <c r="Z9" s="2"/>
      <c r="AA9" s="2"/>
      <c r="AB9" s="2"/>
      <c r="AC9" s="2"/>
      <c r="AD9" s="2"/>
    </row>
    <row r="10" spans="1:30" x14ac:dyDescent="0.25">
      <c r="A10" s="2">
        <v>7</v>
      </c>
      <c r="B10" s="2" t="s">
        <v>18</v>
      </c>
      <c r="C10" s="2" t="s">
        <v>4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4"/>
      <c r="X10" s="4"/>
      <c r="Y10" s="4"/>
      <c r="Z10" s="4"/>
      <c r="AA10" s="2"/>
      <c r="AB10" s="2"/>
      <c r="AC10" s="2"/>
      <c r="AD10" s="2"/>
    </row>
    <row r="11" spans="1:30" x14ac:dyDescent="0.25">
      <c r="A11" s="2">
        <v>8</v>
      </c>
      <c r="B11" s="2" t="s">
        <v>12</v>
      </c>
      <c r="C11" s="2" t="s">
        <v>13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4"/>
      <c r="Y11" s="4"/>
      <c r="Z11" s="4"/>
      <c r="AA11" s="4"/>
      <c r="AB11" s="4"/>
      <c r="AC11" s="2"/>
      <c r="AD11" s="2"/>
    </row>
    <row r="12" spans="1:30" x14ac:dyDescent="0.25">
      <c r="A12" s="2">
        <v>9</v>
      </c>
      <c r="B12" s="2" t="s">
        <v>14</v>
      </c>
      <c r="C12" s="2" t="s">
        <v>11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4"/>
      <c r="AC12" s="4"/>
      <c r="AD12" s="2"/>
    </row>
    <row r="13" spans="1:30" x14ac:dyDescent="0.25">
      <c r="A13" s="2">
        <v>10</v>
      </c>
      <c r="B13" s="2" t="s">
        <v>15</v>
      </c>
      <c r="C13" s="2" t="s">
        <v>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4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24"/>
  <sheetViews>
    <sheetView topLeftCell="E10" workbookViewId="0">
      <selection activeCell="Q14" sqref="Q14"/>
    </sheetView>
  </sheetViews>
  <sheetFormatPr defaultColWidth="11.42578125" defaultRowHeight="15" x14ac:dyDescent="0.25"/>
  <cols>
    <col min="1" max="1" width="5.42578125" customWidth="1"/>
    <col min="2" max="2" width="23" customWidth="1"/>
    <col min="4" max="4" width="10.28515625" customWidth="1"/>
    <col min="5" max="35" width="7.7109375" customWidth="1"/>
    <col min="36" max="41" width="2.7109375" customWidth="1"/>
  </cols>
  <sheetData>
    <row r="3" spans="1:31" x14ac:dyDescent="0.25">
      <c r="A3" s="1" t="s">
        <v>0</v>
      </c>
      <c r="B3" s="1" t="s">
        <v>1</v>
      </c>
      <c r="C3" s="1" t="s">
        <v>2</v>
      </c>
      <c r="D3" s="7" t="s">
        <v>17</v>
      </c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0</v>
      </c>
      <c r="O3" s="2">
        <v>1</v>
      </c>
      <c r="P3" s="2">
        <v>2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25">
      <c r="A4" s="2">
        <v>1</v>
      </c>
      <c r="B4" s="2" t="s">
        <v>3</v>
      </c>
      <c r="C4" s="2" t="s">
        <v>4</v>
      </c>
      <c r="D4" s="6">
        <v>5170.26</v>
      </c>
      <c r="E4" s="5">
        <f t="shared" ref="E4:H4" si="0">$D4/4</f>
        <v>1292.5650000000001</v>
      </c>
      <c r="F4" s="5">
        <f t="shared" si="0"/>
        <v>1292.5650000000001</v>
      </c>
      <c r="G4" s="5">
        <f t="shared" si="0"/>
        <v>1292.5650000000001</v>
      </c>
      <c r="H4" s="5">
        <f t="shared" si="0"/>
        <v>1292.5650000000001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2">
        <v>2</v>
      </c>
      <c r="B5" s="2" t="s">
        <v>5</v>
      </c>
      <c r="C5" s="2" t="s">
        <v>6</v>
      </c>
      <c r="D5" s="6">
        <v>3446.85</v>
      </c>
      <c r="E5" s="2"/>
      <c r="F5" s="2"/>
      <c r="G5" s="2"/>
      <c r="H5" s="2"/>
      <c r="I5" s="5">
        <f>D5</f>
        <v>3446.85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2">
        <v>3</v>
      </c>
      <c r="B6" s="2" t="s">
        <v>7</v>
      </c>
      <c r="C6" s="2" t="s">
        <v>8</v>
      </c>
      <c r="D6" s="6">
        <v>12236.28</v>
      </c>
      <c r="E6" s="2"/>
      <c r="F6" s="2"/>
      <c r="G6" s="2"/>
      <c r="H6" s="2"/>
      <c r="I6" s="2"/>
      <c r="J6" s="5">
        <f>$D6/6</f>
        <v>2039.38</v>
      </c>
      <c r="K6" s="5">
        <f t="shared" ref="K6:O6" si="1">$D6/6</f>
        <v>2039.38</v>
      </c>
      <c r="L6" s="5">
        <f t="shared" si="1"/>
        <v>2039.38</v>
      </c>
      <c r="M6" s="5">
        <f t="shared" si="1"/>
        <v>2039.38</v>
      </c>
      <c r="N6" s="5">
        <f t="shared" si="1"/>
        <v>2039.38</v>
      </c>
      <c r="O6" s="5">
        <f t="shared" si="1"/>
        <v>2039.38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">
        <v>4</v>
      </c>
      <c r="B7" s="2" t="s">
        <v>9</v>
      </c>
      <c r="C7" s="2" t="s">
        <v>4</v>
      </c>
      <c r="D7" s="6">
        <v>27919.4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5">
        <f>$D7/4</f>
        <v>6979.85</v>
      </c>
      <c r="Q7" s="5"/>
      <c r="R7" s="5"/>
      <c r="S7" s="5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">
        <v>5</v>
      </c>
      <c r="B8" s="2" t="s">
        <v>19</v>
      </c>
      <c r="C8" s="2" t="s">
        <v>4</v>
      </c>
      <c r="D8" s="6">
        <v>23093.83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5"/>
      <c r="U8" s="5"/>
      <c r="V8" s="5"/>
      <c r="W8" s="5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">
        <v>6</v>
      </c>
      <c r="B9" s="2" t="s">
        <v>10</v>
      </c>
      <c r="C9" s="2" t="s">
        <v>11</v>
      </c>
      <c r="D9" s="6">
        <v>9478.81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"/>
      <c r="Y9" s="5"/>
      <c r="Z9" s="2"/>
      <c r="AA9" s="2"/>
      <c r="AB9" s="2"/>
      <c r="AC9" s="2"/>
      <c r="AD9" s="2"/>
      <c r="AE9" s="2"/>
    </row>
    <row r="10" spans="1:31" x14ac:dyDescent="0.25">
      <c r="A10" s="2">
        <v>7</v>
      </c>
      <c r="B10" s="2" t="s">
        <v>18</v>
      </c>
      <c r="C10" s="2" t="s">
        <v>4</v>
      </c>
      <c r="D10" s="6">
        <v>24989.59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5"/>
      <c r="Y10" s="5"/>
      <c r="Z10" s="5"/>
      <c r="AA10" s="5"/>
      <c r="AB10" s="2"/>
      <c r="AC10" s="2"/>
      <c r="AD10" s="2"/>
      <c r="AE10" s="2"/>
    </row>
    <row r="11" spans="1:31" x14ac:dyDescent="0.25">
      <c r="A11" s="2">
        <v>8</v>
      </c>
      <c r="B11" s="2" t="s">
        <v>12</v>
      </c>
      <c r="C11" s="2" t="s">
        <v>13</v>
      </c>
      <c r="D11" s="6">
        <v>46532.34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5"/>
      <c r="Z11" s="5"/>
      <c r="AA11" s="5"/>
      <c r="AB11" s="5"/>
      <c r="AC11" s="5"/>
      <c r="AD11" s="2"/>
      <c r="AE11" s="2"/>
    </row>
    <row r="12" spans="1:31" x14ac:dyDescent="0.25">
      <c r="A12" s="2">
        <v>9</v>
      </c>
      <c r="B12" s="2" t="s">
        <v>14</v>
      </c>
      <c r="C12" s="2" t="s">
        <v>11</v>
      </c>
      <c r="D12" s="6">
        <v>8617.1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5"/>
      <c r="AD12" s="5"/>
      <c r="AE12" s="2"/>
    </row>
    <row r="13" spans="1:31" x14ac:dyDescent="0.25">
      <c r="A13" s="2">
        <v>10</v>
      </c>
      <c r="B13" s="2" t="s">
        <v>15</v>
      </c>
      <c r="C13" s="2" t="s">
        <v>6</v>
      </c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5"/>
    </row>
    <row r="14" spans="1:31" x14ac:dyDescent="0.25">
      <c r="A14" s="2"/>
      <c r="B14" s="2"/>
      <c r="C14" s="2" t="s">
        <v>16</v>
      </c>
      <c r="D14" s="8">
        <v>1200000</v>
      </c>
      <c r="E14" s="8">
        <v>10000</v>
      </c>
      <c r="F14" s="8">
        <v>30000</v>
      </c>
      <c r="G14" s="8">
        <v>50000</v>
      </c>
      <c r="H14" s="8">
        <v>55000</v>
      </c>
      <c r="I14" s="8">
        <v>70000</v>
      </c>
      <c r="J14" s="8">
        <v>70000</v>
      </c>
      <c r="K14" s="8">
        <v>85000</v>
      </c>
      <c r="L14" s="8">
        <v>100000</v>
      </c>
      <c r="M14" s="8">
        <v>100000</v>
      </c>
      <c r="N14" s="8">
        <v>90000</v>
      </c>
      <c r="O14" s="8">
        <v>30000</v>
      </c>
      <c r="P14" s="8">
        <v>10000</v>
      </c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</row>
    <row r="18" spans="3:34" x14ac:dyDescent="0.25">
      <c r="C18" t="s">
        <v>27</v>
      </c>
      <c r="E18">
        <f>E14*0.08</f>
        <v>800</v>
      </c>
      <c r="F18">
        <f t="shared" ref="F18:P18" si="2">F14*0.08</f>
        <v>2400</v>
      </c>
      <c r="G18">
        <f t="shared" si="2"/>
        <v>4000</v>
      </c>
      <c r="H18">
        <f t="shared" si="2"/>
        <v>4400</v>
      </c>
      <c r="I18">
        <f t="shared" si="2"/>
        <v>5600</v>
      </c>
      <c r="J18">
        <f t="shared" si="2"/>
        <v>5600</v>
      </c>
      <c r="K18">
        <f t="shared" si="2"/>
        <v>6800</v>
      </c>
      <c r="L18">
        <f t="shared" si="2"/>
        <v>8000</v>
      </c>
      <c r="M18">
        <f t="shared" si="2"/>
        <v>8000</v>
      </c>
      <c r="N18">
        <f t="shared" si="2"/>
        <v>7200</v>
      </c>
      <c r="O18">
        <f t="shared" si="2"/>
        <v>2400</v>
      </c>
      <c r="P18">
        <f t="shared" si="2"/>
        <v>800</v>
      </c>
    </row>
    <row r="20" spans="3:34" s="9" customFormat="1" x14ac:dyDescent="0.25">
      <c r="C20" s="9" t="s">
        <v>16</v>
      </c>
      <c r="E20" s="9">
        <f>E14+E18</f>
        <v>10800</v>
      </c>
      <c r="F20" s="9">
        <f t="shared" ref="F20:P20" si="3">F14+F18</f>
        <v>32400</v>
      </c>
      <c r="G20" s="9">
        <f t="shared" si="3"/>
        <v>54000</v>
      </c>
      <c r="H20" s="9">
        <f t="shared" si="3"/>
        <v>59400</v>
      </c>
      <c r="I20" s="9">
        <f t="shared" si="3"/>
        <v>75600</v>
      </c>
      <c r="J20" s="9">
        <f t="shared" si="3"/>
        <v>75600</v>
      </c>
      <c r="K20" s="9">
        <f t="shared" si="3"/>
        <v>91800</v>
      </c>
      <c r="L20" s="9">
        <f t="shared" si="3"/>
        <v>108000</v>
      </c>
      <c r="M20" s="9">
        <f t="shared" si="3"/>
        <v>108000</v>
      </c>
      <c r="N20" s="9">
        <f t="shared" si="3"/>
        <v>97200</v>
      </c>
      <c r="O20" s="9">
        <f t="shared" si="3"/>
        <v>32400</v>
      </c>
      <c r="P20" s="9">
        <f t="shared" si="3"/>
        <v>10800</v>
      </c>
    </row>
    <row r="22" spans="3:34" x14ac:dyDescent="0.25">
      <c r="C22" t="s">
        <v>24</v>
      </c>
      <c r="E22">
        <f>E20*0.05</f>
        <v>540</v>
      </c>
      <c r="F22">
        <f t="shared" ref="F22:P22" si="4">F20*0.05</f>
        <v>1620</v>
      </c>
      <c r="G22">
        <f t="shared" si="4"/>
        <v>2700</v>
      </c>
      <c r="H22">
        <f t="shared" si="4"/>
        <v>2970</v>
      </c>
      <c r="I22">
        <f t="shared" si="4"/>
        <v>3780</v>
      </c>
      <c r="J22">
        <f t="shared" si="4"/>
        <v>3780</v>
      </c>
      <c r="K22">
        <f t="shared" si="4"/>
        <v>4590</v>
      </c>
      <c r="L22">
        <f t="shared" si="4"/>
        <v>5400</v>
      </c>
      <c r="M22">
        <f t="shared" si="4"/>
        <v>5400</v>
      </c>
      <c r="N22">
        <f t="shared" si="4"/>
        <v>4860</v>
      </c>
      <c r="O22">
        <f t="shared" si="4"/>
        <v>1620</v>
      </c>
      <c r="P22">
        <f t="shared" si="4"/>
        <v>540</v>
      </c>
      <c r="AH22">
        <f>SUM(H22:AG22)</f>
        <v>32940</v>
      </c>
    </row>
    <row r="24" spans="3:34" s="9" customFormat="1" x14ac:dyDescent="0.25">
      <c r="C24" s="9" t="s">
        <v>16</v>
      </c>
      <c r="E24" s="9">
        <f>E20-E22</f>
        <v>10260</v>
      </c>
      <c r="F24" s="9">
        <f t="shared" ref="F24:P24" si="5">F20-F22</f>
        <v>30780</v>
      </c>
      <c r="G24" s="9">
        <f t="shared" si="5"/>
        <v>51300</v>
      </c>
      <c r="H24" s="9">
        <f t="shared" si="5"/>
        <v>56430</v>
      </c>
      <c r="I24" s="9">
        <f t="shared" si="5"/>
        <v>71820</v>
      </c>
      <c r="J24" s="9">
        <f t="shared" si="5"/>
        <v>71820</v>
      </c>
      <c r="K24" s="9">
        <f t="shared" si="5"/>
        <v>87210</v>
      </c>
      <c r="L24" s="9">
        <f t="shared" si="5"/>
        <v>102600</v>
      </c>
      <c r="M24" s="9">
        <f t="shared" si="5"/>
        <v>102600</v>
      </c>
      <c r="N24" s="9">
        <f t="shared" si="5"/>
        <v>92340</v>
      </c>
      <c r="O24" s="9">
        <f t="shared" si="5"/>
        <v>30780</v>
      </c>
      <c r="P24" s="9">
        <f t="shared" si="5"/>
        <v>10260</v>
      </c>
      <c r="Q24" s="9">
        <f>SUM(E22:P22)</f>
        <v>37800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35"/>
  <sheetViews>
    <sheetView tabSelected="1" topLeftCell="B3" workbookViewId="0">
      <selection activeCell="H5" sqref="H5"/>
    </sheetView>
  </sheetViews>
  <sheetFormatPr defaultColWidth="11.42578125" defaultRowHeight="15" x14ac:dyDescent="0.25"/>
  <sheetData>
    <row r="4" spans="1:9" x14ac:dyDescent="0.25">
      <c r="A4" s="9" t="s">
        <v>23</v>
      </c>
      <c r="B4" s="9" t="s">
        <v>20</v>
      </c>
      <c r="C4" s="9" t="s">
        <v>21</v>
      </c>
      <c r="D4" s="9" t="s">
        <v>25</v>
      </c>
      <c r="E4" s="9" t="s">
        <v>22</v>
      </c>
      <c r="H4" s="10">
        <f>SUM(E5:E15)/11</f>
        <v>-55979.090909090912</v>
      </c>
    </row>
    <row r="5" spans="1:9" x14ac:dyDescent="0.25">
      <c r="A5" s="9">
        <v>1</v>
      </c>
      <c r="B5" s="12"/>
      <c r="C5" s="12">
        <v>10000</v>
      </c>
      <c r="D5" s="12">
        <f>C5</f>
        <v>10000</v>
      </c>
      <c r="E5" s="11">
        <f>B5-C5</f>
        <v>-10000</v>
      </c>
      <c r="H5">
        <f>(1+(0.07/12))^11</f>
        <v>1.0660713314229355</v>
      </c>
      <c r="I5">
        <f>H4*11*0.07/12</f>
        <v>-3591.9916666666668</v>
      </c>
    </row>
    <row r="6" spans="1:9" x14ac:dyDescent="0.25">
      <c r="A6" s="9">
        <v>2</v>
      </c>
      <c r="B6" s="12">
        <v>10260</v>
      </c>
      <c r="C6" s="12">
        <v>30000</v>
      </c>
      <c r="D6" s="12">
        <f>C6-E5</f>
        <v>40000</v>
      </c>
      <c r="E6" s="11">
        <f t="shared" ref="E6:E17" si="0">E5+B6-C6</f>
        <v>-29740</v>
      </c>
      <c r="F6">
        <f>E5*0.07</f>
        <v>-700.00000000000011</v>
      </c>
      <c r="G6" s="10">
        <f>SUM(E6:F6)</f>
        <v>-30440</v>
      </c>
      <c r="H6">
        <f>H5*H4</f>
        <v>-59677.703977300094</v>
      </c>
    </row>
    <row r="7" spans="1:9" x14ac:dyDescent="0.25">
      <c r="A7" s="9">
        <v>3</v>
      </c>
      <c r="B7" s="12">
        <v>30780</v>
      </c>
      <c r="C7" s="12">
        <v>50000</v>
      </c>
      <c r="D7" s="12">
        <f t="shared" ref="D7:D17" si="1">C7-E6</f>
        <v>79740</v>
      </c>
      <c r="E7" s="11">
        <f t="shared" si="0"/>
        <v>-48960</v>
      </c>
      <c r="F7">
        <f>G6*0.07</f>
        <v>-2130.8000000000002</v>
      </c>
      <c r="G7" s="10">
        <f>SUM(E7:F7)</f>
        <v>-51090.8</v>
      </c>
      <c r="H7" s="10">
        <f>H6-H4</f>
        <v>-3698.6130682091825</v>
      </c>
    </row>
    <row r="8" spans="1:9" x14ac:dyDescent="0.25">
      <c r="A8" s="9">
        <v>4</v>
      </c>
      <c r="B8" s="12">
        <v>51300</v>
      </c>
      <c r="C8" s="12">
        <v>55000</v>
      </c>
      <c r="D8" s="12">
        <f t="shared" si="1"/>
        <v>103960</v>
      </c>
      <c r="E8" s="11">
        <f t="shared" si="0"/>
        <v>-52660</v>
      </c>
      <c r="F8">
        <f t="shared" ref="F8:F17" si="2">G7*0.07</f>
        <v>-3576.3560000000007</v>
      </c>
      <c r="G8" s="10">
        <f t="shared" ref="G8:G16" si="3">SUM(E8:F8)</f>
        <v>-56236.356</v>
      </c>
    </row>
    <row r="9" spans="1:9" x14ac:dyDescent="0.25">
      <c r="A9" s="9">
        <v>5</v>
      </c>
      <c r="B9" s="12">
        <v>56430</v>
      </c>
      <c r="C9" s="12">
        <v>70000</v>
      </c>
      <c r="D9" s="12">
        <f t="shared" si="1"/>
        <v>122660</v>
      </c>
      <c r="E9" s="11">
        <f t="shared" si="0"/>
        <v>-66230</v>
      </c>
      <c r="F9">
        <f t="shared" si="2"/>
        <v>-3936.5449200000003</v>
      </c>
      <c r="G9" s="10">
        <f t="shared" si="3"/>
        <v>-70166.54492</v>
      </c>
    </row>
    <row r="10" spans="1:9" x14ac:dyDescent="0.25">
      <c r="A10" s="9">
        <v>6</v>
      </c>
      <c r="B10" s="12">
        <v>71820</v>
      </c>
      <c r="C10" s="12">
        <v>70000</v>
      </c>
      <c r="D10" s="12">
        <f t="shared" si="1"/>
        <v>136230</v>
      </c>
      <c r="E10" s="11">
        <f t="shared" si="0"/>
        <v>-64410</v>
      </c>
      <c r="F10">
        <f t="shared" si="2"/>
        <v>-4911.6581444000003</v>
      </c>
      <c r="G10" s="10">
        <f t="shared" si="3"/>
        <v>-69321.658144400004</v>
      </c>
    </row>
    <row r="11" spans="1:9" x14ac:dyDescent="0.25">
      <c r="A11" s="9">
        <v>7</v>
      </c>
      <c r="B11" s="12">
        <v>71820</v>
      </c>
      <c r="C11" s="12">
        <v>85000</v>
      </c>
      <c r="D11" s="12">
        <f t="shared" si="1"/>
        <v>149410</v>
      </c>
      <c r="E11" s="11">
        <f t="shared" si="0"/>
        <v>-77590</v>
      </c>
      <c r="F11">
        <f t="shared" si="2"/>
        <v>-4852.5160701080003</v>
      </c>
      <c r="G11" s="10">
        <f t="shared" si="3"/>
        <v>-82442.516070108002</v>
      </c>
    </row>
    <row r="12" spans="1:9" x14ac:dyDescent="0.25">
      <c r="A12" s="9">
        <v>8</v>
      </c>
      <c r="B12" s="12">
        <v>87210</v>
      </c>
      <c r="C12" s="12">
        <v>100000</v>
      </c>
      <c r="D12" s="12">
        <f t="shared" si="1"/>
        <v>177590</v>
      </c>
      <c r="E12" s="11">
        <f t="shared" si="0"/>
        <v>-90380</v>
      </c>
      <c r="F12">
        <f t="shared" si="2"/>
        <v>-5770.9761249075609</v>
      </c>
      <c r="G12" s="10">
        <f t="shared" si="3"/>
        <v>-96150.976124907567</v>
      </c>
    </row>
    <row r="13" spans="1:9" x14ac:dyDescent="0.25">
      <c r="A13" s="9">
        <v>9</v>
      </c>
      <c r="B13" s="10">
        <v>102600</v>
      </c>
      <c r="C13" s="10">
        <v>100000</v>
      </c>
      <c r="D13" s="12">
        <f t="shared" si="1"/>
        <v>190380</v>
      </c>
      <c r="E13" s="11">
        <f t="shared" si="0"/>
        <v>-87780</v>
      </c>
      <c r="F13">
        <f t="shared" si="2"/>
        <v>-6730.5683287435304</v>
      </c>
      <c r="G13" s="10">
        <f t="shared" si="3"/>
        <v>-94510.568328743524</v>
      </c>
    </row>
    <row r="14" spans="1:9" x14ac:dyDescent="0.25">
      <c r="A14" s="9">
        <v>10</v>
      </c>
      <c r="B14" s="12">
        <v>102600</v>
      </c>
      <c r="C14" s="12">
        <v>90000</v>
      </c>
      <c r="D14" s="12">
        <f t="shared" si="1"/>
        <v>177780</v>
      </c>
      <c r="E14" s="11">
        <f t="shared" si="0"/>
        <v>-75180</v>
      </c>
      <c r="F14">
        <f t="shared" si="2"/>
        <v>-6615.7397830120472</v>
      </c>
      <c r="G14" s="10">
        <f t="shared" si="3"/>
        <v>-81795.739783012046</v>
      </c>
    </row>
    <row r="15" spans="1:9" x14ac:dyDescent="0.25">
      <c r="A15" s="9">
        <v>11</v>
      </c>
      <c r="B15" s="10">
        <v>92340</v>
      </c>
      <c r="C15" s="12">
        <v>30000</v>
      </c>
      <c r="D15" s="12">
        <f t="shared" si="1"/>
        <v>105180</v>
      </c>
      <c r="E15" s="11">
        <f t="shared" si="0"/>
        <v>-12840</v>
      </c>
      <c r="F15">
        <f t="shared" si="2"/>
        <v>-5725.7017848108435</v>
      </c>
      <c r="G15" s="10">
        <f t="shared" si="3"/>
        <v>-18565.701784810844</v>
      </c>
    </row>
    <row r="16" spans="1:9" x14ac:dyDescent="0.25">
      <c r="A16" s="9">
        <v>12</v>
      </c>
      <c r="B16" s="10">
        <v>30780</v>
      </c>
      <c r="C16" s="12">
        <v>10000</v>
      </c>
      <c r="D16" s="12">
        <f t="shared" si="1"/>
        <v>22840</v>
      </c>
      <c r="E16" s="11">
        <f t="shared" si="0"/>
        <v>7940</v>
      </c>
      <c r="F16">
        <f t="shared" si="2"/>
        <v>-1299.5991249367592</v>
      </c>
      <c r="G16" s="10">
        <f t="shared" si="3"/>
        <v>6640.4008750632411</v>
      </c>
    </row>
    <row r="17" spans="1:7" x14ac:dyDescent="0.25">
      <c r="B17" s="10">
        <f>10260+37800</f>
        <v>48060</v>
      </c>
      <c r="D17" s="12">
        <f t="shared" si="1"/>
        <v>-7940</v>
      </c>
      <c r="E17" s="11">
        <f t="shared" si="0"/>
        <v>56000</v>
      </c>
      <c r="F17">
        <f t="shared" si="2"/>
        <v>464.82806125442693</v>
      </c>
      <c r="G17" s="10"/>
    </row>
    <row r="18" spans="1:7" x14ac:dyDescent="0.25">
      <c r="B18" s="10"/>
      <c r="F18">
        <f>SUM(F6:F17)/12</f>
        <v>-3815.4693516386928</v>
      </c>
      <c r="G18" s="10"/>
    </row>
    <row r="20" spans="1:7" x14ac:dyDescent="0.25">
      <c r="A20" t="s">
        <v>28</v>
      </c>
      <c r="B20" s="10">
        <f>SUM(B5:B19)</f>
        <v>756000</v>
      </c>
    </row>
    <row r="26" spans="1:7" x14ac:dyDescent="0.25">
      <c r="D26" t="s">
        <v>26</v>
      </c>
    </row>
    <row r="27" spans="1:7" x14ac:dyDescent="0.25">
      <c r="D27" s="10">
        <f>-0.07*E5/12</f>
        <v>58.333333333333343</v>
      </c>
      <c r="E27" s="10">
        <f>E5-D27</f>
        <v>-10058.333333333334</v>
      </c>
    </row>
    <row r="28" spans="1:7" x14ac:dyDescent="0.25">
      <c r="D28" s="10">
        <f t="shared" ref="D28:D33" si="4">-0.07*E6/12</f>
        <v>173.48333333333335</v>
      </c>
      <c r="E28" s="10">
        <f>E27+B6-C6-D28</f>
        <v>-29971.816666666669</v>
      </c>
    </row>
    <row r="29" spans="1:7" x14ac:dyDescent="0.25">
      <c r="D29" s="10">
        <f t="shared" si="4"/>
        <v>285.60000000000002</v>
      </c>
      <c r="E29" s="10">
        <f t="shared" ref="E29:E33" si="5">E28+B7-C7-D29</f>
        <v>-49477.416666666664</v>
      </c>
    </row>
    <row r="30" spans="1:7" x14ac:dyDescent="0.25">
      <c r="D30" s="10">
        <f t="shared" si="4"/>
        <v>307.18333333333334</v>
      </c>
      <c r="E30" s="10">
        <f t="shared" si="5"/>
        <v>-53484.6</v>
      </c>
    </row>
    <row r="31" spans="1:7" x14ac:dyDescent="0.25">
      <c r="D31" s="10">
        <f t="shared" si="4"/>
        <v>386.3416666666667</v>
      </c>
      <c r="E31" s="10">
        <f t="shared" si="5"/>
        <v>-67440.941666666666</v>
      </c>
    </row>
    <row r="32" spans="1:7" x14ac:dyDescent="0.25">
      <c r="D32" s="10">
        <f t="shared" si="4"/>
        <v>375.72500000000008</v>
      </c>
      <c r="E32" s="10">
        <f t="shared" si="5"/>
        <v>-65996.666666666672</v>
      </c>
    </row>
    <row r="33" spans="4:5" x14ac:dyDescent="0.25">
      <c r="D33" s="10">
        <f t="shared" si="4"/>
        <v>452.60833333333335</v>
      </c>
      <c r="E33" s="10">
        <f t="shared" si="5"/>
        <v>-79629.275000000009</v>
      </c>
    </row>
    <row r="34" spans="4:5" x14ac:dyDescent="0.25">
      <c r="D34" s="10"/>
      <c r="E34" s="10">
        <f>E33+B12-C12-D34</f>
        <v>-92419.275000000009</v>
      </c>
    </row>
    <row r="35" spans="4:5" x14ac:dyDescent="0.25">
      <c r="D35" s="10">
        <f>SUM(D27:D34)</f>
        <v>2039.2750000000003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Programming</vt:lpstr>
      <vt:lpstr>Monthly valuation</vt:lpstr>
      <vt:lpstr>Cash in - out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Juanan</dc:creator>
  <cp:lastModifiedBy>Ferriz-Papi, Juan</cp:lastModifiedBy>
  <dcterms:created xsi:type="dcterms:W3CDTF">2015-10-18T09:38:55Z</dcterms:created>
  <dcterms:modified xsi:type="dcterms:W3CDTF">2015-11-23T09:56:50Z</dcterms:modified>
</cp:coreProperties>
</file>