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ger\Documents\WORK\BENGWORK\Vehicle Dynamics 2016-17\Wuhan Lateral Acceleration\Week 2 lectures\Weight Transfer Spreadsheets\"/>
    </mc:Choice>
  </mc:AlternateContent>
  <bookViews>
    <workbookView xWindow="0" yWindow="768" windowWidth="15360" windowHeight="8040"/>
  </bookViews>
  <sheets>
    <sheet name="Live calc" sheetId="7" r:id="rId1"/>
    <sheet name="Spring Rate Conversion" sheetId="2" r:id="rId2"/>
    <sheet name="Load Spliits" sheetId="8" r:id="rId3"/>
  </sheets>
  <definedNames>
    <definedName name="Left_front__corner_sprung_mass__kg" comment="FL" localSheetId="0">#REF!</definedName>
    <definedName name="Left_front__corner_sprung_mass__kg" comment="FL">#REF!</definedName>
  </definedNames>
  <calcPr calcId="171027"/>
</workbook>
</file>

<file path=xl/calcChain.xml><?xml version="1.0" encoding="utf-8"?>
<calcChain xmlns="http://schemas.openxmlformats.org/spreadsheetml/2006/main">
  <c r="G16" i="7" l="1"/>
  <c r="G15" i="7"/>
  <c r="G14" i="7"/>
  <c r="G18" i="7" s="1"/>
  <c r="G13" i="7"/>
  <c r="G17" i="7" s="1"/>
  <c r="G22" i="7" l="1"/>
  <c r="G20" i="7"/>
  <c r="J15" i="7"/>
  <c r="J14" i="7"/>
  <c r="J4" i="7"/>
  <c r="G12" i="7"/>
  <c r="G11" i="7"/>
  <c r="J27" i="7" s="1"/>
  <c r="G7" i="7"/>
  <c r="G6" i="7"/>
  <c r="G5" i="7"/>
  <c r="G4" i="7"/>
  <c r="G19" i="7" l="1"/>
  <c r="J5" i="7" s="1"/>
  <c r="J6" i="7" s="1"/>
  <c r="G9" i="7"/>
  <c r="J13" i="7" s="1"/>
  <c r="G8" i="7"/>
  <c r="J24" i="7"/>
  <c r="G10" i="7" l="1"/>
  <c r="D26" i="7" s="1"/>
  <c r="J12" i="7"/>
  <c r="G21" i="7" l="1"/>
  <c r="G23" i="7" s="1"/>
  <c r="G24" i="7" s="1"/>
  <c r="G25" i="7" s="1"/>
  <c r="J7" i="7" s="1"/>
  <c r="J8" i="7" s="1"/>
  <c r="J11" i="7" s="1"/>
  <c r="J17" i="7" s="1"/>
  <c r="J9" i="7" l="1"/>
  <c r="J10" i="7"/>
  <c r="J16" i="7" s="1"/>
  <c r="J20" i="7" s="1"/>
  <c r="J9" i="8" s="1"/>
  <c r="J21" i="7"/>
  <c r="F13" i="8" s="1"/>
  <c r="J22" i="7"/>
  <c r="J13" i="8" s="1"/>
  <c r="J18" i="7" l="1"/>
  <c r="J19" i="7"/>
  <c r="J23" i="7" s="1"/>
  <c r="J11" i="8"/>
  <c r="J14" i="8"/>
  <c r="H14" i="8"/>
  <c r="E13" i="8"/>
  <c r="F16" i="8"/>
  <c r="F9" i="8" l="1"/>
  <c r="F14" i="8" s="1"/>
  <c r="H7" i="8" l="1"/>
  <c r="H11" i="8" s="1"/>
  <c r="H5" i="8" s="1"/>
  <c r="E9" i="8"/>
  <c r="E12" i="8" s="1"/>
  <c r="F11" i="8"/>
  <c r="E11" i="8" l="1"/>
  <c r="J12" i="8"/>
  <c r="J8" i="8"/>
  <c r="F15" i="8"/>
  <c r="F12" i="8"/>
  <c r="K11" i="8"/>
  <c r="H16" i="8"/>
  <c r="F8" i="8"/>
</calcChain>
</file>

<file path=xl/sharedStrings.xml><?xml version="1.0" encoding="utf-8"?>
<sst xmlns="http://schemas.openxmlformats.org/spreadsheetml/2006/main" count="176" uniqueCount="169">
  <si>
    <t>Ms rr</t>
  </si>
  <si>
    <t>M rr</t>
  </si>
  <si>
    <t>Front Right corner sprung mass [kg]</t>
  </si>
  <si>
    <t>Spring Rate Conversions</t>
  </si>
  <si>
    <t>kg/mm to N/m</t>
  </si>
  <si>
    <t>lb/in to N/mm</t>
  </si>
  <si>
    <t>lb/in to N/m</t>
  </si>
  <si>
    <t>lb/in to kg/mm</t>
  </si>
  <si>
    <t>N/mm to kg/mm</t>
  </si>
  <si>
    <t>N/mm to lb/in</t>
  </si>
  <si>
    <t>N/mm to N/m</t>
  </si>
  <si>
    <t>N/m to N/mm</t>
  </si>
  <si>
    <t>N/m to kg/mm</t>
  </si>
  <si>
    <t>N/m to lb/in</t>
  </si>
  <si>
    <t>N/mm</t>
  </si>
  <si>
    <t>N/m</t>
  </si>
  <si>
    <t>kg/mm</t>
  </si>
  <si>
    <t>lb/in</t>
  </si>
  <si>
    <r>
      <rPr>
        <sz val="10"/>
        <color indexed="10"/>
        <rFont val="Verdana"/>
        <family val="2"/>
      </rPr>
      <t>By Warren Rowley</t>
    </r>
    <r>
      <rPr>
        <sz val="10"/>
        <color indexed="8"/>
        <rFont val="Verdana"/>
        <family val="2"/>
      </rPr>
      <t xml:space="preserve"> </t>
    </r>
  </si>
  <si>
    <t>Total front sprung mass [kg]</t>
  </si>
  <si>
    <t>Total rear sprung mass  [kg]</t>
  </si>
  <si>
    <t>Mus rr</t>
  </si>
  <si>
    <t>Ms r</t>
  </si>
  <si>
    <t>Ms f</t>
  </si>
  <si>
    <t>Tf</t>
  </si>
  <si>
    <t>Tr</t>
  </si>
  <si>
    <t xml:space="preserve">L </t>
  </si>
  <si>
    <t>WTsf</t>
  </si>
  <si>
    <t xml:space="preserve">Calculated Suspension Data </t>
  </si>
  <si>
    <t>WTsr</t>
  </si>
  <si>
    <t xml:space="preserve">Results </t>
  </si>
  <si>
    <t xml:space="preserve">hf </t>
  </si>
  <si>
    <t xml:space="preserve">hr </t>
  </si>
  <si>
    <t>b</t>
  </si>
  <si>
    <t>hr -hf</t>
  </si>
  <si>
    <t>z</t>
  </si>
  <si>
    <t>z+hf</t>
  </si>
  <si>
    <t>Fz rr</t>
  </si>
  <si>
    <t>Kϕr</t>
  </si>
  <si>
    <t>Kϕt</t>
  </si>
  <si>
    <t>Depth  of triangle at CG [m]</t>
  </si>
  <si>
    <t>Height of roll axis at CG [m]</t>
  </si>
  <si>
    <t>Height of CG above roll axis [m]</t>
  </si>
  <si>
    <t>Rear -Front RC Height [m]</t>
  </si>
  <si>
    <t>Mot</t>
  </si>
  <si>
    <t>Overturning moment [Nm]</t>
  </si>
  <si>
    <t>Total Roll Stiffness [Nm/rad]</t>
  </si>
  <si>
    <t>Rear Roll Stiffness [Nm/rad]</t>
  </si>
  <si>
    <t>Front weight transfer due to spung mass [N]</t>
  </si>
  <si>
    <t>Rear  weight transfer due to spung mass [N]</t>
  </si>
  <si>
    <t>Left front  vertical force [N]</t>
  </si>
  <si>
    <t>Front Rightvertical force  [N]</t>
  </si>
  <si>
    <t>Rear Left vertical force [N]</t>
  </si>
  <si>
    <t>Rear Right  vertical force [N]</t>
  </si>
  <si>
    <t>MR rr</t>
  </si>
  <si>
    <t>WTsrcf</t>
  </si>
  <si>
    <t>Wtusf</t>
  </si>
  <si>
    <t>Wtusr</t>
  </si>
  <si>
    <t>WTsrcr</t>
  </si>
  <si>
    <t xml:space="preserve">Hs </t>
  </si>
  <si>
    <t>Kϕf</t>
  </si>
  <si>
    <t xml:space="preserve">WT </t>
  </si>
  <si>
    <t xml:space="preserve">Total WT calculated for 'solid' car </t>
  </si>
  <si>
    <t xml:space="preserve">Htot </t>
  </si>
  <si>
    <t>Hsra</t>
  </si>
  <si>
    <t>Front Left   corner sprung mass [kg]</t>
  </si>
  <si>
    <t>Rear Right corner sprung  mass [kg]</t>
  </si>
  <si>
    <t>Rear Left   corner sprung mass [kg]</t>
  </si>
  <si>
    <t>Front Left Spring rate [N/mm]</t>
  </si>
  <si>
    <t>Rear Left  Spring rate [N/mm]</t>
  </si>
  <si>
    <t>Rear Right  Spring Rate [N/mm]</t>
  </si>
  <si>
    <t>Front Left   wheel rate  [N/mm]</t>
  </si>
  <si>
    <t>Front Left total measured static corner mass [kg]</t>
  </si>
  <si>
    <t>Front Right  measured static corner mass [kg]</t>
  </si>
  <si>
    <t>Rear Left  total measured static corner mass [kg]</t>
  </si>
  <si>
    <t>Rear Right   total measured static corner mass [kg]</t>
  </si>
  <si>
    <t>Front Left  unsprung mass  [kg]</t>
  </si>
  <si>
    <t>Front Right total unsprung mass  [kg]</t>
  </si>
  <si>
    <t>Rear Left unsprung mass  [kg]</t>
  </si>
  <si>
    <t>Rear Right unsprung mass  [kg]</t>
  </si>
  <si>
    <t>MR fl</t>
  </si>
  <si>
    <t>MR fr</t>
  </si>
  <si>
    <t>MR rl</t>
  </si>
  <si>
    <t>M fl</t>
  </si>
  <si>
    <t>M fr</t>
  </si>
  <si>
    <t>M rl</t>
  </si>
  <si>
    <t>Mus fl</t>
  </si>
  <si>
    <t>Mus fr</t>
  </si>
  <si>
    <t>Mus rl</t>
  </si>
  <si>
    <t>Ms fl</t>
  </si>
  <si>
    <t>Ms fr</t>
  </si>
  <si>
    <t>Ms rl</t>
  </si>
  <si>
    <t>Ks rl</t>
  </si>
  <si>
    <t>Ks rr</t>
  </si>
  <si>
    <t>Kw fl</t>
  </si>
  <si>
    <t>Kw fr</t>
  </si>
  <si>
    <t>Front Right wheel rate  [N/mm]</t>
  </si>
  <si>
    <t>Fz fl</t>
  </si>
  <si>
    <t xml:space="preserve">Ks fl  </t>
  </si>
  <si>
    <t xml:space="preserve">Ks fr </t>
  </si>
  <si>
    <t>Front Left Spring rate [lb/in]</t>
  </si>
  <si>
    <t>Front Right Spring rate [lb/in]</t>
  </si>
  <si>
    <t>Rear Left   Spring rate [lb/in]</t>
  </si>
  <si>
    <t>Rear Right  Spring rate [lb/in]</t>
  </si>
  <si>
    <t>Fz rl</t>
  </si>
  <si>
    <t>Ks fl</t>
  </si>
  <si>
    <t>Ks fr</t>
  </si>
  <si>
    <t>Fz fr</t>
  </si>
  <si>
    <t xml:space="preserve">Lateral Acceleration </t>
  </si>
  <si>
    <t>Mtot</t>
  </si>
  <si>
    <t>distance of cg of sprung mass from front axle [m]</t>
  </si>
  <si>
    <t xml:space="preserve">Total  sprung mass </t>
  </si>
  <si>
    <t xml:space="preserve">Total Mass </t>
  </si>
  <si>
    <t>Mstot</t>
  </si>
  <si>
    <t>Front Roll Stiffness [Nm/rad]</t>
  </si>
  <si>
    <t>ϕ</t>
  </si>
  <si>
    <t>Mustot</t>
  </si>
  <si>
    <t>Total unsprung mass</t>
  </si>
  <si>
    <t>Roll angle  (Radians)</t>
  </si>
  <si>
    <t>Rrr</t>
  </si>
  <si>
    <t>Rrf</t>
  </si>
  <si>
    <t>LF+RF</t>
  </si>
  <si>
    <t>LF</t>
  </si>
  <si>
    <t>RF</t>
  </si>
  <si>
    <t xml:space="preserve">Front Split </t>
  </si>
  <si>
    <t xml:space="preserve">LF-RF </t>
  </si>
  <si>
    <t>LF+LR</t>
  </si>
  <si>
    <t xml:space="preserve">   RF+RR</t>
  </si>
  <si>
    <t xml:space="preserve"> (LR-RR) -</t>
  </si>
  <si>
    <t xml:space="preserve">(LF-RF) </t>
  </si>
  <si>
    <t xml:space="preserve">Rear Split </t>
  </si>
  <si>
    <t xml:space="preserve">LR-RR </t>
  </si>
  <si>
    <t>LR</t>
  </si>
  <si>
    <t>RR</t>
  </si>
  <si>
    <t>LR-LF Split</t>
  </si>
  <si>
    <t>RR-RF Split</t>
  </si>
  <si>
    <t>Wedge</t>
  </si>
  <si>
    <t>LR+RR</t>
  </si>
  <si>
    <t>LR-RF Split</t>
  </si>
  <si>
    <t xml:space="preserve">Wheel load distribution </t>
  </si>
  <si>
    <t>Front WT due to sprung mass at RC Height</t>
  </si>
  <si>
    <t>Rear WT due to sprung mass at RC Height</t>
  </si>
  <si>
    <t>Front WT due to Unsprung mass at wheel centre height</t>
  </si>
  <si>
    <t>Rear WT due to Unsprung mass at wheel centre height</t>
  </si>
  <si>
    <t xml:space="preserve">Total front WT </t>
  </si>
  <si>
    <t>Total Rear WT</t>
  </si>
  <si>
    <t xml:space="preserve">Total WT calculated by adding alll Weight Transfers </t>
  </si>
  <si>
    <t xml:space="preserve">Total wheel loads  by individual wheel load check </t>
  </si>
  <si>
    <t xml:space="preserve">Total  wheel load  by static corner weight check </t>
  </si>
  <si>
    <t>Rear Left Wheel Rate [N/mm]</t>
  </si>
  <si>
    <t>Rear  Right wheel  rate [N/mm]</t>
  </si>
  <si>
    <t>Front Right Spring rate [N/mm]</t>
  </si>
  <si>
    <t>Roll angle  (Degrees)</t>
  </si>
  <si>
    <t>Kw rl</t>
  </si>
  <si>
    <t>Kw rr</t>
  </si>
  <si>
    <t>Front Track [m]</t>
  </si>
  <si>
    <t>Rear track [m]</t>
  </si>
  <si>
    <t>Wheel base  [m]</t>
  </si>
  <si>
    <t>Rolling  Radius front [m]</t>
  </si>
  <si>
    <t>Rolling Radius rear [m]</t>
  </si>
  <si>
    <t>Height of CG of total mass above ground [m]</t>
  </si>
  <si>
    <t>Height of CG of sprung mass  above ground [m]</t>
  </si>
  <si>
    <t xml:space="preserve">Height of Front roll centre above ground  </t>
  </si>
  <si>
    <t xml:space="preserve">Height of Rear roll centre above ground </t>
  </si>
  <si>
    <t>Front Left Motion Ratio</t>
  </si>
  <si>
    <t>Front  Right Motion Ratio</t>
  </si>
  <si>
    <t>Rear Left Motion Ratio</t>
  </si>
  <si>
    <t xml:space="preserve">Rear Right Motion </t>
  </si>
  <si>
    <t>MCR S2000 Measured Suspension  Data Silverstone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</si>
</sst>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0"/>
    <numFmt numFmtId="165" formatCode="0.000"/>
    <numFmt numFmtId="166" formatCode="0.0"/>
    <numFmt numFmtId="167" formatCode="0.0%"/>
  </numFmts>
  <fonts count="14" x14ac:knownFonts="1">
    <font>
      <sz val="10"/>
      <name val="Arial"/>
    </font>
    <font>
      <sz val="8"/>
      <name val="Arial"/>
      <family val="2"/>
    </font>
    <font>
      <b/>
      <sz val="14"/>
      <color indexed="10"/>
      <name val="Verdana"/>
      <family val="2"/>
    </font>
    <font>
      <sz val="10"/>
      <color indexed="8"/>
      <name val="Verdana"/>
      <family val="2"/>
    </font>
    <font>
      <sz val="10"/>
      <color indexed="10"/>
      <name val="Verdana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0"/>
      <name val="Calibri"/>
      <family val="2"/>
    </font>
    <font>
      <sz val="10"/>
      <name val="Arial"/>
      <family val="2"/>
    </font>
    <font>
      <sz val="12"/>
      <name val="Arial"/>
      <family val="2"/>
    </font>
    <font>
      <b/>
      <sz val="2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92D05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53">
    <xf numFmtId="0" fontId="0" fillId="0" borderId="0" xfId="0"/>
    <xf numFmtId="2" fontId="0" fillId="4" borderId="7" xfId="0" applyNumberForma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left"/>
    </xf>
    <xf numFmtId="0" fontId="0" fillId="0" borderId="2" xfId="0" applyBorder="1" applyProtection="1"/>
    <xf numFmtId="0" fontId="0" fillId="0" borderId="2" xfId="0" applyBorder="1" applyProtection="1">
      <protection locked="0"/>
    </xf>
    <xf numFmtId="0" fontId="0" fillId="0" borderId="3" xfId="0" applyBorder="1" applyProtection="1"/>
    <xf numFmtId="0" fontId="3" fillId="0" borderId="4" xfId="0" applyFont="1" applyBorder="1" applyProtection="1"/>
    <xf numFmtId="0" fontId="0" fillId="0" borderId="0" xfId="0" applyBorder="1" applyProtection="1"/>
    <xf numFmtId="0" fontId="0" fillId="2" borderId="5" xfId="0" applyFill="1" applyBorder="1" applyAlignment="1" applyProtection="1">
      <alignment horizontal="center"/>
    </xf>
    <xf numFmtId="0" fontId="0" fillId="0" borderId="0" xfId="0" applyBorder="1" applyAlignment="1" applyProtection="1">
      <alignment horizontal="right"/>
    </xf>
    <xf numFmtId="0" fontId="0" fillId="0" borderId="4" xfId="0" applyBorder="1" applyProtection="1"/>
    <xf numFmtId="0" fontId="0" fillId="0" borderId="0" xfId="0" applyFill="1" applyBorder="1" applyProtection="1"/>
    <xf numFmtId="0" fontId="0" fillId="0" borderId="4" xfId="0" applyFill="1" applyBorder="1" applyProtection="1"/>
    <xf numFmtId="0" fontId="0" fillId="0" borderId="0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4" xfId="0" applyBorder="1" applyAlignment="1" applyProtection="1">
      <alignment horizontal="right"/>
    </xf>
    <xf numFmtId="0" fontId="0" fillId="0" borderId="8" xfId="0" applyBorder="1" applyAlignment="1" applyProtection="1">
      <alignment horizontal="right"/>
    </xf>
    <xf numFmtId="0" fontId="2" fillId="0" borderId="4" xfId="0" applyFont="1" applyBorder="1" applyAlignment="1" applyProtection="1">
      <alignment horizontal="left"/>
    </xf>
    <xf numFmtId="0" fontId="0" fillId="0" borderId="0" xfId="0" applyBorder="1" applyProtection="1">
      <protection locked="0"/>
    </xf>
    <xf numFmtId="0" fontId="0" fillId="0" borderId="6" xfId="0" applyBorder="1" applyProtection="1"/>
    <xf numFmtId="2" fontId="0" fillId="5" borderId="7" xfId="0" applyNumberFormat="1" applyFill="1" applyBorder="1" applyAlignment="1" applyProtection="1">
      <alignment horizontal="center"/>
    </xf>
    <xf numFmtId="2" fontId="0" fillId="5" borderId="5" xfId="0" applyNumberFormat="1" applyFill="1" applyBorder="1" applyAlignment="1" applyProtection="1">
      <alignment horizontal="center"/>
    </xf>
    <xf numFmtId="2" fontId="0" fillId="4" borderId="9" xfId="0" applyNumberFormat="1" applyFill="1" applyBorder="1" applyAlignment="1" applyProtection="1">
      <alignment horizontal="center"/>
      <protection locked="0"/>
    </xf>
    <xf numFmtId="2" fontId="0" fillId="5" borderId="9" xfId="0" applyNumberFormat="1" applyFill="1" applyBorder="1" applyAlignment="1" applyProtection="1">
      <alignment horizontal="center"/>
    </xf>
    <xf numFmtId="2" fontId="0" fillId="5" borderId="10" xfId="0" applyNumberFormat="1" applyFill="1" applyBorder="1" applyAlignment="1" applyProtection="1">
      <alignment horizontal="center"/>
    </xf>
    <xf numFmtId="2" fontId="0" fillId="3" borderId="5" xfId="0" applyNumberFormat="1" applyFill="1" applyBorder="1" applyAlignment="1" applyProtection="1">
      <alignment horizontal="center"/>
    </xf>
    <xf numFmtId="2" fontId="3" fillId="3" borderId="5" xfId="0" applyNumberFormat="1" applyFont="1" applyFill="1" applyBorder="1" applyAlignment="1" applyProtection="1">
      <alignment horizontal="center"/>
    </xf>
    <xf numFmtId="0" fontId="5" fillId="0" borderId="0" xfId="0" applyFont="1"/>
    <xf numFmtId="0" fontId="0" fillId="0" borderId="7" xfId="0" applyBorder="1"/>
    <xf numFmtId="0" fontId="8" fillId="0" borderId="7" xfId="0" applyFont="1" applyBorder="1"/>
    <xf numFmtId="0" fontId="9" fillId="6" borderId="13" xfId="0" applyFont="1" applyFill="1" applyBorder="1"/>
    <xf numFmtId="0" fontId="0" fillId="0" borderId="7" xfId="0" applyBorder="1" applyAlignment="1">
      <alignment horizontal="center" vertical="center"/>
    </xf>
    <xf numFmtId="164" fontId="0" fillId="3" borderId="5" xfId="0" applyNumberFormat="1" applyFill="1" applyBorder="1" applyAlignment="1" applyProtection="1">
      <alignment horizontal="center"/>
    </xf>
    <xf numFmtId="2" fontId="0" fillId="7" borderId="5" xfId="0" applyNumberFormat="1" applyFill="1" applyBorder="1" applyAlignment="1" applyProtection="1">
      <alignment horizontal="center"/>
    </xf>
    <xf numFmtId="0" fontId="0" fillId="0" borderId="0" xfId="0" applyBorder="1"/>
    <xf numFmtId="0" fontId="7" fillId="0" borderId="15" xfId="0" applyFont="1" applyBorder="1"/>
    <xf numFmtId="0" fontId="7" fillId="0" borderId="16" xfId="0" applyFont="1" applyBorder="1"/>
    <xf numFmtId="0" fontId="0" fillId="7" borderId="7" xfId="0" applyFill="1" applyBorder="1" applyAlignment="1">
      <alignment horizontal="center" vertical="center"/>
    </xf>
    <xf numFmtId="165" fontId="0" fillId="7" borderId="7" xfId="0" applyNumberFormat="1" applyFill="1" applyBorder="1" applyAlignment="1">
      <alignment horizontal="center" vertical="center"/>
    </xf>
    <xf numFmtId="0" fontId="0" fillId="7" borderId="0" xfId="0" applyFill="1" applyBorder="1"/>
    <xf numFmtId="0" fontId="9" fillId="6" borderId="13" xfId="0" applyFont="1" applyFill="1" applyBorder="1" applyAlignment="1">
      <alignment horizontal="left"/>
    </xf>
    <xf numFmtId="166" fontId="0" fillId="0" borderId="5" xfId="0" applyNumberFormat="1" applyBorder="1" applyAlignment="1">
      <alignment horizontal="center" vertical="center"/>
    </xf>
    <xf numFmtId="0" fontId="8" fillId="0" borderId="0" xfId="0" applyFont="1"/>
    <xf numFmtId="0" fontId="0" fillId="0" borderId="17" xfId="0" applyBorder="1"/>
    <xf numFmtId="0" fontId="8" fillId="0" borderId="17" xfId="0" applyFont="1" applyBorder="1"/>
    <xf numFmtId="0" fontId="0" fillId="0" borderId="23" xfId="0" applyBorder="1"/>
    <xf numFmtId="0" fontId="0" fillId="0" borderId="9" xfId="0" applyBorder="1"/>
    <xf numFmtId="0" fontId="7" fillId="0" borderId="1" xfId="0" applyFont="1" applyFill="1" applyBorder="1" applyAlignment="1">
      <alignment horizontal="left"/>
    </xf>
    <xf numFmtId="0" fontId="0" fillId="0" borderId="2" xfId="0" applyFill="1" applyBorder="1"/>
    <xf numFmtId="167" fontId="12" fillId="9" borderId="26" xfId="1" applyNumberFormat="1" applyFont="1" applyFill="1" applyBorder="1" applyAlignment="1">
      <alignment horizontal="center"/>
    </xf>
    <xf numFmtId="0" fontId="12" fillId="0" borderId="2" xfId="0" applyFont="1" applyFill="1" applyBorder="1"/>
    <xf numFmtId="0" fontId="12" fillId="0" borderId="2" xfId="0" applyFont="1" applyFill="1" applyBorder="1" applyAlignment="1">
      <alignment horizontal="center"/>
    </xf>
    <xf numFmtId="0" fontId="12" fillId="0" borderId="3" xfId="0" applyFont="1" applyFill="1" applyBorder="1"/>
    <xf numFmtId="0" fontId="12" fillId="0" borderId="4" xfId="0" applyFont="1" applyFill="1" applyBorder="1"/>
    <xf numFmtId="0" fontId="7" fillId="0" borderId="0" xfId="0" applyFont="1" applyFill="1" applyBorder="1"/>
    <xf numFmtId="0" fontId="12" fillId="0" borderId="0" xfId="0" applyFont="1" applyFill="1" applyBorder="1"/>
    <xf numFmtId="0" fontId="7" fillId="9" borderId="27" xfId="0" applyFont="1" applyFill="1" applyBorder="1" applyAlignment="1">
      <alignment horizontal="center"/>
    </xf>
    <xf numFmtId="0" fontId="12" fillId="0" borderId="6" xfId="0" applyFont="1" applyFill="1" applyBorder="1"/>
    <xf numFmtId="166" fontId="12" fillId="9" borderId="28" xfId="0" applyNumberFormat="1" applyFont="1" applyFill="1" applyBorder="1" applyAlignment="1">
      <alignment horizontal="center"/>
    </xf>
    <xf numFmtId="167" fontId="12" fillId="0" borderId="0" xfId="1" applyNumberFormat="1" applyFont="1" applyFill="1" applyBorder="1" applyAlignment="1">
      <alignment horizontal="center"/>
    </xf>
    <xf numFmtId="167" fontId="12" fillId="6" borderId="29" xfId="1" applyNumberFormat="1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166" fontId="6" fillId="10" borderId="2" xfId="0" applyNumberFormat="1" applyFont="1" applyFill="1" applyBorder="1" applyAlignment="1">
      <alignment horizontal="center"/>
    </xf>
    <xf numFmtId="0" fontId="7" fillId="10" borderId="3" xfId="0" applyFont="1" applyFill="1" applyBorder="1" applyAlignment="1">
      <alignment horizontal="center"/>
    </xf>
    <xf numFmtId="167" fontId="12" fillId="6" borderId="30" xfId="1" applyNumberFormat="1" applyFont="1" applyFill="1" applyBorder="1" applyAlignment="1">
      <alignment horizontal="center"/>
    </xf>
    <xf numFmtId="0" fontId="7" fillId="9" borderId="20" xfId="0" applyFont="1" applyFill="1" applyBorder="1"/>
    <xf numFmtId="0" fontId="7" fillId="9" borderId="11" xfId="0" applyFont="1" applyFill="1" applyBorder="1" applyAlignment="1">
      <alignment horizontal="right"/>
    </xf>
    <xf numFmtId="166" fontId="12" fillId="9" borderId="22" xfId="0" applyNumberFormat="1" applyFont="1" applyFill="1" applyBorder="1" applyAlignment="1">
      <alignment horizontal="center"/>
    </xf>
    <xf numFmtId="166" fontId="12" fillId="4" borderId="31" xfId="0" applyNumberFormat="1" applyFont="1" applyFill="1" applyBorder="1" applyAlignment="1">
      <alignment horizontal="center"/>
    </xf>
    <xf numFmtId="0" fontId="6" fillId="10" borderId="4" xfId="0" applyFont="1" applyFill="1" applyBorder="1"/>
    <xf numFmtId="0" fontId="7" fillId="10" borderId="0" xfId="0" applyFont="1" applyFill="1" applyBorder="1"/>
    <xf numFmtId="0" fontId="6" fillId="10" borderId="6" xfId="0" applyFont="1" applyFill="1" applyBorder="1"/>
    <xf numFmtId="166" fontId="12" fillId="4" borderId="32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/>
    </xf>
    <xf numFmtId="0" fontId="7" fillId="10" borderId="6" xfId="0" applyFont="1" applyFill="1" applyBorder="1" applyAlignment="1">
      <alignment horizontal="center"/>
    </xf>
    <xf numFmtId="166" fontId="12" fillId="0" borderId="0" xfId="0" applyNumberFormat="1" applyFont="1" applyFill="1" applyBorder="1" applyAlignment="1">
      <alignment horizontal="center"/>
    </xf>
    <xf numFmtId="166" fontId="7" fillId="9" borderId="33" xfId="0" applyNumberFormat="1" applyFont="1" applyFill="1" applyBorder="1" applyAlignment="1">
      <alignment horizontal="center"/>
    </xf>
    <xf numFmtId="167" fontId="12" fillId="9" borderId="11" xfId="0" applyNumberFormat="1" applyFont="1" applyFill="1" applyBorder="1" applyAlignment="1">
      <alignment horizontal="center"/>
    </xf>
    <xf numFmtId="0" fontId="12" fillId="9" borderId="12" xfId="0" applyFont="1" applyFill="1" applyBorder="1" applyAlignment="1">
      <alignment horizontal="center"/>
    </xf>
    <xf numFmtId="0" fontId="7" fillId="10" borderId="0" xfId="0" applyFont="1" applyFill="1" applyBorder="1" applyAlignment="1">
      <alignment horizontal="center"/>
    </xf>
    <xf numFmtId="166" fontId="12" fillId="0" borderId="13" xfId="0" applyNumberFormat="1" applyFont="1" applyFill="1" applyBorder="1" applyAlignment="1">
      <alignment horizontal="center"/>
    </xf>
    <xf numFmtId="166" fontId="12" fillId="9" borderId="33" xfId="0" applyNumberFormat="1" applyFont="1" applyFill="1" applyBorder="1" applyAlignment="1">
      <alignment horizontal="center"/>
    </xf>
    <xf numFmtId="167" fontId="12" fillId="9" borderId="34" xfId="0" applyNumberFormat="1" applyFont="1" applyFill="1" applyBorder="1" applyAlignment="1">
      <alignment horizontal="center"/>
    </xf>
    <xf numFmtId="0" fontId="7" fillId="9" borderId="22" xfId="0" applyFont="1" applyFill="1" applyBorder="1" applyAlignment="1">
      <alignment horizontal="left"/>
    </xf>
    <xf numFmtId="0" fontId="7" fillId="11" borderId="35" xfId="0" applyFont="1" applyFill="1" applyBorder="1" applyAlignment="1">
      <alignment horizontal="right"/>
    </xf>
    <xf numFmtId="0" fontId="7" fillId="11" borderId="19" xfId="0" applyFont="1" applyFill="1" applyBorder="1" applyAlignment="1"/>
    <xf numFmtId="166" fontId="7" fillId="11" borderId="0" xfId="0" applyNumberFormat="1" applyFont="1" applyFill="1" applyBorder="1" applyAlignment="1">
      <alignment horizontal="center"/>
    </xf>
    <xf numFmtId="167" fontId="12" fillId="6" borderId="36" xfId="1" applyNumberFormat="1" applyFont="1" applyFill="1" applyBorder="1" applyAlignment="1">
      <alignment horizontal="center"/>
    </xf>
    <xf numFmtId="167" fontId="12" fillId="6" borderId="37" xfId="1" applyNumberFormat="1" applyFont="1" applyFill="1" applyBorder="1" applyAlignment="1">
      <alignment horizontal="center"/>
    </xf>
    <xf numFmtId="0" fontId="7" fillId="9" borderId="38" xfId="0" applyFont="1" applyFill="1" applyBorder="1" applyAlignment="1">
      <alignment horizontal="center"/>
    </xf>
    <xf numFmtId="0" fontId="7" fillId="10" borderId="8" xfId="0" applyFont="1" applyFill="1" applyBorder="1" applyAlignment="1">
      <alignment horizontal="center"/>
    </xf>
    <xf numFmtId="0" fontId="7" fillId="10" borderId="25" xfId="0" applyFont="1" applyFill="1" applyBorder="1"/>
    <xf numFmtId="0" fontId="7" fillId="10" borderId="39" xfId="0" applyFont="1" applyFill="1" applyBorder="1" applyAlignment="1">
      <alignment horizontal="center"/>
    </xf>
    <xf numFmtId="166" fontId="12" fillId="4" borderId="40" xfId="0" applyNumberFormat="1" applyFont="1" applyFill="1" applyBorder="1" applyAlignment="1">
      <alignment horizontal="center"/>
    </xf>
    <xf numFmtId="0" fontId="12" fillId="0" borderId="20" xfId="0" applyFont="1" applyFill="1" applyBorder="1" applyAlignment="1">
      <alignment horizontal="center"/>
    </xf>
    <xf numFmtId="0" fontId="7" fillId="0" borderId="21" xfId="0" applyFont="1" applyFill="1" applyBorder="1" applyAlignment="1">
      <alignment horizontal="right"/>
    </xf>
    <xf numFmtId="166" fontId="12" fillId="0" borderId="22" xfId="0" applyNumberFormat="1" applyFont="1" applyFill="1" applyBorder="1" applyAlignment="1">
      <alignment horizontal="center"/>
    </xf>
    <xf numFmtId="166" fontId="12" fillId="9" borderId="41" xfId="0" applyNumberFormat="1" applyFont="1" applyFill="1" applyBorder="1" applyAlignment="1">
      <alignment horizontal="center"/>
    </xf>
    <xf numFmtId="166" fontId="12" fillId="9" borderId="20" xfId="0" applyNumberFormat="1" applyFont="1" applyFill="1" applyBorder="1" applyAlignment="1">
      <alignment horizontal="center"/>
    </xf>
    <xf numFmtId="0" fontId="7" fillId="9" borderId="21" xfId="0" applyFont="1" applyFill="1" applyBorder="1" applyAlignment="1">
      <alignment horizontal="left"/>
    </xf>
    <xf numFmtId="0" fontId="7" fillId="9" borderId="4" xfId="0" applyFont="1" applyFill="1" applyBorder="1" applyAlignment="1">
      <alignment horizontal="right"/>
    </xf>
    <xf numFmtId="167" fontId="12" fillId="9" borderId="6" xfId="1" applyNumberFormat="1" applyFont="1" applyFill="1" applyBorder="1" applyAlignment="1">
      <alignment horizontal="center"/>
    </xf>
    <xf numFmtId="0" fontId="7" fillId="9" borderId="42" xfId="0" applyFont="1" applyFill="1" applyBorder="1" applyAlignment="1">
      <alignment horizontal="center"/>
    </xf>
    <xf numFmtId="0" fontId="12" fillId="0" borderId="8" xfId="0" applyFont="1" applyFill="1" applyBorder="1"/>
    <xf numFmtId="166" fontId="12" fillId="0" borderId="22" xfId="1" applyNumberFormat="1" applyFont="1" applyFill="1" applyBorder="1" applyAlignment="1">
      <alignment horizontal="center"/>
    </xf>
    <xf numFmtId="0" fontId="12" fillId="0" borderId="25" xfId="0" applyFont="1" applyFill="1" applyBorder="1"/>
    <xf numFmtId="167" fontId="12" fillId="9" borderId="43" xfId="1" applyNumberFormat="1" applyFont="1" applyFill="1" applyBorder="1" applyAlignment="1">
      <alignment horizontal="center"/>
    </xf>
    <xf numFmtId="2" fontId="7" fillId="7" borderId="25" xfId="0" applyNumberFormat="1" applyFont="1" applyFill="1" applyBorder="1"/>
    <xf numFmtId="0" fontId="6" fillId="7" borderId="39" xfId="0" applyFont="1" applyFill="1" applyBorder="1"/>
    <xf numFmtId="0" fontId="13" fillId="0" borderId="0" xfId="0" applyFont="1"/>
    <xf numFmtId="164" fontId="0" fillId="0" borderId="5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8" fillId="0" borderId="18" xfId="0" applyFont="1" applyFill="1" applyBorder="1"/>
    <xf numFmtId="1" fontId="0" fillId="8" borderId="26" xfId="0" applyNumberFormat="1" applyFill="1" applyBorder="1" applyAlignment="1">
      <alignment horizontal="center"/>
    </xf>
    <xf numFmtId="1" fontId="0" fillId="12" borderId="13" xfId="0" applyNumberFormat="1" applyFill="1" applyBorder="1" applyAlignment="1">
      <alignment horizontal="center" vertical="center"/>
    </xf>
    <xf numFmtId="0" fontId="8" fillId="7" borderId="0" xfId="0" applyFont="1" applyFill="1" applyBorder="1"/>
    <xf numFmtId="0" fontId="8" fillId="7" borderId="23" xfId="0" applyFont="1" applyFill="1" applyBorder="1"/>
    <xf numFmtId="0" fontId="8" fillId="7" borderId="7" xfId="0" applyFont="1" applyFill="1" applyBorder="1"/>
    <xf numFmtId="0" fontId="0" fillId="7" borderId="24" xfId="0" applyFont="1" applyFill="1" applyBorder="1"/>
    <xf numFmtId="0" fontId="8" fillId="7" borderId="14" xfId="0" applyFont="1" applyFill="1" applyBorder="1"/>
    <xf numFmtId="0" fontId="0" fillId="7" borderId="7" xfId="0" applyFill="1" applyBorder="1" applyAlignment="1">
      <alignment horizontal="center"/>
    </xf>
    <xf numFmtId="0" fontId="0" fillId="7" borderId="7" xfId="0" applyFill="1" applyBorder="1"/>
    <xf numFmtId="0" fontId="10" fillId="7" borderId="7" xfId="0" applyFont="1" applyFill="1" applyBorder="1"/>
    <xf numFmtId="0" fontId="8" fillId="7" borderId="17" xfId="0" applyFont="1" applyFill="1" applyBorder="1"/>
    <xf numFmtId="166" fontId="0" fillId="7" borderId="5" xfId="0" applyNumberFormat="1" applyFill="1" applyBorder="1" applyAlignment="1">
      <alignment horizontal="center"/>
    </xf>
    <xf numFmtId="166" fontId="0" fillId="7" borderId="44" xfId="0" applyNumberFormat="1" applyFill="1" applyBorder="1" applyAlignment="1">
      <alignment horizontal="center"/>
    </xf>
    <xf numFmtId="0" fontId="7" fillId="0" borderId="46" xfId="0" applyFont="1" applyBorder="1"/>
    <xf numFmtId="0" fontId="0" fillId="0" borderId="47" xfId="0" applyBorder="1"/>
    <xf numFmtId="0" fontId="0" fillId="0" borderId="48" xfId="0" applyBorder="1"/>
    <xf numFmtId="0" fontId="0" fillId="0" borderId="48" xfId="0" applyBorder="1" applyAlignment="1">
      <alignment horizontal="center" vertical="center"/>
    </xf>
    <xf numFmtId="0" fontId="8" fillId="0" borderId="48" xfId="0" applyFont="1" applyBorder="1"/>
    <xf numFmtId="0" fontId="0" fillId="0" borderId="50" xfId="0" applyBorder="1"/>
    <xf numFmtId="0" fontId="0" fillId="0" borderId="51" xfId="0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166" fontId="0" fillId="7" borderId="5" xfId="0" applyNumberFormat="1" applyFill="1" applyBorder="1" applyAlignment="1">
      <alignment horizontal="center" vertical="center"/>
    </xf>
    <xf numFmtId="1" fontId="0" fillId="7" borderId="45" xfId="0" applyNumberFormat="1" applyFill="1" applyBorder="1" applyAlignment="1">
      <alignment horizontal="center" vertical="center"/>
    </xf>
    <xf numFmtId="1" fontId="0" fillId="7" borderId="5" xfId="0" applyNumberFormat="1" applyFill="1" applyBorder="1" applyAlignment="1">
      <alignment horizontal="center" vertical="center"/>
    </xf>
    <xf numFmtId="1" fontId="0" fillId="7" borderId="44" xfId="0" applyNumberFormat="1" applyFill="1" applyBorder="1" applyAlignment="1">
      <alignment horizontal="center" vertical="center"/>
    </xf>
    <xf numFmtId="164" fontId="0" fillId="7" borderId="7" xfId="0" applyNumberFormat="1" applyFill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1" fontId="0" fillId="8" borderId="28" xfId="0" applyNumberFormat="1" applyFill="1" applyBorder="1" applyAlignment="1">
      <alignment horizontal="center" vertical="center"/>
    </xf>
    <xf numFmtId="165" fontId="8" fillId="7" borderId="48" xfId="0" applyNumberFormat="1" applyFont="1" applyFill="1" applyBorder="1" applyAlignment="1">
      <alignment horizontal="center" vertical="center"/>
    </xf>
    <xf numFmtId="0" fontId="0" fillId="0" borderId="25" xfId="0" applyBorder="1"/>
    <xf numFmtId="0" fontId="0" fillId="7" borderId="52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165" fontId="0" fillId="0" borderId="5" xfId="0" applyNumberFormat="1" applyBorder="1" applyAlignment="1">
      <alignment horizontal="center"/>
    </xf>
    <xf numFmtId="1" fontId="0" fillId="7" borderId="7" xfId="0" applyNumberFormat="1" applyFill="1" applyBorder="1" applyAlignment="1">
      <alignment horizontal="center" vertical="center"/>
    </xf>
    <xf numFmtId="165" fontId="0" fillId="7" borderId="14" xfId="0" applyNumberFormat="1" applyFill="1" applyBorder="1" applyAlignment="1">
      <alignment horizontal="center" vertical="center"/>
    </xf>
    <xf numFmtId="164" fontId="0" fillId="7" borderId="9" xfId="0" applyNumberFormat="1" applyFill="1" applyBorder="1" applyAlignment="1">
      <alignment horizontal="center" vertical="center"/>
    </xf>
    <xf numFmtId="1" fontId="0" fillId="0" borderId="49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CCFFFF"/>
      <color rgb="FF00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9"/>
  <sheetViews>
    <sheetView tabSelected="1" topLeftCell="A4" workbookViewId="0">
      <selection activeCell="J19" sqref="J19"/>
    </sheetView>
  </sheetViews>
  <sheetFormatPr defaultRowHeight="13.2" x14ac:dyDescent="0.25"/>
  <cols>
    <col min="3" max="3" width="49.88671875" customWidth="1"/>
    <col min="6" max="6" width="41.6640625" customWidth="1"/>
    <col min="7" max="7" width="13.6640625" customWidth="1"/>
    <col min="9" max="9" width="53.44140625" customWidth="1"/>
    <col min="10" max="10" width="12.109375" customWidth="1"/>
    <col min="11" max="11" width="7.44140625" customWidth="1"/>
  </cols>
  <sheetData>
    <row r="1" spans="2:11" ht="18" thickBot="1" x14ac:dyDescent="0.35">
      <c r="C1" s="30" t="s">
        <v>108</v>
      </c>
      <c r="D1" s="40">
        <v>12.33</v>
      </c>
      <c r="F1" s="117"/>
      <c r="G1" s="39"/>
      <c r="H1" s="34"/>
      <c r="I1" s="146"/>
      <c r="J1" s="34"/>
    </row>
    <row r="2" spans="2:11" ht="13.8" thickBot="1" x14ac:dyDescent="0.3">
      <c r="I2" s="145"/>
    </row>
    <row r="3" spans="2:11" ht="16.2" thickBot="1" x14ac:dyDescent="0.35">
      <c r="B3" s="35" t="s">
        <v>168</v>
      </c>
      <c r="C3" s="36"/>
      <c r="D3" s="36"/>
      <c r="E3" s="36" t="s">
        <v>28</v>
      </c>
      <c r="F3" s="36"/>
      <c r="G3" s="36"/>
      <c r="H3" s="36" t="s">
        <v>30</v>
      </c>
      <c r="I3" s="36"/>
      <c r="J3" s="128"/>
    </row>
    <row r="4" spans="2:11" ht="13.8" thickBot="1" x14ac:dyDescent="0.3">
      <c r="B4" s="129" t="s">
        <v>80</v>
      </c>
      <c r="C4" s="132" t="s">
        <v>164</v>
      </c>
      <c r="D4" s="143">
        <v>0.81</v>
      </c>
      <c r="E4" s="130" t="s">
        <v>89</v>
      </c>
      <c r="F4" s="130" t="s">
        <v>65</v>
      </c>
      <c r="G4" s="131">
        <f>D8-D12</f>
        <v>103.5</v>
      </c>
      <c r="H4" s="132" t="s">
        <v>60</v>
      </c>
      <c r="I4" s="132" t="s">
        <v>114</v>
      </c>
      <c r="J4" s="151">
        <f>(D20^2*AVERAGE(G17:G18)*1000)/2</f>
        <v>53351.847273215186</v>
      </c>
    </row>
    <row r="5" spans="2:11" ht="12" customHeight="1" thickBot="1" x14ac:dyDescent="0.3">
      <c r="B5" s="45" t="s">
        <v>81</v>
      </c>
      <c r="C5" s="132" t="s">
        <v>165</v>
      </c>
      <c r="D5" s="143">
        <v>0.81</v>
      </c>
      <c r="E5" s="28" t="s">
        <v>90</v>
      </c>
      <c r="F5" s="28" t="s">
        <v>2</v>
      </c>
      <c r="G5" s="31">
        <f>D9-D13</f>
        <v>115.5</v>
      </c>
      <c r="H5" s="28" t="s">
        <v>38</v>
      </c>
      <c r="I5" s="28" t="s">
        <v>47</v>
      </c>
      <c r="J5" s="152">
        <f>(D21^2*AVERAGE(G19:G20)*1000)/2</f>
        <v>39790.174666175291</v>
      </c>
    </row>
    <row r="6" spans="2:11" ht="13.8" thickBot="1" x14ac:dyDescent="0.3">
      <c r="B6" s="45" t="s">
        <v>82</v>
      </c>
      <c r="C6" s="132" t="s">
        <v>166</v>
      </c>
      <c r="D6" s="38">
        <v>0.68799999999999994</v>
      </c>
      <c r="E6" s="28" t="s">
        <v>91</v>
      </c>
      <c r="F6" s="28" t="s">
        <v>67</v>
      </c>
      <c r="G6" s="31">
        <f>D10-D14</f>
        <v>177</v>
      </c>
      <c r="H6" s="28" t="s">
        <v>39</v>
      </c>
      <c r="I6" s="28" t="s">
        <v>46</v>
      </c>
      <c r="J6" s="152">
        <f>SUM(J4:J5)</f>
        <v>93142.021939390484</v>
      </c>
    </row>
    <row r="7" spans="2:11" x14ac:dyDescent="0.25">
      <c r="B7" s="45" t="s">
        <v>54</v>
      </c>
      <c r="C7" s="132" t="s">
        <v>167</v>
      </c>
      <c r="D7" s="38">
        <v>0.68799999999999994</v>
      </c>
      <c r="E7" s="28" t="s">
        <v>0</v>
      </c>
      <c r="F7" s="28" t="s">
        <v>66</v>
      </c>
      <c r="G7" s="31">
        <f>D11-D15</f>
        <v>203</v>
      </c>
      <c r="H7" s="28" t="s">
        <v>44</v>
      </c>
      <c r="I7" s="28" t="s">
        <v>45</v>
      </c>
      <c r="J7" s="41">
        <f>G10*D1*G25</f>
        <v>2501.9539101</v>
      </c>
    </row>
    <row r="8" spans="2:11" ht="13.8" x14ac:dyDescent="0.3">
      <c r="B8" s="45" t="s">
        <v>83</v>
      </c>
      <c r="C8" s="28" t="s">
        <v>72</v>
      </c>
      <c r="D8" s="37">
        <v>126</v>
      </c>
      <c r="E8" s="29" t="s">
        <v>23</v>
      </c>
      <c r="F8" s="28" t="s">
        <v>19</v>
      </c>
      <c r="G8" s="31">
        <f>G4+G5</f>
        <v>219</v>
      </c>
      <c r="H8" s="124" t="s">
        <v>115</v>
      </c>
      <c r="I8" s="29" t="s">
        <v>118</v>
      </c>
      <c r="J8" s="111">
        <f>J7/J6</f>
        <v>2.6861709226455005E-2</v>
      </c>
    </row>
    <row r="9" spans="2:11" ht="13.8" x14ac:dyDescent="0.3">
      <c r="B9" s="45" t="s">
        <v>84</v>
      </c>
      <c r="C9" s="28" t="s">
        <v>73</v>
      </c>
      <c r="D9" s="37">
        <v>138</v>
      </c>
      <c r="E9" s="28" t="s">
        <v>22</v>
      </c>
      <c r="F9" s="28" t="s">
        <v>20</v>
      </c>
      <c r="G9" s="31">
        <f>G6+G7</f>
        <v>380</v>
      </c>
      <c r="H9" s="124" t="s">
        <v>115</v>
      </c>
      <c r="I9" s="29" t="s">
        <v>152</v>
      </c>
      <c r="J9" s="147">
        <f>J8*180/3.142</f>
        <v>1.5388630365251117</v>
      </c>
    </row>
    <row r="10" spans="2:11" x14ac:dyDescent="0.25">
      <c r="B10" s="45" t="s">
        <v>85</v>
      </c>
      <c r="C10" s="28" t="s">
        <v>74</v>
      </c>
      <c r="D10" s="37">
        <v>201</v>
      </c>
      <c r="E10" s="119" t="s">
        <v>113</v>
      </c>
      <c r="F10" s="119" t="s">
        <v>111</v>
      </c>
      <c r="G10" s="37">
        <f>G8+G9</f>
        <v>599</v>
      </c>
      <c r="H10" s="28" t="s">
        <v>27</v>
      </c>
      <c r="I10" s="28" t="s">
        <v>48</v>
      </c>
      <c r="J10" s="136">
        <f>J8*AVERAGE(G17:G18)*D20*1000/2</f>
        <v>952.24040408461315</v>
      </c>
    </row>
    <row r="11" spans="2:11" x14ac:dyDescent="0.25">
      <c r="B11" s="45" t="s">
        <v>1</v>
      </c>
      <c r="C11" s="28" t="s">
        <v>75</v>
      </c>
      <c r="D11" s="37">
        <v>227</v>
      </c>
      <c r="E11" s="119" t="s">
        <v>109</v>
      </c>
      <c r="F11" s="119" t="s">
        <v>112</v>
      </c>
      <c r="G11" s="122">
        <f>SUM(D8:D11)</f>
        <v>692</v>
      </c>
      <c r="H11" s="29" t="s">
        <v>29</v>
      </c>
      <c r="I11" s="29" t="s">
        <v>49</v>
      </c>
      <c r="J11" s="136">
        <f>J8*AVERAGE(G19:G20)*D21*1000/2</f>
        <v>738.65383687122107</v>
      </c>
      <c r="K11" s="27"/>
    </row>
    <row r="12" spans="2:11" x14ac:dyDescent="0.25">
      <c r="B12" s="45" t="s">
        <v>86</v>
      </c>
      <c r="C12" s="28" t="s">
        <v>76</v>
      </c>
      <c r="D12" s="135">
        <v>22.5</v>
      </c>
      <c r="E12" s="123" t="s">
        <v>116</v>
      </c>
      <c r="F12" s="123" t="s">
        <v>117</v>
      </c>
      <c r="G12" s="122">
        <f>SUM(D12:D15)</f>
        <v>93</v>
      </c>
      <c r="H12" s="28" t="s">
        <v>55</v>
      </c>
      <c r="I12" s="29" t="s">
        <v>140</v>
      </c>
      <c r="J12" s="41">
        <f>G8*D1*D27/D20</f>
        <v>-41.58954059800665</v>
      </c>
    </row>
    <row r="13" spans="2:11" x14ac:dyDescent="0.25">
      <c r="B13" s="45" t="s">
        <v>87</v>
      </c>
      <c r="C13" s="28" t="s">
        <v>77</v>
      </c>
      <c r="D13" s="37">
        <v>22.5</v>
      </c>
      <c r="E13" s="29" t="s">
        <v>105</v>
      </c>
      <c r="F13" s="28" t="s">
        <v>68</v>
      </c>
      <c r="G13" s="33">
        <f>0.17512678*D16</f>
        <v>71.451726239999999</v>
      </c>
      <c r="H13" s="28" t="s">
        <v>58</v>
      </c>
      <c r="I13" s="29" t="s">
        <v>141</v>
      </c>
      <c r="J13" s="41">
        <f>G9*D1*D28/D21</f>
        <v>272.13204713199724</v>
      </c>
    </row>
    <row r="14" spans="2:11" x14ac:dyDescent="0.25">
      <c r="B14" s="45" t="s">
        <v>88</v>
      </c>
      <c r="C14" s="28" t="s">
        <v>78</v>
      </c>
      <c r="D14" s="37">
        <v>24</v>
      </c>
      <c r="E14" s="29" t="s">
        <v>106</v>
      </c>
      <c r="F14" s="29" t="s">
        <v>151</v>
      </c>
      <c r="G14" s="33">
        <f>0.17512678*D17</f>
        <v>72.152233360000011</v>
      </c>
      <c r="H14" s="28" t="s">
        <v>56</v>
      </c>
      <c r="I14" s="29" t="s">
        <v>142</v>
      </c>
      <c r="J14" s="41">
        <f xml:space="preserve"> (SUM(D12:D13)*D1*D23)/D20</f>
        <v>95.054468770764146</v>
      </c>
    </row>
    <row r="15" spans="2:11" x14ac:dyDescent="0.25">
      <c r="B15" s="45" t="s">
        <v>21</v>
      </c>
      <c r="C15" s="28" t="s">
        <v>79</v>
      </c>
      <c r="D15" s="37">
        <v>24</v>
      </c>
      <c r="E15" s="28" t="s">
        <v>92</v>
      </c>
      <c r="F15" s="28" t="s">
        <v>69</v>
      </c>
      <c r="G15" s="33">
        <f>0.17512678*D18</f>
        <v>80.20806524000001</v>
      </c>
      <c r="H15" s="28" t="s">
        <v>57</v>
      </c>
      <c r="I15" s="29" t="s">
        <v>143</v>
      </c>
      <c r="J15" s="41">
        <f xml:space="preserve"> (SUM(D14:D15)*D1*D24)/D21</f>
        <v>113.14082985487214</v>
      </c>
    </row>
    <row r="16" spans="2:11" x14ac:dyDescent="0.25">
      <c r="B16" s="45" t="s">
        <v>98</v>
      </c>
      <c r="C16" s="28" t="s">
        <v>100</v>
      </c>
      <c r="D16" s="148">
        <v>408</v>
      </c>
      <c r="E16" s="28" t="s">
        <v>93</v>
      </c>
      <c r="F16" s="28" t="s">
        <v>70</v>
      </c>
      <c r="G16" s="33">
        <f>0.17512678*D19</f>
        <v>80.38319202000001</v>
      </c>
      <c r="H16" s="28"/>
      <c r="I16" s="119" t="s">
        <v>144</v>
      </c>
      <c r="J16" s="126">
        <f>J10+J12+J14</f>
        <v>1005.7053322573706</v>
      </c>
    </row>
    <row r="17" spans="2:10" ht="13.8" thickBot="1" x14ac:dyDescent="0.3">
      <c r="B17" s="45" t="s">
        <v>99</v>
      </c>
      <c r="C17" s="28" t="s">
        <v>101</v>
      </c>
      <c r="D17" s="148">
        <v>412</v>
      </c>
      <c r="E17" s="28" t="s">
        <v>94</v>
      </c>
      <c r="F17" s="28" t="s">
        <v>71</v>
      </c>
      <c r="G17" s="141">
        <f>G13*D4^2</f>
        <v>46.879477586064006</v>
      </c>
      <c r="H17" s="28"/>
      <c r="I17" s="119" t="s">
        <v>145</v>
      </c>
      <c r="J17" s="127">
        <f>J11+J13+J15</f>
        <v>1123.9267138580906</v>
      </c>
    </row>
    <row r="18" spans="2:10" ht="13.8" thickBot="1" x14ac:dyDescent="0.3">
      <c r="B18" s="45" t="s">
        <v>92</v>
      </c>
      <c r="C18" s="28" t="s">
        <v>102</v>
      </c>
      <c r="D18" s="148">
        <v>458</v>
      </c>
      <c r="E18" s="28" t="s">
        <v>95</v>
      </c>
      <c r="F18" s="28" t="s">
        <v>96</v>
      </c>
      <c r="G18" s="141">
        <f t="shared" ref="G18:G20" si="0">G14*D5^2</f>
        <v>47.339080307496019</v>
      </c>
      <c r="H18" s="28"/>
      <c r="I18" s="125" t="s">
        <v>146</v>
      </c>
      <c r="J18" s="116">
        <f>J16+J17</f>
        <v>2129.632046115461</v>
      </c>
    </row>
    <row r="19" spans="2:10" x14ac:dyDescent="0.25">
      <c r="B19" s="45" t="s">
        <v>93</v>
      </c>
      <c r="C19" s="28" t="s">
        <v>103</v>
      </c>
      <c r="D19" s="148">
        <v>459</v>
      </c>
      <c r="E19" s="29" t="s">
        <v>153</v>
      </c>
      <c r="F19" s="28" t="s">
        <v>149</v>
      </c>
      <c r="G19" s="141">
        <f t="shared" si="0"/>
        <v>37.966006432962558</v>
      </c>
      <c r="H19" s="28" t="s">
        <v>97</v>
      </c>
      <c r="I19" s="28" t="s">
        <v>50</v>
      </c>
      <c r="J19" s="137">
        <f>(D8*9.81)+J16</f>
        <v>2241.7653322573706</v>
      </c>
    </row>
    <row r="20" spans="2:10" x14ac:dyDescent="0.25">
      <c r="B20" s="45" t="s">
        <v>24</v>
      </c>
      <c r="C20" s="28" t="s">
        <v>155</v>
      </c>
      <c r="D20" s="37">
        <v>1.5049999999999999</v>
      </c>
      <c r="E20" s="29" t="s">
        <v>154</v>
      </c>
      <c r="F20" s="28" t="s">
        <v>150</v>
      </c>
      <c r="G20" s="141">
        <f t="shared" si="0"/>
        <v>38.048901643514881</v>
      </c>
      <c r="H20" s="29" t="s">
        <v>107</v>
      </c>
      <c r="I20" s="28" t="s">
        <v>51</v>
      </c>
      <c r="J20" s="138">
        <f>(D9*9.81)-J16</f>
        <v>348.07466774262934</v>
      </c>
    </row>
    <row r="21" spans="2:10" x14ac:dyDescent="0.25">
      <c r="B21" s="45" t="s">
        <v>25</v>
      </c>
      <c r="C21" s="28" t="s">
        <v>156</v>
      </c>
      <c r="D21" s="37">
        <v>1.4470000000000001</v>
      </c>
      <c r="E21" s="28" t="s">
        <v>33</v>
      </c>
      <c r="F21" s="29" t="s">
        <v>110</v>
      </c>
      <c r="G21" s="38">
        <f>(G9*D22)/G10</f>
        <v>1.6418030050083474</v>
      </c>
      <c r="H21" s="29" t="s">
        <v>104</v>
      </c>
      <c r="I21" s="28" t="s">
        <v>52</v>
      </c>
      <c r="J21" s="138">
        <f>(D10*9.81)+J17</f>
        <v>3095.7367138580908</v>
      </c>
    </row>
    <row r="22" spans="2:10" ht="13.8" thickBot="1" x14ac:dyDescent="0.3">
      <c r="B22" s="45" t="s">
        <v>26</v>
      </c>
      <c r="C22" s="28" t="s">
        <v>157</v>
      </c>
      <c r="D22" s="37">
        <v>2.5880000000000001</v>
      </c>
      <c r="E22" s="28" t="s">
        <v>34</v>
      </c>
      <c r="F22" s="28" t="s">
        <v>43</v>
      </c>
      <c r="G22" s="38">
        <f>D28-D27</f>
        <v>0.10722300000000001</v>
      </c>
      <c r="H22" s="28" t="s">
        <v>37</v>
      </c>
      <c r="I22" s="28" t="s">
        <v>53</v>
      </c>
      <c r="J22" s="139">
        <f>(D11 *9.81)-J17</f>
        <v>1102.9432861419093</v>
      </c>
    </row>
    <row r="23" spans="2:10" x14ac:dyDescent="0.25">
      <c r="B23" s="118" t="s">
        <v>120</v>
      </c>
      <c r="C23" s="119" t="s">
        <v>158</v>
      </c>
      <c r="D23" s="38">
        <v>0.25783</v>
      </c>
      <c r="E23" s="28" t="s">
        <v>35</v>
      </c>
      <c r="F23" s="28" t="s">
        <v>40</v>
      </c>
      <c r="G23" s="38">
        <f>G22*G21/D22</f>
        <v>6.8021268781302185E-2</v>
      </c>
      <c r="H23" s="28"/>
      <c r="I23" s="114" t="s">
        <v>147</v>
      </c>
      <c r="J23" s="115">
        <f>SUM(J19:J22)</f>
        <v>6788.5199999999995</v>
      </c>
    </row>
    <row r="24" spans="2:10" ht="13.8" thickBot="1" x14ac:dyDescent="0.3">
      <c r="B24" s="120" t="s">
        <v>119</v>
      </c>
      <c r="C24" s="121" t="s">
        <v>159</v>
      </c>
      <c r="D24" s="149">
        <v>0.27661999999999998</v>
      </c>
      <c r="E24" s="28" t="s">
        <v>36</v>
      </c>
      <c r="F24" s="28" t="s">
        <v>41</v>
      </c>
      <c r="G24" s="38">
        <f>G23+D27</f>
        <v>4.4841268781302186E-2</v>
      </c>
      <c r="H24" s="28"/>
      <c r="I24" s="44" t="s">
        <v>148</v>
      </c>
      <c r="J24" s="142">
        <f>G11*9.81</f>
        <v>6788.52</v>
      </c>
    </row>
    <row r="25" spans="2:10" x14ac:dyDescent="0.25">
      <c r="B25" s="45" t="s">
        <v>63</v>
      </c>
      <c r="C25" s="28" t="s">
        <v>160</v>
      </c>
      <c r="D25" s="38">
        <v>0.36799999999999999</v>
      </c>
      <c r="E25" s="28" t="s">
        <v>64</v>
      </c>
      <c r="F25" s="28" t="s">
        <v>42</v>
      </c>
      <c r="G25" s="38">
        <f>D26-G24</f>
        <v>0.3387578797996661</v>
      </c>
      <c r="H25" s="28"/>
      <c r="I25" s="28"/>
      <c r="J25" s="113"/>
    </row>
    <row r="26" spans="2:10" ht="13.8" thickBot="1" x14ac:dyDescent="0.3">
      <c r="B26" s="45" t="s">
        <v>59</v>
      </c>
      <c r="C26" s="28" t="s">
        <v>161</v>
      </c>
      <c r="D26" s="38">
        <f>((D25*G11)-(SUM(D12:D13)*D23)-( SUM(D14:D15)*D24))/G10</f>
        <v>0.38359914858096827</v>
      </c>
      <c r="E26" s="34"/>
      <c r="F26" s="28"/>
      <c r="G26" s="31"/>
      <c r="H26" s="28"/>
      <c r="I26" s="28"/>
      <c r="J26" s="112"/>
    </row>
    <row r="27" spans="2:10" ht="13.8" thickBot="1" x14ac:dyDescent="0.3">
      <c r="B27" s="45" t="s">
        <v>31</v>
      </c>
      <c r="C27" s="28" t="s">
        <v>162</v>
      </c>
      <c r="D27" s="140">
        <v>-2.3179999999999999E-2</v>
      </c>
      <c r="E27" s="28"/>
      <c r="F27" s="28"/>
      <c r="G27" s="34"/>
      <c r="H27" s="28" t="s">
        <v>61</v>
      </c>
      <c r="I27" s="43" t="s">
        <v>62</v>
      </c>
      <c r="J27" s="116">
        <f>G11*D1*D25/ AVERAGE(D20:D21)</f>
        <v>2127.3092682926831</v>
      </c>
    </row>
    <row r="28" spans="2:10" ht="13.8" thickBot="1" x14ac:dyDescent="0.3">
      <c r="B28" s="133" t="s">
        <v>32</v>
      </c>
      <c r="C28" s="46" t="s">
        <v>163</v>
      </c>
      <c r="D28" s="150">
        <v>8.4043000000000007E-2</v>
      </c>
      <c r="E28" s="46"/>
      <c r="F28" s="46"/>
      <c r="G28" s="144"/>
      <c r="H28" s="46"/>
      <c r="I28" s="46"/>
      <c r="J28" s="134"/>
    </row>
    <row r="29" spans="2:10" ht="25.05" customHeigh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23"/>
  <sheetViews>
    <sheetView topLeftCell="B4" workbookViewId="0">
      <selection activeCell="H9" sqref="H9"/>
    </sheetView>
  </sheetViews>
  <sheetFormatPr defaultRowHeight="13.2" x14ac:dyDescent="0.25"/>
  <cols>
    <col min="6" max="6" width="12.109375" customWidth="1"/>
  </cols>
  <sheetData>
    <row r="4" spans="3:8" ht="13.8" thickBot="1" x14ac:dyDescent="0.3"/>
    <row r="5" spans="3:8" ht="17.399999999999999" x14ac:dyDescent="0.3">
      <c r="C5" s="2" t="s">
        <v>3</v>
      </c>
      <c r="D5" s="3"/>
      <c r="E5" s="3"/>
      <c r="F5" s="3"/>
      <c r="G5" s="4"/>
      <c r="H5" s="5"/>
    </row>
    <row r="6" spans="3:8" ht="17.399999999999999" x14ac:dyDescent="0.3">
      <c r="C6" s="17"/>
      <c r="D6" s="7"/>
      <c r="E6" s="7"/>
      <c r="F6" s="7"/>
      <c r="G6" s="18"/>
      <c r="H6" s="19"/>
    </row>
    <row r="7" spans="3:8" x14ac:dyDescent="0.25">
      <c r="C7" s="6" t="s">
        <v>18</v>
      </c>
      <c r="D7" s="7"/>
      <c r="E7" s="7"/>
      <c r="F7" s="7"/>
      <c r="G7" s="7"/>
      <c r="H7" s="8">
        <v>1</v>
      </c>
    </row>
    <row r="8" spans="3:8" x14ac:dyDescent="0.25">
      <c r="C8" s="6"/>
      <c r="D8" s="7"/>
      <c r="E8" s="11"/>
      <c r="F8" s="7"/>
      <c r="G8" s="9" t="s">
        <v>4</v>
      </c>
      <c r="H8" s="25">
        <v>9806.65</v>
      </c>
    </row>
    <row r="9" spans="3:8" x14ac:dyDescent="0.25">
      <c r="C9" s="6"/>
      <c r="D9" s="7"/>
      <c r="E9" s="7"/>
      <c r="F9" s="7"/>
      <c r="G9" s="9" t="s">
        <v>5</v>
      </c>
      <c r="H9" s="32">
        <v>0.17512678000000001</v>
      </c>
    </row>
    <row r="10" spans="3:8" x14ac:dyDescent="0.25">
      <c r="C10" s="6"/>
      <c r="D10" s="7"/>
      <c r="E10" s="7"/>
      <c r="F10" s="7"/>
      <c r="G10" s="9"/>
      <c r="H10" s="25"/>
    </row>
    <row r="11" spans="3:8" x14ac:dyDescent="0.25">
      <c r="C11" s="12"/>
      <c r="D11" s="7"/>
      <c r="E11" s="7"/>
      <c r="F11" s="7"/>
      <c r="G11" s="9" t="s">
        <v>6</v>
      </c>
      <c r="H11" s="25">
        <v>175.126777258</v>
      </c>
    </row>
    <row r="12" spans="3:8" x14ac:dyDescent="0.25">
      <c r="C12" s="6"/>
      <c r="D12" s="7"/>
      <c r="E12" s="7"/>
      <c r="F12" s="7"/>
      <c r="G12" s="9" t="s">
        <v>7</v>
      </c>
      <c r="H12" s="25">
        <v>1.7857959999999999E-2</v>
      </c>
    </row>
    <row r="13" spans="3:8" x14ac:dyDescent="0.25">
      <c r="C13" s="6"/>
      <c r="D13" s="7"/>
      <c r="E13" s="7"/>
      <c r="F13" s="7"/>
      <c r="G13" s="9" t="s">
        <v>8</v>
      </c>
      <c r="H13" s="25">
        <v>0.10197162</v>
      </c>
    </row>
    <row r="14" spans="3:8" x14ac:dyDescent="0.25">
      <c r="C14" s="10"/>
      <c r="D14" s="9"/>
      <c r="E14" s="13"/>
      <c r="F14" s="7"/>
      <c r="G14" s="9" t="s">
        <v>9</v>
      </c>
      <c r="H14" s="25">
        <v>5.7101490500000001</v>
      </c>
    </row>
    <row r="15" spans="3:8" x14ac:dyDescent="0.25">
      <c r="C15" s="10"/>
      <c r="D15" s="7"/>
      <c r="E15" s="7"/>
      <c r="F15" s="7"/>
      <c r="G15" s="9" t="s">
        <v>10</v>
      </c>
      <c r="H15" s="25">
        <v>1000</v>
      </c>
    </row>
    <row r="16" spans="3:8" x14ac:dyDescent="0.25">
      <c r="C16" s="10"/>
      <c r="D16" s="7"/>
      <c r="E16" s="7"/>
      <c r="F16" s="7"/>
      <c r="G16" s="9" t="s">
        <v>11</v>
      </c>
      <c r="H16" s="25">
        <v>1E-3</v>
      </c>
    </row>
    <row r="17" spans="3:8" x14ac:dyDescent="0.25">
      <c r="C17" s="10"/>
      <c r="D17" s="7"/>
      <c r="E17" s="7"/>
      <c r="F17" s="7"/>
      <c r="G17" s="9" t="s">
        <v>12</v>
      </c>
      <c r="H17" s="25">
        <v>1.0197E-4</v>
      </c>
    </row>
    <row r="18" spans="3:8" x14ac:dyDescent="0.25">
      <c r="C18" s="10"/>
      <c r="D18" s="7"/>
      <c r="E18" s="7"/>
      <c r="F18" s="7"/>
      <c r="G18" s="9" t="s">
        <v>13</v>
      </c>
      <c r="H18" s="26">
        <v>5.7101499999999998E-3</v>
      </c>
    </row>
    <row r="19" spans="3:8" x14ac:dyDescent="0.25">
      <c r="C19" s="10"/>
      <c r="D19" s="7"/>
      <c r="E19" s="13" t="s">
        <v>14</v>
      </c>
      <c r="F19" s="13" t="s">
        <v>15</v>
      </c>
      <c r="G19" s="13" t="s">
        <v>16</v>
      </c>
      <c r="H19" s="14" t="s">
        <v>17</v>
      </c>
    </row>
    <row r="20" spans="3:8" x14ac:dyDescent="0.25">
      <c r="C20" s="15" t="s">
        <v>14</v>
      </c>
      <c r="D20" s="1">
        <v>148.85776300000003</v>
      </c>
      <c r="E20" s="20">
        <v>148.85776300000003</v>
      </c>
      <c r="F20" s="20">
        <v>148857.76300000004</v>
      </c>
      <c r="G20" s="20">
        <v>15.179267242686063</v>
      </c>
      <c r="H20" s="21">
        <v>850.00001397957533</v>
      </c>
    </row>
    <row r="21" spans="3:8" x14ac:dyDescent="0.25">
      <c r="C21" s="15" t="s">
        <v>15</v>
      </c>
      <c r="D21" s="1">
        <v>100</v>
      </c>
      <c r="E21" s="20">
        <v>0.1</v>
      </c>
      <c r="F21" s="20">
        <v>100</v>
      </c>
      <c r="G21" s="20">
        <v>1.0196999999999999E-2</v>
      </c>
      <c r="H21" s="21">
        <v>0.57101499999999994</v>
      </c>
    </row>
    <row r="22" spans="3:8" x14ac:dyDescent="0.25">
      <c r="C22" s="15" t="s">
        <v>16</v>
      </c>
      <c r="D22" s="1">
        <v>1.0197162000000001E-2</v>
      </c>
      <c r="E22" s="20">
        <v>9.9999998727300005E-2</v>
      </c>
      <c r="F22" s="20">
        <v>99.99999872730001</v>
      </c>
      <c r="G22" s="20">
        <v>1.0197162000000001E-2</v>
      </c>
      <c r="H22" s="21">
        <v>0.57101489731274868</v>
      </c>
    </row>
    <row r="23" spans="3:8" ht="13.8" thickBot="1" x14ac:dyDescent="0.3">
      <c r="C23" s="16" t="s">
        <v>17</v>
      </c>
      <c r="D23" s="22">
        <v>900</v>
      </c>
      <c r="E23" s="23">
        <v>157.614102</v>
      </c>
      <c r="F23" s="23">
        <v>157614.09953219999</v>
      </c>
      <c r="G23" s="23">
        <v>16.072164000000001</v>
      </c>
      <c r="H23" s="24">
        <v>900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L23"/>
  <sheetViews>
    <sheetView topLeftCell="A4" workbookViewId="0">
      <selection activeCell="F9" sqref="F9"/>
    </sheetView>
  </sheetViews>
  <sheetFormatPr defaultRowHeight="13.2" x14ac:dyDescent="0.25"/>
  <cols>
    <col min="2" max="2" width="3.88671875" customWidth="1"/>
    <col min="3" max="3" width="19.6640625" customWidth="1"/>
    <col min="8" max="8" width="12.33203125" customWidth="1"/>
    <col min="12" max="12" width="21.109375" customWidth="1"/>
  </cols>
  <sheetData>
    <row r="2" spans="3:12" ht="24.6" x14ac:dyDescent="0.4">
      <c r="C2" s="110" t="s">
        <v>139</v>
      </c>
      <c r="D2" s="110"/>
      <c r="E2" s="110"/>
    </row>
    <row r="4" spans="3:12" ht="13.8" thickBot="1" x14ac:dyDescent="0.3"/>
    <row r="5" spans="3:12" ht="15.6" x14ac:dyDescent="0.3">
      <c r="C5" s="47"/>
      <c r="D5" s="48"/>
      <c r="E5" s="48"/>
      <c r="F5" s="48"/>
      <c r="G5" s="48"/>
      <c r="H5" s="49">
        <f>H7/H11</f>
        <v>0.38150289017341038</v>
      </c>
      <c r="I5" s="50"/>
      <c r="J5" s="51"/>
      <c r="K5" s="50"/>
      <c r="L5" s="52"/>
    </row>
    <row r="6" spans="3:12" ht="15.6" x14ac:dyDescent="0.3">
      <c r="C6" s="53"/>
      <c r="D6" s="54"/>
      <c r="E6" s="55"/>
      <c r="F6" s="55"/>
      <c r="G6" s="55"/>
      <c r="H6" s="56" t="s">
        <v>121</v>
      </c>
      <c r="I6" s="55"/>
      <c r="J6" s="55"/>
      <c r="K6" s="55"/>
      <c r="L6" s="57"/>
    </row>
    <row r="7" spans="3:12" ht="15.6" thickBot="1" x14ac:dyDescent="0.3">
      <c r="C7" s="53"/>
      <c r="D7" s="55"/>
      <c r="E7" s="55"/>
      <c r="F7" s="55"/>
      <c r="G7" s="55"/>
      <c r="H7" s="58">
        <f>F9+J9</f>
        <v>2589.84</v>
      </c>
      <c r="I7" s="55"/>
      <c r="J7" s="55"/>
      <c r="K7" s="55"/>
      <c r="L7" s="57"/>
    </row>
    <row r="8" spans="3:12" ht="16.2" thickBot="1" x14ac:dyDescent="0.35">
      <c r="C8" s="53"/>
      <c r="D8" s="55"/>
      <c r="E8" s="59"/>
      <c r="F8" s="60">
        <f>F9/H11</f>
        <v>0.33022887643512439</v>
      </c>
      <c r="G8" s="61" t="s">
        <v>122</v>
      </c>
      <c r="H8" s="62"/>
      <c r="I8" s="63" t="s">
        <v>123</v>
      </c>
      <c r="J8" s="64">
        <f>J9/H11</f>
        <v>5.1274013738286009E-2</v>
      </c>
      <c r="K8" s="55"/>
      <c r="L8" s="57"/>
    </row>
    <row r="9" spans="3:12" ht="16.2" thickBot="1" x14ac:dyDescent="0.35">
      <c r="C9" s="65" t="s">
        <v>124</v>
      </c>
      <c r="D9" s="66" t="s">
        <v>125</v>
      </c>
      <c r="E9" s="67">
        <f>F9-J9</f>
        <v>1893.6906645147412</v>
      </c>
      <c r="F9" s="68">
        <f>'Live calc'!J19</f>
        <v>2241.7653322573706</v>
      </c>
      <c r="G9" s="69"/>
      <c r="H9" s="70"/>
      <c r="I9" s="71"/>
      <c r="J9" s="72">
        <f>'Live calc'!J20</f>
        <v>348.07466774262934</v>
      </c>
      <c r="K9" s="55"/>
      <c r="L9" s="57"/>
    </row>
    <row r="10" spans="3:12" ht="16.2" thickBot="1" x14ac:dyDescent="0.35">
      <c r="C10" s="53"/>
      <c r="D10" s="73"/>
      <c r="E10" s="55"/>
      <c r="F10" s="73"/>
      <c r="G10" s="74"/>
      <c r="H10" s="70"/>
      <c r="I10" s="75"/>
      <c r="J10" s="76"/>
      <c r="K10" s="55"/>
      <c r="L10" s="57"/>
    </row>
    <row r="11" spans="3:12" ht="16.2" thickBot="1" x14ac:dyDescent="0.35">
      <c r="C11" s="53"/>
      <c r="D11" s="77" t="s">
        <v>126</v>
      </c>
      <c r="E11" s="78">
        <f>F11/H11</f>
        <v>0.78625415349965255</v>
      </c>
      <c r="F11" s="79">
        <f>F9+F13</f>
        <v>5337.5020461154618</v>
      </c>
      <c r="G11" s="80"/>
      <c r="H11" s="81">
        <f>H7+H14</f>
        <v>6788.52</v>
      </c>
      <c r="I11" s="80"/>
      <c r="J11" s="82">
        <f>J9+J13</f>
        <v>1451.0179538845387</v>
      </c>
      <c r="K11" s="83">
        <f>J11/H11</f>
        <v>0.21374584650034745</v>
      </c>
      <c r="L11" s="84" t="s">
        <v>127</v>
      </c>
    </row>
    <row r="12" spans="3:12" ht="16.2" thickBot="1" x14ac:dyDescent="0.35">
      <c r="C12" s="85" t="s">
        <v>128</v>
      </c>
      <c r="D12" s="86" t="s">
        <v>129</v>
      </c>
      <c r="E12" s="87">
        <f>E13-E9</f>
        <v>99.102763201440212</v>
      </c>
      <c r="F12" s="88">
        <f>F13/H11</f>
        <v>0.45602527706452811</v>
      </c>
      <c r="G12" s="74"/>
      <c r="H12" s="70"/>
      <c r="I12" s="75"/>
      <c r="J12" s="89">
        <f>J13/H11</f>
        <v>0.16247183276206142</v>
      </c>
      <c r="K12" s="55"/>
      <c r="L12" s="57"/>
    </row>
    <row r="13" spans="3:12" ht="16.2" thickBot="1" x14ac:dyDescent="0.35">
      <c r="C13" s="65" t="s">
        <v>130</v>
      </c>
      <c r="D13" s="90" t="s">
        <v>131</v>
      </c>
      <c r="E13" s="67">
        <f>F13-J13</f>
        <v>1992.7934277161814</v>
      </c>
      <c r="F13" s="68">
        <f>'Live calc'!J21</f>
        <v>3095.7367138580908</v>
      </c>
      <c r="G13" s="91" t="s">
        <v>132</v>
      </c>
      <c r="H13" s="92"/>
      <c r="I13" s="93" t="s">
        <v>133</v>
      </c>
      <c r="J13" s="94">
        <f>'Live calc'!J22</f>
        <v>1102.9432861419093</v>
      </c>
      <c r="K13" s="55"/>
      <c r="L13" s="57"/>
    </row>
    <row r="14" spans="3:12" ht="16.2" thickBot="1" x14ac:dyDescent="0.35">
      <c r="C14" s="53"/>
      <c r="D14" s="95"/>
      <c r="E14" s="96" t="s">
        <v>134</v>
      </c>
      <c r="F14" s="97">
        <f>F13-F9</f>
        <v>853.97138160072018</v>
      </c>
      <c r="G14" s="59"/>
      <c r="H14" s="98">
        <f>F13+J13</f>
        <v>4198.68</v>
      </c>
      <c r="I14" s="59"/>
      <c r="J14" s="99">
        <f>J13-J9</f>
        <v>754.86861839927997</v>
      </c>
      <c r="K14" s="100" t="s">
        <v>135</v>
      </c>
      <c r="L14" s="84"/>
    </row>
    <row r="15" spans="3:12" ht="16.2" thickBot="1" x14ac:dyDescent="0.35">
      <c r="C15" s="53"/>
      <c r="D15" s="73"/>
      <c r="E15" s="101" t="s">
        <v>136</v>
      </c>
      <c r="F15" s="102">
        <f>(F13+J9)/H11</f>
        <v>0.50729929080281411</v>
      </c>
      <c r="G15" s="55"/>
      <c r="H15" s="103" t="s">
        <v>137</v>
      </c>
      <c r="I15" s="55"/>
      <c r="J15" s="55"/>
      <c r="K15" s="55"/>
      <c r="L15" s="57"/>
    </row>
    <row r="16" spans="3:12" ht="16.2" thickBot="1" x14ac:dyDescent="0.35">
      <c r="C16" s="104"/>
      <c r="D16" s="95"/>
      <c r="E16" s="96" t="s">
        <v>138</v>
      </c>
      <c r="F16" s="105">
        <f>F13-J9</f>
        <v>2747.6620461154616</v>
      </c>
      <c r="G16" s="106"/>
      <c r="H16" s="107">
        <f>H14/H11</f>
        <v>0.61849710982658956</v>
      </c>
      <c r="I16" s="106"/>
      <c r="J16" s="106"/>
      <c r="K16" s="108"/>
      <c r="L16" s="109"/>
    </row>
    <row r="23" spans="10:10" x14ac:dyDescent="0.25">
      <c r="J23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Live calc</vt:lpstr>
      <vt:lpstr>Spring Rate Conversion</vt:lpstr>
      <vt:lpstr>Load Spliits</vt:lpstr>
    </vt:vector>
  </TitlesOfParts>
  <Company>Swansea Institute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Dowden</dc:creator>
  <cp:lastModifiedBy>Roger</cp:lastModifiedBy>
  <cp:lastPrinted>2011-02-13T19:11:45Z</cp:lastPrinted>
  <dcterms:created xsi:type="dcterms:W3CDTF">2008-02-09T17:39:24Z</dcterms:created>
  <dcterms:modified xsi:type="dcterms:W3CDTF">2017-05-04T12:27:19Z</dcterms:modified>
</cp:coreProperties>
</file>