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tiff" ContentType="image/tiff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3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4.xml" ContentType="application/vnd.openxmlformats-officedocument.drawing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drawings/drawing5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14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15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16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17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18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19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20.xml" ContentType="application/vnd.openxmlformats-officedocument.drawingml.chart+xml"/>
  <Override PartName="/xl/charts/chart21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22.xml" ContentType="application/vnd.openxmlformats-officedocument.drawingml.chart+xml"/>
  <Override PartName="/xl/charts/chart23.xml" ContentType="application/vnd.openxmlformats-officedocument.drawingml.chart+xml"/>
  <Override PartName="/xl/charts/chart24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25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26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27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330" codeName="{61638066-69CD-5DBD-CD94-FFEC8A4DF156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8abe3f3e3b0d67fc/Documents/3WorldAutoSteel/Projects/CO2 Life Cycle/2018 Model/"/>
    </mc:Choice>
  </mc:AlternateContent>
  <xr:revisionPtr revIDLastSave="0" documentId="13_ncr:1_{46C91993-3CC2-44C1-8E85-250644945183}" xr6:coauthVersionLast="33" xr6:coauthVersionMax="33" xr10:uidLastSave="{00000000-0000-0000-0000-000000000000}"/>
  <bookViews>
    <workbookView xWindow="0" yWindow="0" windowWidth="21600" windowHeight="9525" tabRatio="857" activeTab="1" xr2:uid="{00000000-000D-0000-FFFF-FFFF00000000}"/>
  </bookViews>
  <sheets>
    <sheet name="Results" sheetId="16" r:id="rId1"/>
    <sheet name="Data Input" sheetId="11" r:id="rId2"/>
    <sheet name="BOM Entry" sheetId="26" r:id="rId3"/>
    <sheet name="Expert Data Input" sheetId="33" r:id="rId4"/>
    <sheet name="Saved Scenarios" sheetId="27" r:id="rId5"/>
    <sheet name="Material Flows" sheetId="17" r:id="rId6"/>
    <sheet name="Use " sheetId="5" r:id="rId7"/>
    <sheet name="Recycling" sheetId="4" r:id="rId8"/>
    <sheet name="ED - ES" sheetId="18" r:id="rId9"/>
    <sheet name="LCA Calculations" sheetId="32" r:id="rId10"/>
    <sheet name="autoLCA Results" sheetId="35" r:id="rId11"/>
    <sheet name="GaBi Envision Parameters" sheetId="37" r:id="rId12"/>
  </sheets>
  <definedNames>
    <definedName name="_xlnm._FilterDatabase" localSheetId="8" hidden="1">'ED - ES'!#REF!</definedName>
    <definedName name="BOM">'Data Input'!$F$17</definedName>
    <definedName name="CW">'Data Input'!$B$22</definedName>
    <definedName name="CWc">'Data Input'!$B$22</definedName>
    <definedName name="CWminus">'Data Input'!$S$39</definedName>
    <definedName name="DMc">'Data Input'!$B$28</definedName>
    <definedName name="Envision_FileVersion" localSheetId="11">'GaBi Envision Parameters'!$D$6</definedName>
    <definedName name="Envision_GlobalSettings" localSheetId="11">'GaBi Envision Parameters'!$B$8:$D$15</definedName>
    <definedName name="Envision_ScenarioSettings" localSheetId="11">'GaBi Envision Parameters'!$B$17:$F$104</definedName>
    <definedName name="Envision_TextInputFields" localSheetId="11">'GaBi Envision Parameters'!$B$16:$D$16</definedName>
    <definedName name="hyzem">'ED - ES'!#REF!</definedName>
    <definedName name="KAa">'Data Input'!$N$19</definedName>
    <definedName name="KAc">'Data Input'!$J$19</definedName>
    <definedName name="KCc">'Data Input'!$J$20</definedName>
    <definedName name="KMc">'Data Input'!$J$21</definedName>
    <definedName name="KSa">'Data Input'!$N$18</definedName>
    <definedName name="KSc">'Data Input'!$J$18</definedName>
    <definedName name="MPG">'Data Input'!$I$173</definedName>
    <definedName name="nedc">'ED - ES'!$AA$4</definedName>
    <definedName name="_xlnm.Print_Area" localSheetId="1">'Data Input'!$A$3:$Q$175</definedName>
    <definedName name="_xlnm.Print_Area" localSheetId="8">'ED - ES'!$C$5:$N$60</definedName>
    <definedName name="_xlnm.Print_Titles" localSheetId="1">'Data Input'!$3:$4</definedName>
    <definedName name="_xlnm.Print_Titles" localSheetId="0">Results!$1:$2</definedName>
    <definedName name="REAc">'Material Flows'!#REF!</definedName>
    <definedName name="RESc">'Material Flows'!#REF!</definedName>
    <definedName name="RPAc">'Material Flows'!#REF!</definedName>
    <definedName name="RPSc">'Material Flows'!#REF!</definedName>
    <definedName name="Sc">'Data Input'!$B$41</definedName>
    <definedName name="txtinputbox">"TextBox 1"</definedName>
    <definedName name="txtInputMsg">"TextBox 2"</definedName>
    <definedName name="VM">'Data Input'!$B$22</definedName>
  </definedNames>
  <calcPr calcId="179017" concurrentCalc="0"/>
</workbook>
</file>

<file path=xl/calcChain.xml><?xml version="1.0" encoding="utf-8"?>
<calcChain xmlns="http://schemas.openxmlformats.org/spreadsheetml/2006/main">
  <c r="S48" i="18" l="1"/>
  <c r="R48" i="18"/>
  <c r="S47" i="18"/>
  <c r="R47" i="18"/>
  <c r="S46" i="18"/>
  <c r="R46" i="18"/>
  <c r="S45" i="18"/>
  <c r="R45" i="18"/>
  <c r="S44" i="18"/>
  <c r="R44" i="18"/>
  <c r="S43" i="18"/>
  <c r="R43" i="18"/>
  <c r="S42" i="18"/>
  <c r="R42" i="18"/>
  <c r="S41" i="18"/>
  <c r="R41" i="18"/>
  <c r="S40" i="18"/>
  <c r="R40" i="18"/>
  <c r="S39" i="18"/>
  <c r="R39" i="18"/>
  <c r="S38" i="18"/>
  <c r="R38" i="18"/>
  <c r="S37" i="18"/>
  <c r="R37" i="18"/>
  <c r="R23" i="18"/>
  <c r="S23" i="18"/>
  <c r="R24" i="18"/>
  <c r="S24" i="18"/>
  <c r="R25" i="18"/>
  <c r="S25" i="18"/>
  <c r="R26" i="18"/>
  <c r="S26" i="18"/>
  <c r="R27" i="18"/>
  <c r="S27" i="18"/>
  <c r="R28" i="18"/>
  <c r="S28" i="18"/>
  <c r="R29" i="18"/>
  <c r="S29" i="18"/>
  <c r="R30" i="18"/>
  <c r="S30" i="18"/>
  <c r="R31" i="18"/>
  <c r="S31" i="18"/>
  <c r="R32" i="18"/>
  <c r="S32" i="18"/>
  <c r="R33" i="18"/>
  <c r="S33" i="18"/>
  <c r="S22" i="18"/>
  <c r="R22" i="18"/>
  <c r="H3" i="18"/>
  <c r="A3" i="18"/>
  <c r="V38" i="18"/>
  <c r="W38" i="18"/>
  <c r="V39" i="18"/>
  <c r="W39" i="18"/>
  <c r="V40" i="18"/>
  <c r="W40" i="18"/>
  <c r="V41" i="18"/>
  <c r="W41" i="18"/>
  <c r="V42" i="18"/>
  <c r="W42" i="18"/>
  <c r="V43" i="18"/>
  <c r="W43" i="18"/>
  <c r="V44" i="18"/>
  <c r="W44" i="18"/>
  <c r="V45" i="18"/>
  <c r="W45" i="18"/>
  <c r="V46" i="18"/>
  <c r="W46" i="18"/>
  <c r="V47" i="18"/>
  <c r="W47" i="18"/>
  <c r="V48" i="18"/>
  <c r="W48" i="18"/>
  <c r="W37" i="18"/>
  <c r="V37" i="18"/>
  <c r="W23" i="18"/>
  <c r="W24" i="18"/>
  <c r="W25" i="18"/>
  <c r="W26" i="18"/>
  <c r="W27" i="18"/>
  <c r="W28" i="18"/>
  <c r="W29" i="18"/>
  <c r="W30" i="18"/>
  <c r="W31" i="18"/>
  <c r="W32" i="18"/>
  <c r="W33" i="18"/>
  <c r="W22" i="18"/>
  <c r="V23" i="18"/>
  <c r="V24" i="18"/>
  <c r="V25" i="18"/>
  <c r="V26" i="18"/>
  <c r="V27" i="18"/>
  <c r="V28" i="18"/>
  <c r="V29" i="18"/>
  <c r="V30" i="18"/>
  <c r="V31" i="18"/>
  <c r="V32" i="18"/>
  <c r="V33" i="18"/>
  <c r="V22" i="18"/>
  <c r="D15" i="37"/>
  <c r="E218" i="35"/>
  <c r="E217" i="35"/>
  <c r="E216" i="35"/>
  <c r="E215" i="35"/>
  <c r="E214" i="35"/>
  <c r="E213" i="35"/>
  <c r="E212" i="35"/>
  <c r="E211" i="35"/>
  <c r="E210" i="35"/>
  <c r="E209" i="35"/>
  <c r="E208" i="35"/>
  <c r="E207" i="35"/>
  <c r="E206" i="35"/>
  <c r="E205" i="35"/>
  <c r="E198" i="35"/>
  <c r="E197" i="35"/>
  <c r="E196" i="35"/>
  <c r="E195" i="35"/>
  <c r="E194" i="35"/>
  <c r="E193" i="35"/>
  <c r="E192" i="35"/>
  <c r="E191" i="35"/>
  <c r="E190" i="35"/>
  <c r="E189" i="35"/>
  <c r="E188" i="35"/>
  <c r="E187" i="35"/>
  <c r="E186" i="35"/>
  <c r="E185" i="35"/>
  <c r="E166" i="35"/>
  <c r="E167" i="35"/>
  <c r="E168" i="35"/>
  <c r="E169" i="35"/>
  <c r="E170" i="35"/>
  <c r="E171" i="35"/>
  <c r="E172" i="35"/>
  <c r="E173" i="35"/>
  <c r="E174" i="35"/>
  <c r="E175" i="35"/>
  <c r="E176" i="35"/>
  <c r="E177" i="35"/>
  <c r="E178" i="35"/>
  <c r="E165" i="35"/>
  <c r="E131" i="35"/>
  <c r="E130" i="35"/>
  <c r="E129" i="35"/>
  <c r="E128" i="35"/>
  <c r="E127" i="35"/>
  <c r="E126" i="35"/>
  <c r="E125" i="35"/>
  <c r="E124" i="35"/>
  <c r="E123" i="35"/>
  <c r="E122" i="35"/>
  <c r="E121" i="35"/>
  <c r="E120" i="35"/>
  <c r="E119" i="35"/>
  <c r="E118" i="35"/>
  <c r="E117" i="35"/>
  <c r="E116" i="35"/>
  <c r="E115" i="35"/>
  <c r="E114" i="35"/>
  <c r="E107" i="35"/>
  <c r="E106" i="35"/>
  <c r="E105" i="35"/>
  <c r="E104" i="35"/>
  <c r="E103" i="35"/>
  <c r="E102" i="35"/>
  <c r="E101" i="35"/>
  <c r="E100" i="35"/>
  <c r="E99" i="35"/>
  <c r="E98" i="35"/>
  <c r="E97" i="35"/>
  <c r="E96" i="35"/>
  <c r="E95" i="35"/>
  <c r="E94" i="35"/>
  <c r="E93" i="35"/>
  <c r="E92" i="35"/>
  <c r="E91" i="35"/>
  <c r="E90" i="35"/>
  <c r="E67" i="35"/>
  <c r="E68" i="35"/>
  <c r="E69" i="35"/>
  <c r="E70" i="35"/>
  <c r="E71" i="35"/>
  <c r="E72" i="35"/>
  <c r="E73" i="35"/>
  <c r="E74" i="35"/>
  <c r="E75" i="35"/>
  <c r="E76" i="35"/>
  <c r="E77" i="35"/>
  <c r="E78" i="35"/>
  <c r="E79" i="35"/>
  <c r="E80" i="35"/>
  <c r="E81" i="35"/>
  <c r="E82" i="35"/>
  <c r="E83" i="35"/>
  <c r="E66" i="35"/>
  <c r="J152" i="35"/>
  <c r="J150" i="35"/>
  <c r="J149" i="35"/>
  <c r="J141" i="35"/>
  <c r="J145" i="35"/>
  <c r="J151" i="35"/>
  <c r="J144" i="35"/>
  <c r="J143" i="35"/>
  <c r="J142" i="35"/>
  <c r="J146" i="35"/>
  <c r="J147" i="35"/>
  <c r="H143" i="35"/>
  <c r="H144" i="35"/>
  <c r="H145" i="35"/>
  <c r="H142" i="35"/>
  <c r="H44" i="35"/>
  <c r="H45" i="35"/>
  <c r="H46" i="35"/>
  <c r="H43" i="35"/>
  <c r="I141" i="35"/>
  <c r="K152" i="35"/>
  <c r="I152" i="35"/>
  <c r="K151" i="35"/>
  <c r="I151" i="35"/>
  <c r="K150" i="35"/>
  <c r="I150" i="35"/>
  <c r="K149" i="35"/>
  <c r="I149" i="35"/>
  <c r="K141" i="35"/>
  <c r="I145" i="35"/>
  <c r="G139" i="35"/>
  <c r="G138" i="35"/>
  <c r="K53" i="35"/>
  <c r="J53" i="35"/>
  <c r="I53" i="35"/>
  <c r="K52" i="35"/>
  <c r="J52" i="35"/>
  <c r="I52" i="35"/>
  <c r="K51" i="35"/>
  <c r="J51" i="35"/>
  <c r="I51" i="35"/>
  <c r="K50" i="35"/>
  <c r="J50" i="35"/>
  <c r="I50" i="35"/>
  <c r="K42" i="35"/>
  <c r="K44" i="35"/>
  <c r="J42" i="35"/>
  <c r="J47" i="35"/>
  <c r="J48" i="35"/>
  <c r="I42" i="35"/>
  <c r="I45" i="35"/>
  <c r="G40" i="35"/>
  <c r="G39" i="35"/>
  <c r="K144" i="35"/>
  <c r="K146" i="35"/>
  <c r="K147" i="35"/>
  <c r="J45" i="35"/>
  <c r="I146" i="35"/>
  <c r="I147" i="35"/>
  <c r="K47" i="35"/>
  <c r="K48" i="35"/>
  <c r="K43" i="35"/>
  <c r="K45" i="35"/>
  <c r="J43" i="35"/>
  <c r="I44" i="35"/>
  <c r="I46" i="35"/>
  <c r="J44" i="35"/>
  <c r="K143" i="35"/>
  <c r="K145" i="35"/>
  <c r="K46" i="35"/>
  <c r="J46" i="35"/>
  <c r="I47" i="35"/>
  <c r="I48" i="35"/>
  <c r="I142" i="35"/>
  <c r="I144" i="35"/>
  <c r="I43" i="35"/>
  <c r="K142" i="35"/>
  <c r="I143" i="35"/>
  <c r="C86" i="32"/>
  <c r="C111" i="32"/>
  <c r="D86" i="32"/>
  <c r="D111" i="32"/>
  <c r="C87" i="32"/>
  <c r="C114" i="32"/>
  <c r="D87" i="32"/>
  <c r="D114" i="32"/>
  <c r="C88" i="32"/>
  <c r="C115" i="32"/>
  <c r="D88" i="32"/>
  <c r="D115" i="32"/>
  <c r="E87" i="32"/>
  <c r="E86" i="32"/>
  <c r="E111" i="32"/>
  <c r="E88" i="32"/>
  <c r="E115" i="32"/>
  <c r="O29" i="4"/>
  <c r="P29" i="4"/>
  <c r="Q29" i="4"/>
  <c r="N29" i="4"/>
  <c r="M29" i="4"/>
  <c r="L29" i="4"/>
  <c r="J9" i="5"/>
  <c r="E24" i="32"/>
  <c r="E23" i="32"/>
  <c r="C99" i="27"/>
  <c r="C100" i="27"/>
  <c r="C101" i="27"/>
  <c r="C102" i="27"/>
  <c r="C103" i="27"/>
  <c r="C104" i="27"/>
  <c r="C105" i="27"/>
  <c r="C106" i="27"/>
  <c r="C107" i="27"/>
  <c r="C108" i="27"/>
  <c r="C109" i="27"/>
  <c r="C110" i="27"/>
  <c r="C111" i="27"/>
  <c r="C112" i="27"/>
  <c r="C98" i="27"/>
  <c r="D14" i="37"/>
  <c r="D48" i="33"/>
  <c r="L65" i="33"/>
  <c r="C82" i="33"/>
  <c r="B82" i="33"/>
  <c r="B24" i="33"/>
  <c r="B25" i="33"/>
  <c r="G84" i="33"/>
  <c r="G80" i="33"/>
  <c r="G78" i="33"/>
  <c r="G77" i="33"/>
  <c r="F82" i="33"/>
  <c r="E82" i="33"/>
  <c r="D82" i="33"/>
  <c r="D12" i="33"/>
  <c r="D13" i="33"/>
  <c r="E5" i="5"/>
  <c r="F5" i="5"/>
  <c r="G5" i="5"/>
  <c r="D5" i="5"/>
  <c r="E17" i="5"/>
  <c r="F17" i="5"/>
  <c r="G17" i="5"/>
  <c r="E15" i="5"/>
  <c r="F15" i="5"/>
  <c r="G15" i="5"/>
  <c r="D17" i="5"/>
  <c r="D15" i="5"/>
  <c r="B31" i="33"/>
  <c r="F58" i="17"/>
  <c r="S43" i="11"/>
  <c r="D22" i="33"/>
  <c r="E61" i="17"/>
  <c r="V43" i="11"/>
  <c r="Y43" i="11"/>
  <c r="G58" i="17"/>
  <c r="G61" i="17"/>
  <c r="E58" i="17"/>
  <c r="F61" i="17"/>
  <c r="J5" i="5"/>
  <c r="J7" i="5"/>
  <c r="B41" i="33"/>
  <c r="J6" i="5"/>
  <c r="B39" i="33"/>
  <c r="J4" i="5"/>
  <c r="B70" i="18"/>
  <c r="D23" i="33"/>
  <c r="L73" i="33"/>
  <c r="L72" i="33"/>
  <c r="L71" i="33"/>
  <c r="L70" i="33"/>
  <c r="L69" i="33"/>
  <c r="L68" i="33"/>
  <c r="L67" i="33"/>
  <c r="L66" i="33"/>
  <c r="D49" i="33"/>
  <c r="B49" i="33"/>
  <c r="D50" i="33"/>
  <c r="B50" i="33"/>
  <c r="D51" i="33"/>
  <c r="B51" i="33"/>
  <c r="D52" i="33"/>
  <c r="B53" i="33"/>
  <c r="D53" i="33"/>
  <c r="B52" i="33"/>
  <c r="D54" i="33"/>
  <c r="B54" i="33"/>
  <c r="D55" i="33"/>
  <c r="B55" i="33"/>
  <c r="D56" i="33"/>
  <c r="B56" i="33"/>
  <c r="D57" i="33"/>
  <c r="B57" i="33"/>
  <c r="D58" i="33"/>
  <c r="B58" i="33"/>
  <c r="D59" i="33"/>
  <c r="B59" i="33"/>
  <c r="D60" i="33"/>
  <c r="B60" i="33"/>
  <c r="D61" i="33"/>
  <c r="B61" i="33"/>
  <c r="D62" i="33"/>
  <c r="B62" i="33"/>
  <c r="D63" i="33"/>
  <c r="B63" i="33"/>
  <c r="B48" i="33"/>
  <c r="K72" i="33"/>
  <c r="K71" i="33"/>
  <c r="K70" i="33"/>
  <c r="K69" i="33"/>
  <c r="K68" i="33"/>
  <c r="K67" i="33"/>
  <c r="K66" i="33"/>
  <c r="K65" i="33"/>
  <c r="C64" i="33"/>
  <c r="G88" i="33"/>
  <c r="G87" i="33"/>
  <c r="T38" i="18"/>
  <c r="T40" i="18"/>
  <c r="T42" i="18"/>
  <c r="T44" i="18"/>
  <c r="T46" i="18"/>
  <c r="T48" i="18"/>
  <c r="T27" i="18"/>
  <c r="T28" i="18"/>
  <c r="T30" i="18"/>
  <c r="T39" i="18"/>
  <c r="T41" i="18"/>
  <c r="T43" i="18"/>
  <c r="T47" i="18"/>
  <c r="T24" i="18"/>
  <c r="T32" i="18"/>
  <c r="T45" i="18"/>
  <c r="T23" i="18"/>
  <c r="T25" i="18"/>
  <c r="T33" i="18"/>
  <c r="T22" i="18"/>
  <c r="T29" i="18"/>
  <c r="T37" i="18"/>
  <c r="T26" i="18"/>
  <c r="T31" i="18"/>
  <c r="U23" i="18"/>
  <c r="U31" i="18"/>
  <c r="U44" i="18"/>
  <c r="U48" i="18"/>
  <c r="U24" i="18"/>
  <c r="U33" i="18"/>
  <c r="U38" i="18"/>
  <c r="U40" i="18"/>
  <c r="U42" i="18"/>
  <c r="U46" i="18"/>
  <c r="U32" i="18"/>
  <c r="U27" i="18"/>
  <c r="U39" i="18"/>
  <c r="U41" i="18"/>
  <c r="U43" i="18"/>
  <c r="U45" i="18"/>
  <c r="U47" i="18"/>
  <c r="U28" i="18"/>
  <c r="U22" i="18"/>
  <c r="U37" i="18"/>
  <c r="U29" i="18"/>
  <c r="U30" i="18"/>
  <c r="U26" i="18"/>
  <c r="U25" i="18"/>
  <c r="D43" i="32"/>
  <c r="E43" i="32"/>
  <c r="C43" i="32"/>
  <c r="D64" i="33"/>
  <c r="G95" i="33"/>
  <c r="G94" i="33"/>
  <c r="G92" i="33"/>
  <c r="G91" i="33"/>
  <c r="G85" i="33"/>
  <c r="G81" i="33"/>
  <c r="G52" i="17"/>
  <c r="F52" i="17"/>
  <c r="E52" i="17"/>
  <c r="F96" i="33"/>
  <c r="E96" i="33"/>
  <c r="D96" i="33"/>
  <c r="C96" i="33"/>
  <c r="B96" i="33"/>
  <c r="F89" i="33"/>
  <c r="E89" i="33"/>
  <c r="D89" i="33"/>
  <c r="C89" i="33"/>
  <c r="B89" i="33"/>
  <c r="F73" i="33"/>
  <c r="F70" i="33"/>
  <c r="C70" i="33"/>
  <c r="O79" i="32"/>
  <c r="P79" i="32"/>
  <c r="Q79" i="32"/>
  <c r="O80" i="32"/>
  <c r="P80" i="32"/>
  <c r="Q80" i="32"/>
  <c r="O81" i="32"/>
  <c r="P81" i="32"/>
  <c r="Q81" i="32"/>
  <c r="O82" i="32"/>
  <c r="P82" i="32"/>
  <c r="Q82" i="32"/>
  <c r="O83" i="32"/>
  <c r="P83" i="32"/>
  <c r="Q83" i="32"/>
  <c r="O84" i="32"/>
  <c r="P84" i="32"/>
  <c r="Q84" i="32"/>
  <c r="P78" i="32"/>
  <c r="Q78" i="32"/>
  <c r="O78" i="32"/>
  <c r="L79" i="32"/>
  <c r="M79" i="32"/>
  <c r="N79" i="32"/>
  <c r="L80" i="32"/>
  <c r="M80" i="32"/>
  <c r="N80" i="32"/>
  <c r="L81" i="32"/>
  <c r="M81" i="32"/>
  <c r="N81" i="32"/>
  <c r="L82" i="32"/>
  <c r="M82" i="32"/>
  <c r="N82" i="32"/>
  <c r="L83" i="32"/>
  <c r="M83" i="32"/>
  <c r="N83" i="32"/>
  <c r="L84" i="32"/>
  <c r="M84" i="32"/>
  <c r="N84" i="32"/>
  <c r="M78" i="32"/>
  <c r="N78" i="32"/>
  <c r="L78" i="32"/>
  <c r="E114" i="32"/>
  <c r="D24" i="32"/>
  <c r="C24" i="32"/>
  <c r="D23" i="32"/>
  <c r="C23" i="32"/>
  <c r="I79" i="32"/>
  <c r="J79" i="32"/>
  <c r="K79" i="32"/>
  <c r="I80" i="32"/>
  <c r="J80" i="32"/>
  <c r="K80" i="32"/>
  <c r="I81" i="32"/>
  <c r="J81" i="32"/>
  <c r="K81" i="32"/>
  <c r="I82" i="32"/>
  <c r="J82" i="32"/>
  <c r="K82" i="32"/>
  <c r="I83" i="32"/>
  <c r="J83" i="32"/>
  <c r="K83" i="32"/>
  <c r="I84" i="32"/>
  <c r="J84" i="32"/>
  <c r="K84" i="32"/>
  <c r="J78" i="32"/>
  <c r="K78" i="32"/>
  <c r="I78" i="32"/>
  <c r="B71" i="33"/>
  <c r="B70" i="33"/>
  <c r="C71" i="33"/>
  <c r="C69" i="33"/>
  <c r="C68" i="33"/>
  <c r="B72" i="33"/>
  <c r="C72" i="33"/>
  <c r="B68" i="33"/>
  <c r="B73" i="33"/>
  <c r="B69" i="33"/>
  <c r="F72" i="32"/>
  <c r="F74" i="32"/>
  <c r="F73" i="32"/>
  <c r="S42" i="11"/>
  <c r="F76" i="32"/>
  <c r="F75" i="32"/>
  <c r="M85" i="32"/>
  <c r="Q85" i="32"/>
  <c r="P85" i="32"/>
  <c r="N85" i="32"/>
  <c r="L85" i="32"/>
  <c r="O85" i="32"/>
  <c r="K85" i="32"/>
  <c r="I85" i="32"/>
  <c r="J85" i="32"/>
  <c r="H72" i="17"/>
  <c r="G72" i="17"/>
  <c r="F71" i="17"/>
  <c r="F70" i="17"/>
  <c r="F69" i="17"/>
  <c r="D82" i="17"/>
  <c r="C70" i="17"/>
  <c r="D70" i="17"/>
  <c r="E70" i="17"/>
  <c r="C71" i="17"/>
  <c r="D71" i="17"/>
  <c r="E71" i="17"/>
  <c r="C72" i="17"/>
  <c r="D72" i="17"/>
  <c r="E72" i="17"/>
  <c r="C73" i="17"/>
  <c r="D73" i="17"/>
  <c r="E73" i="17"/>
  <c r="C74" i="17"/>
  <c r="D74" i="17"/>
  <c r="E74" i="17"/>
  <c r="C75" i="17"/>
  <c r="D75" i="17"/>
  <c r="E75" i="17"/>
  <c r="C76" i="17"/>
  <c r="D76" i="17"/>
  <c r="E76" i="17"/>
  <c r="C77" i="17"/>
  <c r="D77" i="17"/>
  <c r="E77" i="17"/>
  <c r="C78" i="17"/>
  <c r="D78" i="17"/>
  <c r="E78" i="17"/>
  <c r="C79" i="17"/>
  <c r="D79" i="17"/>
  <c r="E79" i="17"/>
  <c r="C80" i="17"/>
  <c r="D80" i="17"/>
  <c r="E80" i="17"/>
  <c r="C81" i="17"/>
  <c r="D81" i="17"/>
  <c r="E81" i="17"/>
  <c r="C82" i="17"/>
  <c r="E82" i="17"/>
  <c r="C83" i="17"/>
  <c r="D83" i="17"/>
  <c r="E83" i="17"/>
  <c r="C84" i="17"/>
  <c r="D84" i="17"/>
  <c r="E84" i="17"/>
  <c r="C85" i="17"/>
  <c r="D85" i="17"/>
  <c r="E85" i="17"/>
  <c r="C86" i="17"/>
  <c r="D86" i="17"/>
  <c r="E86" i="17"/>
  <c r="C87" i="17"/>
  <c r="D87" i="17"/>
  <c r="E87" i="17"/>
  <c r="C91" i="17"/>
  <c r="D91" i="17"/>
  <c r="E91" i="17"/>
  <c r="H69" i="17"/>
  <c r="G69" i="17"/>
  <c r="E69" i="17"/>
  <c r="D69" i="17"/>
  <c r="C69" i="17"/>
  <c r="N61" i="17"/>
  <c r="N60" i="17"/>
  <c r="N59" i="17"/>
  <c r="N58" i="17"/>
  <c r="N57" i="17"/>
  <c r="N56" i="17"/>
  <c r="N55" i="17"/>
  <c r="N54" i="17"/>
  <c r="N53" i="17"/>
  <c r="N52" i="17"/>
  <c r="N51" i="17"/>
  <c r="N50" i="17"/>
  <c r="N49" i="17"/>
  <c r="N48" i="17"/>
  <c r="N47" i="17"/>
  <c r="N46" i="17"/>
  <c r="N45" i="17"/>
  <c r="N44" i="17"/>
  <c r="N43" i="17"/>
  <c r="N42" i="17"/>
  <c r="N41" i="17"/>
  <c r="N40" i="17"/>
  <c r="N39" i="17"/>
  <c r="N38" i="17"/>
  <c r="J39" i="17"/>
  <c r="J40" i="17"/>
  <c r="J41" i="17"/>
  <c r="J42" i="17"/>
  <c r="J43" i="17"/>
  <c r="J44" i="17"/>
  <c r="J45" i="17"/>
  <c r="J46" i="17"/>
  <c r="J47" i="17"/>
  <c r="J48" i="17"/>
  <c r="J49" i="17"/>
  <c r="J50" i="17"/>
  <c r="J51" i="17"/>
  <c r="J52" i="17"/>
  <c r="J53" i="17"/>
  <c r="J54" i="17"/>
  <c r="J55" i="17"/>
  <c r="J56" i="17"/>
  <c r="J57" i="17"/>
  <c r="J58" i="17"/>
  <c r="J59" i="17"/>
  <c r="J60" i="17"/>
  <c r="J61" i="17"/>
  <c r="J38" i="17"/>
  <c r="O38" i="17"/>
  <c r="I69" i="17"/>
  <c r="D12" i="37"/>
  <c r="D13" i="37"/>
  <c r="D10" i="37"/>
  <c r="D11" i="37"/>
  <c r="D9" i="37"/>
  <c r="V42" i="11"/>
  <c r="Y42" i="11"/>
  <c r="I24" i="26"/>
  <c r="F24" i="26"/>
  <c r="C24" i="26"/>
  <c r="G102" i="32"/>
  <c r="E97" i="37"/>
  <c r="H102" i="32"/>
  <c r="F97" i="37"/>
  <c r="F102" i="32"/>
  <c r="D97" i="37"/>
  <c r="J8" i="5"/>
  <c r="I102" i="32"/>
  <c r="K102" i="32"/>
  <c r="J102" i="32"/>
  <c r="P102" i="32"/>
  <c r="O102" i="32"/>
  <c r="L102" i="32"/>
  <c r="N102" i="32"/>
  <c r="M102" i="32"/>
  <c r="Q102" i="32"/>
  <c r="J13" i="5"/>
  <c r="J10" i="5"/>
  <c r="J12" i="5"/>
  <c r="J11" i="5"/>
  <c r="Q38" i="17"/>
  <c r="G71" i="17"/>
  <c r="G70" i="17"/>
  <c r="H89" i="17"/>
  <c r="H91" i="17"/>
  <c r="G91" i="17"/>
  <c r="F91" i="17"/>
  <c r="H70" i="17"/>
  <c r="H71" i="17"/>
  <c r="H87" i="17"/>
  <c r="H73" i="17"/>
  <c r="H74" i="17"/>
  <c r="H75" i="17"/>
  <c r="H76" i="17"/>
  <c r="H77" i="17"/>
  <c r="H78" i="17"/>
  <c r="H79" i="17"/>
  <c r="H80" i="17"/>
  <c r="H81" i="17"/>
  <c r="H82" i="17"/>
  <c r="H83" i="17"/>
  <c r="H84" i="17"/>
  <c r="H85" i="17"/>
  <c r="H86" i="17"/>
  <c r="G87" i="17"/>
  <c r="G73" i="17"/>
  <c r="G74" i="17"/>
  <c r="G75" i="17"/>
  <c r="G76" i="17"/>
  <c r="G77" i="17"/>
  <c r="G78" i="17"/>
  <c r="G79" i="17"/>
  <c r="G80" i="17"/>
  <c r="G81" i="17"/>
  <c r="G82" i="17"/>
  <c r="G83" i="17"/>
  <c r="G84" i="17"/>
  <c r="G85" i="17"/>
  <c r="G86" i="17"/>
  <c r="F87" i="17"/>
  <c r="F72" i="17"/>
  <c r="F73" i="17"/>
  <c r="F74" i="17"/>
  <c r="F75" i="17"/>
  <c r="F76" i="17"/>
  <c r="F77" i="17"/>
  <c r="F78" i="17"/>
  <c r="F79" i="17"/>
  <c r="F80" i="17"/>
  <c r="F81" i="17"/>
  <c r="F82" i="17"/>
  <c r="F83" i="17"/>
  <c r="F84" i="17"/>
  <c r="F85" i="17"/>
  <c r="F86" i="17"/>
  <c r="C89" i="17"/>
  <c r="F89" i="17"/>
  <c r="D4" i="5"/>
  <c r="E4" i="5"/>
  <c r="C93" i="27"/>
  <c r="D91" i="27"/>
  <c r="D90" i="27"/>
  <c r="D89" i="27"/>
  <c r="D88" i="27"/>
  <c r="C91" i="27"/>
  <c r="C90" i="27"/>
  <c r="C89" i="27"/>
  <c r="C88" i="27"/>
  <c r="S41" i="11"/>
  <c r="Y41" i="11"/>
  <c r="C95" i="27"/>
  <c r="G4" i="5"/>
  <c r="F4" i="5"/>
  <c r="H12" i="11"/>
  <c r="V41" i="11"/>
  <c r="F26" i="17"/>
  <c r="C29" i="26"/>
  <c r="C136" i="27"/>
  <c r="E26" i="17"/>
  <c r="D4" i="26"/>
  <c r="H13" i="11"/>
  <c r="J4" i="26"/>
  <c r="G23" i="26"/>
  <c r="D6" i="26"/>
  <c r="C26" i="17"/>
  <c r="D26" i="17"/>
  <c r="C12" i="16"/>
  <c r="I29" i="26"/>
  <c r="I30" i="26"/>
  <c r="D23" i="26"/>
  <c r="D20" i="26"/>
  <c r="D18" i="26"/>
  <c r="D16" i="26"/>
  <c r="D14" i="26"/>
  <c r="D12" i="26"/>
  <c r="D10" i="26"/>
  <c r="D8" i="26"/>
  <c r="D22" i="26"/>
  <c r="D5" i="26"/>
  <c r="G6" i="26"/>
  <c r="G7" i="26"/>
  <c r="G9" i="26"/>
  <c r="G11" i="26"/>
  <c r="G13" i="26"/>
  <c r="G15" i="26"/>
  <c r="G17" i="26"/>
  <c r="G19" i="26"/>
  <c r="G21" i="26"/>
  <c r="J6" i="26"/>
  <c r="J7" i="26"/>
  <c r="J9" i="26"/>
  <c r="J11" i="26"/>
  <c r="J13" i="26"/>
  <c r="J15" i="26"/>
  <c r="J17" i="26"/>
  <c r="J19" i="26"/>
  <c r="J21" i="26"/>
  <c r="G4" i="26"/>
  <c r="F29" i="26"/>
  <c r="F30" i="26"/>
  <c r="D21" i="26"/>
  <c r="D19" i="26"/>
  <c r="D17" i="26"/>
  <c r="D15" i="26"/>
  <c r="D13" i="26"/>
  <c r="D11" i="26"/>
  <c r="D9" i="26"/>
  <c r="D7" i="26"/>
  <c r="G5" i="26"/>
  <c r="G22" i="26"/>
  <c r="G8" i="26"/>
  <c r="G10" i="26"/>
  <c r="G12" i="26"/>
  <c r="G14" i="26"/>
  <c r="G16" i="26"/>
  <c r="G18" i="26"/>
  <c r="G20" i="26"/>
  <c r="J5" i="26"/>
  <c r="J22" i="26"/>
  <c r="J8" i="26"/>
  <c r="J10" i="26"/>
  <c r="J12" i="26"/>
  <c r="J14" i="26"/>
  <c r="J16" i="26"/>
  <c r="J18" i="26"/>
  <c r="J20" i="26"/>
  <c r="J23" i="26"/>
  <c r="C66" i="16"/>
  <c r="C68" i="16"/>
  <c r="C65" i="16"/>
  <c r="C67" i="16"/>
  <c r="C69" i="16"/>
  <c r="C9" i="16"/>
  <c r="C38" i="16"/>
  <c r="C40" i="16"/>
  <c r="C37" i="16"/>
  <c r="C39" i="16"/>
  <c r="C41" i="16"/>
  <c r="C13" i="16"/>
  <c r="C11" i="16"/>
  <c r="C10" i="16"/>
  <c r="D24" i="26"/>
  <c r="J24" i="26"/>
  <c r="G24" i="26"/>
  <c r="G30" i="26"/>
  <c r="J30" i="26"/>
  <c r="K65" i="18"/>
  <c r="J65" i="18"/>
  <c r="I65" i="18"/>
  <c r="K64" i="18"/>
  <c r="J64" i="18"/>
  <c r="I64" i="18"/>
  <c r="J28" i="17"/>
  <c r="I28" i="17"/>
  <c r="F28" i="17"/>
  <c r="E28" i="17"/>
  <c r="N28" i="17"/>
  <c r="M28" i="17"/>
  <c r="G43" i="32"/>
  <c r="E37" i="37"/>
  <c r="D138" i="27"/>
  <c r="E138" i="27"/>
  <c r="C138" i="27"/>
  <c r="D89" i="17"/>
  <c r="E89" i="17"/>
  <c r="H43" i="32"/>
  <c r="F37" i="37"/>
  <c r="F43" i="32"/>
  <c r="D37" i="37"/>
  <c r="N43" i="32"/>
  <c r="K43" i="32"/>
  <c r="Q43" i="32"/>
  <c r="J43" i="32"/>
  <c r="P43" i="32"/>
  <c r="M43" i="32"/>
  <c r="L28" i="17"/>
  <c r="K28" i="17"/>
  <c r="G28" i="17"/>
  <c r="H28" i="17"/>
  <c r="G89" i="17"/>
  <c r="C28" i="17"/>
  <c r="F24" i="32"/>
  <c r="I43" i="32"/>
  <c r="L43" i="32"/>
  <c r="O43" i="32"/>
  <c r="D28" i="17"/>
  <c r="H24" i="32"/>
  <c r="H23" i="32"/>
  <c r="G24" i="32"/>
  <c r="G23" i="32"/>
  <c r="L89" i="17"/>
  <c r="M89" i="17"/>
  <c r="N89" i="17"/>
  <c r="I89" i="17"/>
  <c r="J89" i="17"/>
  <c r="K89" i="17"/>
  <c r="F23" i="32"/>
  <c r="O23" i="32"/>
  <c r="J24" i="32"/>
  <c r="P24" i="32"/>
  <c r="M24" i="32"/>
  <c r="N23" i="32"/>
  <c r="K23" i="32"/>
  <c r="Q23" i="32"/>
  <c r="I24" i="32"/>
  <c r="O24" i="32"/>
  <c r="L24" i="32"/>
  <c r="N24" i="32"/>
  <c r="Q24" i="32"/>
  <c r="K24" i="32"/>
  <c r="P23" i="32"/>
  <c r="J23" i="32"/>
  <c r="M23" i="32"/>
  <c r="O75" i="32"/>
  <c r="O76" i="32"/>
  <c r="O74" i="32"/>
  <c r="O73" i="32"/>
  <c r="O72" i="32"/>
  <c r="I76" i="32"/>
  <c r="L76" i="32"/>
  <c r="I73" i="32"/>
  <c r="L73" i="32"/>
  <c r="I74" i="32"/>
  <c r="L74" i="32"/>
  <c r="I75" i="32"/>
  <c r="L75" i="32"/>
  <c r="I72" i="32"/>
  <c r="L72" i="32"/>
  <c r="H75" i="32"/>
  <c r="Q75" i="32"/>
  <c r="G75" i="32"/>
  <c r="P75" i="32"/>
  <c r="G76" i="32"/>
  <c r="P76" i="32"/>
  <c r="H76" i="32"/>
  <c r="Q76" i="32"/>
  <c r="G73" i="32"/>
  <c r="P73" i="32"/>
  <c r="H73" i="32"/>
  <c r="Q73" i="32"/>
  <c r="G74" i="32"/>
  <c r="P74" i="32"/>
  <c r="H74" i="32"/>
  <c r="Q74" i="32"/>
  <c r="G72" i="32"/>
  <c r="P72" i="32"/>
  <c r="H72" i="32"/>
  <c r="Q72" i="32"/>
  <c r="I23" i="32"/>
  <c r="L23" i="32"/>
  <c r="O77" i="32"/>
  <c r="Q77" i="32"/>
  <c r="P77" i="32"/>
  <c r="L77" i="32"/>
  <c r="J74" i="32"/>
  <c r="M74" i="32"/>
  <c r="I77" i="32"/>
  <c r="K73" i="32"/>
  <c r="N73" i="32"/>
  <c r="J75" i="32"/>
  <c r="M75" i="32"/>
  <c r="J73" i="32"/>
  <c r="M73" i="32"/>
  <c r="K75" i="32"/>
  <c r="N75" i="32"/>
  <c r="K74" i="32"/>
  <c r="N74" i="32"/>
  <c r="K76" i="32"/>
  <c r="N76" i="32"/>
  <c r="J76" i="32"/>
  <c r="M76" i="32"/>
  <c r="K72" i="32"/>
  <c r="N72" i="32"/>
  <c r="J72" i="32"/>
  <c r="M72" i="32"/>
  <c r="J27" i="17"/>
  <c r="N27" i="17"/>
  <c r="F27" i="17"/>
  <c r="E27" i="17"/>
  <c r="N77" i="32"/>
  <c r="M77" i="32"/>
  <c r="J77" i="32"/>
  <c r="K77" i="32"/>
  <c r="D27" i="17"/>
  <c r="C27" i="17"/>
  <c r="E137" i="27"/>
  <c r="M27" i="17"/>
  <c r="D137" i="27"/>
  <c r="I27" i="17"/>
  <c r="C137" i="27"/>
  <c r="K26" i="4"/>
  <c r="K27" i="4"/>
  <c r="K25" i="4"/>
  <c r="H26" i="4"/>
  <c r="H27" i="4"/>
  <c r="D26" i="4"/>
  <c r="D27" i="4"/>
  <c r="E26" i="4"/>
  <c r="E27" i="4"/>
  <c r="L27" i="17"/>
  <c r="K27" i="17"/>
  <c r="H27" i="17"/>
  <c r="G27" i="17"/>
  <c r="J26" i="4"/>
  <c r="J27" i="4"/>
  <c r="G26" i="4"/>
  <c r="G27" i="4"/>
  <c r="J26" i="17"/>
  <c r="D136" i="27"/>
  <c r="I26" i="17"/>
  <c r="F27" i="4"/>
  <c r="Q55" i="17"/>
  <c r="O55" i="17"/>
  <c r="P55" i="17"/>
  <c r="Q40" i="17"/>
  <c r="O40" i="17"/>
  <c r="P40" i="17"/>
  <c r="P53" i="17"/>
  <c r="Q53" i="17"/>
  <c r="O53" i="17"/>
  <c r="P54" i="17"/>
  <c r="Q54" i="17"/>
  <c r="O54" i="17"/>
  <c r="O49" i="17"/>
  <c r="P49" i="17"/>
  <c r="Q49" i="17"/>
  <c r="P52" i="17"/>
  <c r="O52" i="17"/>
  <c r="Q52" i="17"/>
  <c r="P51" i="17"/>
  <c r="O51" i="17"/>
  <c r="Q51" i="17"/>
  <c r="P50" i="17"/>
  <c r="O50" i="17"/>
  <c r="Q50" i="17"/>
  <c r="O60" i="17"/>
  <c r="P60" i="17"/>
  <c r="Q60" i="17"/>
  <c r="Q56" i="17"/>
  <c r="O56" i="17"/>
  <c r="P56" i="17"/>
  <c r="N26" i="17"/>
  <c r="M26" i="17"/>
  <c r="M27" i="4"/>
  <c r="P27" i="4"/>
  <c r="K26" i="17"/>
  <c r="L26" i="17"/>
  <c r="H26" i="17"/>
  <c r="G26" i="17"/>
  <c r="I27" i="4"/>
  <c r="E136" i="27"/>
  <c r="M87" i="17"/>
  <c r="J87" i="17"/>
  <c r="N84" i="17"/>
  <c r="K84" i="17"/>
  <c r="L80" i="17"/>
  <c r="I80" i="17"/>
  <c r="N83" i="17"/>
  <c r="K83" i="17"/>
  <c r="N85" i="17"/>
  <c r="K85" i="17"/>
  <c r="N91" i="17"/>
  <c r="K91" i="17"/>
  <c r="L81" i="17"/>
  <c r="I81" i="17"/>
  <c r="M85" i="17"/>
  <c r="J85" i="17"/>
  <c r="L84" i="17"/>
  <c r="I84" i="17"/>
  <c r="L82" i="17"/>
  <c r="I82" i="17"/>
  <c r="M86" i="17"/>
  <c r="J86" i="17"/>
  <c r="N87" i="17"/>
  <c r="K87" i="17"/>
  <c r="N86" i="17"/>
  <c r="K86" i="17"/>
  <c r="L83" i="17"/>
  <c r="I83" i="17"/>
  <c r="L85" i="17"/>
  <c r="I85" i="17"/>
  <c r="L91" i="17"/>
  <c r="I91" i="17"/>
  <c r="L87" i="17"/>
  <c r="I87" i="17"/>
  <c r="M83" i="17"/>
  <c r="J83" i="17"/>
  <c r="M91" i="17"/>
  <c r="J91" i="17"/>
  <c r="L86" i="17"/>
  <c r="I86" i="17"/>
  <c r="M84" i="17"/>
  <c r="J84" i="17"/>
  <c r="K3" i="18"/>
  <c r="F3" i="18"/>
  <c r="J37" i="11"/>
  <c r="M37" i="11"/>
  <c r="A53" i="16"/>
  <c r="A56" i="16"/>
  <c r="A57" i="16"/>
  <c r="A58" i="16"/>
  <c r="A84" i="16"/>
  <c r="A85" i="16"/>
  <c r="A86" i="16"/>
  <c r="B23" i="18"/>
  <c r="B52" i="18"/>
  <c r="T87" i="17"/>
  <c r="K24" i="4"/>
  <c r="Q87" i="17"/>
  <c r="R81" i="17"/>
  <c r="O81" i="17"/>
  <c r="R80" i="17"/>
  <c r="E17" i="4"/>
  <c r="O80" i="17"/>
  <c r="D17" i="4"/>
  <c r="R82" i="17"/>
  <c r="E19" i="4"/>
  <c r="O82" i="17"/>
  <c r="D19" i="4"/>
  <c r="R87" i="17"/>
  <c r="E24" i="4"/>
  <c r="O87" i="17"/>
  <c r="S87" i="17"/>
  <c r="P87" i="17"/>
  <c r="Q27" i="4"/>
  <c r="N27" i="4"/>
  <c r="G7" i="5"/>
  <c r="F7" i="5"/>
  <c r="E7" i="5"/>
  <c r="D24" i="4"/>
  <c r="H24" i="4"/>
  <c r="G24" i="4"/>
  <c r="E28" i="4"/>
  <c r="D28" i="4"/>
  <c r="E18" i="4"/>
  <c r="D18" i="4"/>
  <c r="J24" i="4"/>
  <c r="B24" i="11"/>
  <c r="B22" i="11"/>
  <c r="J15" i="5"/>
  <c r="P41" i="17"/>
  <c r="O41" i="17"/>
  <c r="I72" i="17"/>
  <c r="Q41" i="17"/>
  <c r="P47" i="17"/>
  <c r="O47" i="17"/>
  <c r="L78" i="17"/>
  <c r="Q47" i="17"/>
  <c r="P39" i="17"/>
  <c r="Q39" i="17"/>
  <c r="O39" i="17"/>
  <c r="O48" i="17"/>
  <c r="I79" i="17"/>
  <c r="Q48" i="17"/>
  <c r="P48" i="17"/>
  <c r="O45" i="17"/>
  <c r="L76" i="17"/>
  <c r="P45" i="17"/>
  <c r="Q45" i="17"/>
  <c r="Q44" i="17"/>
  <c r="P44" i="17"/>
  <c r="O44" i="17"/>
  <c r="L75" i="17"/>
  <c r="Q43" i="17"/>
  <c r="O43" i="17"/>
  <c r="L74" i="17"/>
  <c r="P43" i="17"/>
  <c r="O46" i="17"/>
  <c r="P46" i="17"/>
  <c r="Q46" i="17"/>
  <c r="P38" i="17"/>
  <c r="J69" i="17"/>
  <c r="O42" i="17"/>
  <c r="L73" i="17"/>
  <c r="Q42" i="17"/>
  <c r="P42" i="17"/>
  <c r="D3" i="5"/>
  <c r="D23" i="4"/>
  <c r="E23" i="4"/>
  <c r="H20" i="4"/>
  <c r="G20" i="4"/>
  <c r="E20" i="4"/>
  <c r="D20" i="4"/>
  <c r="H23" i="4"/>
  <c r="G23" i="4"/>
  <c r="D21" i="4"/>
  <c r="E21" i="4"/>
  <c r="K22" i="4"/>
  <c r="J22" i="4"/>
  <c r="H21" i="4"/>
  <c r="G21" i="4"/>
  <c r="H28" i="4"/>
  <c r="G28" i="4"/>
  <c r="E22" i="4"/>
  <c r="D22" i="4"/>
  <c r="J23" i="4"/>
  <c r="K23" i="4"/>
  <c r="H22" i="4"/>
  <c r="G22" i="4"/>
  <c r="K28" i="4"/>
  <c r="J28" i="4"/>
  <c r="K20" i="4"/>
  <c r="J20" i="4"/>
  <c r="J21" i="4"/>
  <c r="K21" i="4"/>
  <c r="H14" i="11"/>
  <c r="A81" i="16"/>
  <c r="J25" i="4"/>
  <c r="B8" i="18"/>
  <c r="B56" i="18"/>
  <c r="B64" i="18"/>
  <c r="B22" i="18"/>
  <c r="B7" i="18"/>
  <c r="G6" i="5"/>
  <c r="F6" i="5"/>
  <c r="E6" i="5"/>
  <c r="R73" i="17"/>
  <c r="E10" i="4"/>
  <c r="R75" i="17"/>
  <c r="E12" i="4"/>
  <c r="R76" i="17"/>
  <c r="R78" i="17"/>
  <c r="E15" i="4"/>
  <c r="R74" i="17"/>
  <c r="E11" i="4"/>
  <c r="B53" i="18"/>
  <c r="B59" i="18"/>
  <c r="B66" i="18"/>
  <c r="J24" i="5"/>
  <c r="J14" i="5"/>
  <c r="D11" i="5"/>
  <c r="D10" i="5"/>
  <c r="E13" i="4"/>
  <c r="L72" i="17"/>
  <c r="L79" i="17"/>
  <c r="I75" i="17"/>
  <c r="I74" i="17"/>
  <c r="O74" i="17"/>
  <c r="J22" i="5"/>
  <c r="J21" i="5"/>
  <c r="J19" i="5"/>
  <c r="J18" i="5"/>
  <c r="J20" i="5"/>
  <c r="I73" i="17"/>
  <c r="O73" i="17"/>
  <c r="I78" i="17"/>
  <c r="O78" i="17"/>
  <c r="M69" i="17"/>
  <c r="L69" i="17"/>
  <c r="I76" i="17"/>
  <c r="O76" i="17"/>
  <c r="N69" i="17"/>
  <c r="K69" i="17"/>
  <c r="B30" i="11"/>
  <c r="B25" i="11"/>
  <c r="M75" i="17"/>
  <c r="J75" i="17"/>
  <c r="M76" i="17"/>
  <c r="J76" i="17"/>
  <c r="N80" i="17"/>
  <c r="K80" i="17"/>
  <c r="M81" i="17"/>
  <c r="J81" i="17"/>
  <c r="N82" i="17"/>
  <c r="K82" i="17"/>
  <c r="M78" i="17"/>
  <c r="J78" i="17"/>
  <c r="M70" i="17"/>
  <c r="J70" i="17"/>
  <c r="N77" i="17"/>
  <c r="K77" i="17"/>
  <c r="N71" i="17"/>
  <c r="K71" i="17"/>
  <c r="I71" i="17"/>
  <c r="L71" i="17"/>
  <c r="M73" i="17"/>
  <c r="J73" i="17"/>
  <c r="N76" i="17"/>
  <c r="K76" i="17"/>
  <c r="N70" i="17"/>
  <c r="K70" i="17"/>
  <c r="M71" i="17"/>
  <c r="J71" i="17"/>
  <c r="N74" i="17"/>
  <c r="K74" i="17"/>
  <c r="M77" i="17"/>
  <c r="J77" i="17"/>
  <c r="L77" i="17"/>
  <c r="I77" i="17"/>
  <c r="L70" i="17"/>
  <c r="I70" i="17"/>
  <c r="M80" i="17"/>
  <c r="J80" i="17"/>
  <c r="N81" i="17"/>
  <c r="K81" i="17"/>
  <c r="M82" i="17"/>
  <c r="J82" i="17"/>
  <c r="M79" i="17"/>
  <c r="J79" i="17"/>
  <c r="M74" i="17"/>
  <c r="J74" i="17"/>
  <c r="M72" i="17"/>
  <c r="J72" i="17"/>
  <c r="N73" i="17"/>
  <c r="K73" i="17"/>
  <c r="N75" i="17"/>
  <c r="K75" i="17"/>
  <c r="N79" i="17"/>
  <c r="K79" i="17"/>
  <c r="N72" i="17"/>
  <c r="K72" i="17"/>
  <c r="N78" i="17"/>
  <c r="K78" i="17"/>
  <c r="G26" i="5"/>
  <c r="T73" i="17"/>
  <c r="Q73" i="17"/>
  <c r="T70" i="17"/>
  <c r="Q70" i="17"/>
  <c r="T82" i="17"/>
  <c r="Q82" i="17"/>
  <c r="O75" i="17"/>
  <c r="D12" i="4"/>
  <c r="S74" i="17"/>
  <c r="P74" i="17"/>
  <c r="T79" i="17"/>
  <c r="Q79" i="17"/>
  <c r="S80" i="17"/>
  <c r="P80" i="17"/>
  <c r="S73" i="17"/>
  <c r="P73" i="17"/>
  <c r="G10" i="4"/>
  <c r="T80" i="17"/>
  <c r="Q80" i="17"/>
  <c r="T69" i="17"/>
  <c r="Q69" i="17"/>
  <c r="R71" i="17"/>
  <c r="O71" i="17"/>
  <c r="T75" i="17"/>
  <c r="K12" i="4"/>
  <c r="Q75" i="17"/>
  <c r="S79" i="17"/>
  <c r="P79" i="17"/>
  <c r="R70" i="17"/>
  <c r="E7" i="4"/>
  <c r="O70" i="17"/>
  <c r="S71" i="17"/>
  <c r="P71" i="17"/>
  <c r="S78" i="17"/>
  <c r="H15" i="4"/>
  <c r="P78" i="17"/>
  <c r="S76" i="17"/>
  <c r="P76" i="17"/>
  <c r="R69" i="17"/>
  <c r="O69" i="17"/>
  <c r="T74" i="17"/>
  <c r="Q74" i="17"/>
  <c r="S70" i="17"/>
  <c r="H7" i="4"/>
  <c r="P70" i="17"/>
  <c r="S69" i="17"/>
  <c r="P69" i="17"/>
  <c r="S82" i="17"/>
  <c r="H19" i="4"/>
  <c r="P82" i="17"/>
  <c r="T78" i="17"/>
  <c r="Q78" i="17"/>
  <c r="R77" i="17"/>
  <c r="E14" i="4"/>
  <c r="O77" i="17"/>
  <c r="T71" i="17"/>
  <c r="Q71" i="17"/>
  <c r="S75" i="17"/>
  <c r="H12" i="4"/>
  <c r="P75" i="17"/>
  <c r="R79" i="17"/>
  <c r="O79" i="17"/>
  <c r="T72" i="17"/>
  <c r="Q72" i="17"/>
  <c r="S72" i="17"/>
  <c r="P72" i="17"/>
  <c r="T81" i="17"/>
  <c r="K18" i="4"/>
  <c r="Q81" i="17"/>
  <c r="S77" i="17"/>
  <c r="P77" i="17"/>
  <c r="T76" i="17"/>
  <c r="K13" i="4"/>
  <c r="Q76" i="17"/>
  <c r="T77" i="17"/>
  <c r="Q77" i="17"/>
  <c r="S81" i="17"/>
  <c r="H18" i="4"/>
  <c r="P81" i="17"/>
  <c r="R72" i="17"/>
  <c r="O72" i="17"/>
  <c r="D9" i="4"/>
  <c r="D19" i="5"/>
  <c r="B68" i="18"/>
  <c r="B72" i="18"/>
  <c r="B31" i="11"/>
  <c r="B28" i="11"/>
  <c r="D29" i="5"/>
  <c r="D30" i="5"/>
  <c r="F26" i="5"/>
  <c r="E26" i="5"/>
  <c r="D21" i="5"/>
  <c r="D33" i="5"/>
  <c r="D34" i="5"/>
  <c r="D20" i="5"/>
  <c r="D16" i="5"/>
  <c r="D13" i="5"/>
  <c r="D18" i="5"/>
  <c r="D14" i="5"/>
  <c r="H17" i="4"/>
  <c r="G17" i="4"/>
  <c r="K14" i="4"/>
  <c r="H6" i="4"/>
  <c r="K11" i="4"/>
  <c r="J11" i="4"/>
  <c r="H10" i="4"/>
  <c r="J17" i="4"/>
  <c r="K17" i="4"/>
  <c r="K15" i="4"/>
  <c r="J10" i="4"/>
  <c r="K10" i="4"/>
  <c r="G19" i="4"/>
  <c r="E8" i="4"/>
  <c r="D10" i="4"/>
  <c r="E16" i="4"/>
  <c r="D16" i="4"/>
  <c r="H11" i="4"/>
  <c r="G11" i="4"/>
  <c r="H14" i="4"/>
  <c r="H8" i="4"/>
  <c r="H13" i="4"/>
  <c r="G9" i="4"/>
  <c r="H9" i="4"/>
  <c r="J18" i="4"/>
  <c r="D15" i="4"/>
  <c r="K16" i="4"/>
  <c r="G18" i="4"/>
  <c r="H16" i="4"/>
  <c r="D11" i="4"/>
  <c r="E9" i="4"/>
  <c r="K9" i="4"/>
  <c r="J9" i="4"/>
  <c r="K7" i="4"/>
  <c r="K8" i="4"/>
  <c r="K19" i="4"/>
  <c r="J19" i="4"/>
  <c r="K6" i="4"/>
  <c r="E6" i="4"/>
  <c r="B23" i="11"/>
  <c r="D13" i="4"/>
  <c r="B61" i="18"/>
  <c r="S40" i="11"/>
  <c r="S39" i="11"/>
  <c r="B35" i="11"/>
  <c r="B36" i="11"/>
  <c r="C37" i="11"/>
  <c r="D31" i="5"/>
  <c r="B29" i="11"/>
  <c r="J13" i="4"/>
  <c r="D6" i="4"/>
  <c r="J12" i="4"/>
  <c r="J8" i="4"/>
  <c r="D8" i="4"/>
  <c r="J15" i="4"/>
  <c r="J6" i="4"/>
  <c r="G13" i="4"/>
  <c r="G15" i="4"/>
  <c r="J14" i="4"/>
  <c r="G8" i="4"/>
  <c r="G14" i="4"/>
  <c r="D7" i="4"/>
  <c r="G16" i="4"/>
  <c r="G12" i="4"/>
  <c r="G7" i="4"/>
  <c r="J7" i="4"/>
  <c r="D14" i="4"/>
  <c r="G6" i="4"/>
  <c r="J16" i="4"/>
  <c r="S30" i="11"/>
  <c r="S44" i="11"/>
  <c r="S19" i="11"/>
  <c r="T19" i="11"/>
  <c r="S32" i="11"/>
  <c r="T32" i="11"/>
  <c r="S23" i="11"/>
  <c r="T23" i="11"/>
  <c r="S36" i="11"/>
  <c r="V36" i="11"/>
  <c r="S22" i="11"/>
  <c r="T22" i="11"/>
  <c r="S28" i="11"/>
  <c r="T28" i="11"/>
  <c r="S37" i="11"/>
  <c r="V37" i="11"/>
  <c r="S20" i="11"/>
  <c r="T20" i="11"/>
  <c r="S29" i="11"/>
  <c r="T29" i="11"/>
  <c r="F25" i="17"/>
  <c r="E25" i="17"/>
  <c r="C25" i="17"/>
  <c r="F6" i="32"/>
  <c r="S27" i="11"/>
  <c r="T27" i="11"/>
  <c r="S33" i="11"/>
  <c r="V33" i="11"/>
  <c r="S25" i="11"/>
  <c r="T25" i="11"/>
  <c r="S24" i="11"/>
  <c r="T24" i="11"/>
  <c r="S21" i="11"/>
  <c r="T21" i="11"/>
  <c r="S35" i="11"/>
  <c r="T35" i="11"/>
  <c r="S31" i="11"/>
  <c r="T31" i="11"/>
  <c r="S34" i="11"/>
  <c r="T34" i="11"/>
  <c r="S38" i="11"/>
  <c r="V38" i="11"/>
  <c r="S26" i="11"/>
  <c r="T26" i="11"/>
  <c r="C36" i="11"/>
  <c r="C35" i="11"/>
  <c r="B38" i="11"/>
  <c r="I28" i="4"/>
  <c r="F28" i="4"/>
  <c r="D20" i="37"/>
  <c r="M28" i="4"/>
  <c r="P28" i="4"/>
  <c r="N28" i="4"/>
  <c r="Q28" i="4"/>
  <c r="T30" i="11"/>
  <c r="T33" i="11"/>
  <c r="T37" i="11"/>
  <c r="Y35" i="11"/>
  <c r="Y34" i="11"/>
  <c r="V34" i="11"/>
  <c r="Y37" i="11"/>
  <c r="D25" i="17"/>
  <c r="V35" i="11"/>
  <c r="T36" i="11"/>
  <c r="T38" i="11"/>
  <c r="Y36" i="11"/>
  <c r="C135" i="27"/>
  <c r="Y33" i="11"/>
  <c r="Y38" i="11"/>
  <c r="C38" i="11"/>
  <c r="N31" i="11"/>
  <c r="I6" i="32"/>
  <c r="L6" i="32"/>
  <c r="C28" i="4"/>
  <c r="C26" i="4"/>
  <c r="O26" i="4"/>
  <c r="K35" i="11"/>
  <c r="V31" i="11"/>
  <c r="N27" i="11"/>
  <c r="Y23" i="11"/>
  <c r="K33" i="11"/>
  <c r="V29" i="11"/>
  <c r="K30" i="11"/>
  <c r="N35" i="11"/>
  <c r="Y31" i="11"/>
  <c r="N34" i="11"/>
  <c r="Y30" i="11"/>
  <c r="K28" i="11"/>
  <c r="V24" i="11"/>
  <c r="N36" i="11"/>
  <c r="Y32" i="11"/>
  <c r="N30" i="11"/>
  <c r="K31" i="11"/>
  <c r="N29" i="11"/>
  <c r="K27" i="11"/>
  <c r="V23" i="11"/>
  <c r="K26" i="11"/>
  <c r="V22" i="11"/>
  <c r="N32" i="11"/>
  <c r="Y28" i="11"/>
  <c r="K36" i="11"/>
  <c r="V32" i="11"/>
  <c r="K29" i="11"/>
  <c r="K34" i="11"/>
  <c r="V30" i="11"/>
  <c r="K32" i="11"/>
  <c r="V28" i="11"/>
  <c r="N28" i="11"/>
  <c r="Y24" i="11"/>
  <c r="N26" i="11"/>
  <c r="Y22" i="11"/>
  <c r="N33" i="11"/>
  <c r="Y29" i="11"/>
  <c r="C27" i="4"/>
  <c r="O27" i="4"/>
  <c r="L27" i="4"/>
  <c r="L28" i="4"/>
  <c r="O28" i="4"/>
  <c r="L26" i="4"/>
  <c r="F112" i="32"/>
  <c r="F113" i="32"/>
  <c r="O6" i="32"/>
  <c r="K37" i="11"/>
  <c r="N37" i="11"/>
  <c r="M41" i="11"/>
  <c r="D102" i="37"/>
  <c r="D101" i="37"/>
  <c r="L113" i="32"/>
  <c r="Y21" i="11"/>
  <c r="Y19" i="11"/>
  <c r="J41" i="11"/>
  <c r="Y27" i="11"/>
  <c r="Y26" i="11"/>
  <c r="Y25" i="11"/>
  <c r="Y20" i="11"/>
  <c r="I113" i="32"/>
  <c r="O113" i="32"/>
  <c r="O112" i="32"/>
  <c r="I112" i="32"/>
  <c r="L112" i="32"/>
  <c r="V20" i="11"/>
  <c r="V19" i="11"/>
  <c r="V21" i="11"/>
  <c r="V26" i="11"/>
  <c r="V27" i="11"/>
  <c r="V25" i="11"/>
  <c r="Y40" i="11"/>
  <c r="V40" i="11"/>
  <c r="F104" i="32"/>
  <c r="D99" i="37"/>
  <c r="I104" i="32"/>
  <c r="O104" i="32"/>
  <c r="L104" i="32"/>
  <c r="A55" i="16"/>
  <c r="A83" i="16"/>
  <c r="A82" i="16"/>
  <c r="A54" i="16"/>
  <c r="G104" i="32"/>
  <c r="E99" i="37"/>
  <c r="J104" i="32"/>
  <c r="M104" i="32"/>
  <c r="P104" i="32"/>
  <c r="H104" i="32"/>
  <c r="F99" i="37"/>
  <c r="K104" i="32"/>
  <c r="Q104" i="32"/>
  <c r="N104" i="32"/>
  <c r="F21" i="17"/>
  <c r="E21" i="17"/>
  <c r="F9" i="17"/>
  <c r="E9" i="17"/>
  <c r="F15" i="17"/>
  <c r="E15" i="17"/>
  <c r="J17" i="17"/>
  <c r="I17" i="17"/>
  <c r="F23" i="17"/>
  <c r="J18" i="17"/>
  <c r="I18" i="17"/>
  <c r="F14" i="17"/>
  <c r="J13" i="17"/>
  <c r="N12" i="17"/>
  <c r="M12" i="17"/>
  <c r="H27" i="32"/>
  <c r="N7" i="17"/>
  <c r="M7" i="17"/>
  <c r="J8" i="17"/>
  <c r="F6" i="17"/>
  <c r="E6" i="17"/>
  <c r="D6" i="17"/>
  <c r="F32" i="32"/>
  <c r="G31" i="32"/>
  <c r="F33" i="32"/>
  <c r="G29" i="32"/>
  <c r="N19" i="17"/>
  <c r="M19" i="17"/>
  <c r="F19" i="17"/>
  <c r="H60" i="32"/>
  <c r="F53" i="37"/>
  <c r="E23" i="17"/>
  <c r="D23" i="17"/>
  <c r="E14" i="17"/>
  <c r="H17" i="17"/>
  <c r="G17" i="17"/>
  <c r="H18" i="17"/>
  <c r="G18" i="17"/>
  <c r="D15" i="17"/>
  <c r="C15" i="17"/>
  <c r="D9" i="17"/>
  <c r="C9" i="17"/>
  <c r="D21" i="17"/>
  <c r="C21" i="17"/>
  <c r="C118" i="27"/>
  <c r="C132" i="27"/>
  <c r="C125" i="27"/>
  <c r="N9" i="17"/>
  <c r="M9" i="17"/>
  <c r="F20" i="17"/>
  <c r="E20" i="17"/>
  <c r="N10" i="17"/>
  <c r="M10" i="17"/>
  <c r="N14" i="17"/>
  <c r="C22" i="4"/>
  <c r="N6" i="17"/>
  <c r="D129" i="27"/>
  <c r="F19" i="4"/>
  <c r="F18" i="17"/>
  <c r="E18" i="17"/>
  <c r="F16" i="17"/>
  <c r="E16" i="17"/>
  <c r="J19" i="17"/>
  <c r="I19" i="17"/>
  <c r="J14" i="17"/>
  <c r="I14" i="17"/>
  <c r="N16" i="17"/>
  <c r="F17" i="17"/>
  <c r="E17" i="17"/>
  <c r="N15" i="17"/>
  <c r="M15" i="17"/>
  <c r="J20" i="17"/>
  <c r="I20" i="17"/>
  <c r="J9" i="17"/>
  <c r="I9" i="17"/>
  <c r="F13" i="17"/>
  <c r="F10" i="17"/>
  <c r="E10" i="17"/>
  <c r="C126" i="27"/>
  <c r="J16" i="17"/>
  <c r="I16" i="17"/>
  <c r="C120" i="27"/>
  <c r="F22" i="17"/>
  <c r="E22" i="17"/>
  <c r="N20" i="17"/>
  <c r="M20" i="17"/>
  <c r="F11" i="17"/>
  <c r="E11" i="17"/>
  <c r="J5" i="17"/>
  <c r="I5" i="17"/>
  <c r="F18" i="4"/>
  <c r="F5" i="17"/>
  <c r="E5" i="17"/>
  <c r="D128" i="27"/>
  <c r="F8" i="17"/>
  <c r="E8" i="17"/>
  <c r="F24" i="17"/>
  <c r="E24" i="17"/>
  <c r="F7" i="17"/>
  <c r="E7" i="17"/>
  <c r="J24" i="17"/>
  <c r="I24" i="17"/>
  <c r="J10" i="17"/>
  <c r="I10" i="17"/>
  <c r="F12" i="17"/>
  <c r="E12" i="17"/>
  <c r="D61" i="37"/>
  <c r="D60" i="37"/>
  <c r="E59" i="37"/>
  <c r="F55" i="37"/>
  <c r="E57" i="37"/>
  <c r="P31" i="32"/>
  <c r="O32" i="32"/>
  <c r="M29" i="32"/>
  <c r="L22" i="4"/>
  <c r="O22" i="4"/>
  <c r="M18" i="4"/>
  <c r="P18" i="4"/>
  <c r="M19" i="4"/>
  <c r="P19" i="4"/>
  <c r="H58" i="32"/>
  <c r="H59" i="32"/>
  <c r="H56" i="32"/>
  <c r="H57" i="32"/>
  <c r="H54" i="32"/>
  <c r="H55" i="32"/>
  <c r="H52" i="32"/>
  <c r="H53" i="32"/>
  <c r="H50" i="32"/>
  <c r="H51" i="32"/>
  <c r="H48" i="32"/>
  <c r="H49" i="32"/>
  <c r="H46" i="32"/>
  <c r="H47" i="32"/>
  <c r="G59" i="32"/>
  <c r="G60" i="32"/>
  <c r="E53" i="37"/>
  <c r="G57" i="32"/>
  <c r="G58" i="32"/>
  <c r="G55" i="32"/>
  <c r="G56" i="32"/>
  <c r="G53" i="32"/>
  <c r="G54" i="32"/>
  <c r="G51" i="32"/>
  <c r="G52" i="32"/>
  <c r="G49" i="32"/>
  <c r="G50" i="32"/>
  <c r="G47" i="32"/>
  <c r="G48" i="32"/>
  <c r="F60" i="32"/>
  <c r="D53" i="37"/>
  <c r="G46" i="32"/>
  <c r="F58" i="32"/>
  <c r="F59" i="32"/>
  <c r="F56" i="32"/>
  <c r="F57" i="32"/>
  <c r="F54" i="32"/>
  <c r="F55" i="32"/>
  <c r="F52" i="32"/>
  <c r="F53" i="32"/>
  <c r="F50" i="32"/>
  <c r="F51" i="32"/>
  <c r="F48" i="32"/>
  <c r="F49" i="32"/>
  <c r="F46" i="32"/>
  <c r="F47" i="32"/>
  <c r="H45" i="32"/>
  <c r="F45" i="32"/>
  <c r="G45" i="32"/>
  <c r="E19" i="17"/>
  <c r="H70" i="32"/>
  <c r="V39" i="11"/>
  <c r="J12" i="17"/>
  <c r="I12" i="17"/>
  <c r="G12" i="17"/>
  <c r="J6" i="17"/>
  <c r="I6" i="17"/>
  <c r="H6" i="17"/>
  <c r="J15" i="17"/>
  <c r="I15" i="17"/>
  <c r="H15" i="17"/>
  <c r="L12" i="17"/>
  <c r="K12" i="17"/>
  <c r="E123" i="27"/>
  <c r="D124" i="27"/>
  <c r="I13" i="17"/>
  <c r="G13" i="17"/>
  <c r="F42" i="32"/>
  <c r="I8" i="17"/>
  <c r="F9" i="4"/>
  <c r="D119" i="27"/>
  <c r="C116" i="27"/>
  <c r="C6" i="17"/>
  <c r="F41" i="32"/>
  <c r="F40" i="32"/>
  <c r="H35" i="32"/>
  <c r="H36" i="32"/>
  <c r="G35" i="32"/>
  <c r="G36" i="32"/>
  <c r="F35" i="32"/>
  <c r="F36" i="32"/>
  <c r="M31" i="32"/>
  <c r="L32" i="32"/>
  <c r="P29" i="32"/>
  <c r="O33" i="32"/>
  <c r="I32" i="32"/>
  <c r="J31" i="32"/>
  <c r="L33" i="32"/>
  <c r="I33" i="32"/>
  <c r="F20" i="32"/>
  <c r="F28" i="32"/>
  <c r="F27" i="32"/>
  <c r="H33" i="32"/>
  <c r="G34" i="32"/>
  <c r="F29" i="32"/>
  <c r="J29" i="32"/>
  <c r="K27" i="32"/>
  <c r="Q27" i="32"/>
  <c r="G37" i="32"/>
  <c r="F31" i="32"/>
  <c r="G8" i="32"/>
  <c r="F30" i="32"/>
  <c r="F37" i="32"/>
  <c r="F12" i="32"/>
  <c r="N27" i="32"/>
  <c r="F39" i="32"/>
  <c r="H39" i="32"/>
  <c r="C5" i="17"/>
  <c r="C24" i="4"/>
  <c r="O24" i="4"/>
  <c r="F38" i="32"/>
  <c r="D14" i="17"/>
  <c r="F34" i="32"/>
  <c r="E13" i="17"/>
  <c r="C23" i="17"/>
  <c r="C15" i="4"/>
  <c r="C14" i="17"/>
  <c r="G11" i="32"/>
  <c r="G10" i="32"/>
  <c r="G7" i="32"/>
  <c r="L7" i="17"/>
  <c r="K7" i="17"/>
  <c r="L19" i="17"/>
  <c r="K19" i="17"/>
  <c r="L15" i="17"/>
  <c r="K15" i="17"/>
  <c r="L9" i="17"/>
  <c r="K9" i="17"/>
  <c r="L20" i="17"/>
  <c r="K20" i="17"/>
  <c r="L10" i="17"/>
  <c r="K10" i="17"/>
  <c r="H24" i="17"/>
  <c r="G24" i="17"/>
  <c r="H16" i="17"/>
  <c r="G16" i="17"/>
  <c r="H9" i="17"/>
  <c r="G9" i="17"/>
  <c r="H14" i="17"/>
  <c r="G14" i="17"/>
  <c r="H10" i="17"/>
  <c r="G10" i="17"/>
  <c r="H20" i="17"/>
  <c r="G20" i="17"/>
  <c r="H19" i="17"/>
  <c r="G19" i="17"/>
  <c r="H5" i="17"/>
  <c r="G5" i="17"/>
  <c r="D7" i="17"/>
  <c r="C7" i="17"/>
  <c r="D17" i="17"/>
  <c r="C17" i="17"/>
  <c r="D8" i="17"/>
  <c r="C8" i="17"/>
  <c r="D24" i="17"/>
  <c r="C24" i="17"/>
  <c r="D11" i="17"/>
  <c r="C11" i="17"/>
  <c r="D22" i="17"/>
  <c r="C22" i="17"/>
  <c r="D18" i="17"/>
  <c r="C18" i="17"/>
  <c r="D20" i="17"/>
  <c r="C20" i="17"/>
  <c r="D12" i="17"/>
  <c r="C12" i="17"/>
  <c r="D10" i="17"/>
  <c r="C10" i="17"/>
  <c r="D16" i="17"/>
  <c r="C16" i="17"/>
  <c r="D5" i="17"/>
  <c r="M16" i="17"/>
  <c r="E125" i="27"/>
  <c r="M14" i="17"/>
  <c r="M6" i="17"/>
  <c r="C124" i="27"/>
  <c r="C121" i="27"/>
  <c r="C131" i="27"/>
  <c r="C129" i="27"/>
  <c r="C21" i="4"/>
  <c r="O21" i="4"/>
  <c r="D130" i="27"/>
  <c r="D120" i="27"/>
  <c r="F10" i="4"/>
  <c r="C127" i="27"/>
  <c r="C11" i="4"/>
  <c r="E116" i="27"/>
  <c r="E127" i="27"/>
  <c r="D125" i="27"/>
  <c r="C128" i="27"/>
  <c r="F15" i="4"/>
  <c r="C18" i="4"/>
  <c r="O18" i="4"/>
  <c r="I13" i="4"/>
  <c r="C134" i="27"/>
  <c r="J7" i="17"/>
  <c r="I7" i="17"/>
  <c r="D115" i="27"/>
  <c r="E131" i="27"/>
  <c r="D127" i="27"/>
  <c r="N21" i="17"/>
  <c r="M21" i="17"/>
  <c r="N18" i="17"/>
  <c r="M18" i="17"/>
  <c r="C130" i="27"/>
  <c r="J11" i="17"/>
  <c r="I11" i="17"/>
  <c r="E130" i="27"/>
  <c r="N13" i="17"/>
  <c r="M13" i="17"/>
  <c r="N8" i="17"/>
  <c r="M8" i="17"/>
  <c r="N17" i="17"/>
  <c r="M17" i="17"/>
  <c r="E126" i="27"/>
  <c r="D131" i="27"/>
  <c r="C122" i="27"/>
  <c r="C133" i="27"/>
  <c r="C19" i="4"/>
  <c r="E117" i="27"/>
  <c r="C117" i="27"/>
  <c r="E120" i="27"/>
  <c r="J22" i="17"/>
  <c r="I22" i="17"/>
  <c r="C16" i="4"/>
  <c r="J23" i="17"/>
  <c r="I23" i="17"/>
  <c r="Y39" i="11"/>
  <c r="N5" i="17"/>
  <c r="M5" i="17"/>
  <c r="C123" i="27"/>
  <c r="E121" i="27"/>
  <c r="J21" i="17"/>
  <c r="I21" i="17"/>
  <c r="D121" i="27"/>
  <c r="D134" i="27"/>
  <c r="C7" i="4"/>
  <c r="N24" i="17"/>
  <c r="M24" i="17"/>
  <c r="C119" i="27"/>
  <c r="N23" i="17"/>
  <c r="M23" i="17"/>
  <c r="C115" i="27"/>
  <c r="F29" i="17"/>
  <c r="N11" i="17"/>
  <c r="M11" i="17"/>
  <c r="N22" i="17"/>
  <c r="M22" i="17"/>
  <c r="C10" i="4"/>
  <c r="D57" i="37"/>
  <c r="E49" i="37"/>
  <c r="E24" i="37"/>
  <c r="D66" i="37"/>
  <c r="D58" i="37"/>
  <c r="E62" i="37"/>
  <c r="E63" i="37"/>
  <c r="D39" i="37"/>
  <c r="D47" i="37"/>
  <c r="E40" i="37"/>
  <c r="E48" i="37"/>
  <c r="F41" i="37"/>
  <c r="F49" i="37"/>
  <c r="E64" i="37"/>
  <c r="D48" i="37"/>
  <c r="E25" i="37"/>
  <c r="E22" i="37"/>
  <c r="F61" i="37"/>
  <c r="F64" i="37"/>
  <c r="D70" i="37"/>
  <c r="D42" i="37"/>
  <c r="D50" i="37"/>
  <c r="E43" i="37"/>
  <c r="E51" i="37"/>
  <c r="F44" i="37"/>
  <c r="F52" i="37"/>
  <c r="F42" i="37"/>
  <c r="D59" i="37"/>
  <c r="D55" i="37"/>
  <c r="F63" i="37"/>
  <c r="D41" i="37"/>
  <c r="D49" i="37"/>
  <c r="E42" i="37"/>
  <c r="E50" i="37"/>
  <c r="F43" i="37"/>
  <c r="F51" i="37"/>
  <c r="F67" i="37"/>
  <c r="E65" i="37"/>
  <c r="D56" i="37"/>
  <c r="D68" i="37"/>
  <c r="F79" i="37"/>
  <c r="D44" i="37"/>
  <c r="D52" i="37"/>
  <c r="E45" i="37"/>
  <c r="F46" i="37"/>
  <c r="E41" i="37"/>
  <c r="D67" i="37"/>
  <c r="D34" i="37"/>
  <c r="D69" i="37"/>
  <c r="E38" i="37"/>
  <c r="D43" i="37"/>
  <c r="D51" i="37"/>
  <c r="E44" i="37"/>
  <c r="E52" i="37"/>
  <c r="F45" i="37"/>
  <c r="D65" i="37"/>
  <c r="D40" i="37"/>
  <c r="D64" i="37"/>
  <c r="D38" i="37"/>
  <c r="D46" i="37"/>
  <c r="E39" i="37"/>
  <c r="E47" i="37"/>
  <c r="F40" i="37"/>
  <c r="F48" i="37"/>
  <c r="E21" i="37"/>
  <c r="F50" i="37"/>
  <c r="D62" i="37"/>
  <c r="D26" i="37"/>
  <c r="D63" i="37"/>
  <c r="F38" i="37"/>
  <c r="D45" i="37"/>
  <c r="E46" i="37"/>
  <c r="F39" i="37"/>
  <c r="F47" i="37"/>
  <c r="I12" i="32"/>
  <c r="O37" i="32"/>
  <c r="I29" i="32"/>
  <c r="O30" i="32"/>
  <c r="P8" i="32"/>
  <c r="Q33" i="32"/>
  <c r="L31" i="32"/>
  <c r="O27" i="32"/>
  <c r="I42" i="32"/>
  <c r="L19" i="4"/>
  <c r="O19" i="4"/>
  <c r="L11" i="4"/>
  <c r="O11" i="4"/>
  <c r="L10" i="4"/>
  <c r="O10" i="4"/>
  <c r="L7" i="4"/>
  <c r="O7" i="4"/>
  <c r="L16" i="4"/>
  <c r="O16" i="4"/>
  <c r="L15" i="4"/>
  <c r="O15" i="4"/>
  <c r="M9" i="4"/>
  <c r="P9" i="4"/>
  <c r="M10" i="4"/>
  <c r="P10" i="4"/>
  <c r="M15" i="4"/>
  <c r="P15" i="4"/>
  <c r="N13" i="4"/>
  <c r="Q13" i="4"/>
  <c r="L18" i="4"/>
  <c r="L24" i="4"/>
  <c r="L21" i="4"/>
  <c r="Z32" i="11"/>
  <c r="Y44" i="11"/>
  <c r="Y45" i="11"/>
  <c r="Z45" i="11"/>
  <c r="W19" i="11"/>
  <c r="V44" i="11"/>
  <c r="D19" i="17"/>
  <c r="C19" i="17"/>
  <c r="G69" i="32"/>
  <c r="H69" i="32"/>
  <c r="G70" i="32"/>
  <c r="H64" i="32"/>
  <c r="H65" i="32"/>
  <c r="F65" i="32"/>
  <c r="G65" i="32"/>
  <c r="F68" i="32"/>
  <c r="G62" i="32"/>
  <c r="H68" i="32"/>
  <c r="F64" i="32"/>
  <c r="G68" i="32"/>
  <c r="G63" i="32"/>
  <c r="H66" i="32"/>
  <c r="F70" i="32"/>
  <c r="H62" i="32"/>
  <c r="G67" i="32"/>
  <c r="H63" i="32"/>
  <c r="G66" i="32"/>
  <c r="F69" i="32"/>
  <c r="F63" i="32"/>
  <c r="F66" i="32"/>
  <c r="F67" i="32"/>
  <c r="F62" i="32"/>
  <c r="G64" i="32"/>
  <c r="H67" i="32"/>
  <c r="F13" i="4"/>
  <c r="D123" i="27"/>
  <c r="H12" i="17"/>
  <c r="G27" i="32"/>
  <c r="D116" i="27"/>
  <c r="G6" i="17"/>
  <c r="G42" i="32"/>
  <c r="G15" i="17"/>
  <c r="G14" i="32"/>
  <c r="D126" i="27"/>
  <c r="G33" i="32"/>
  <c r="W29" i="11"/>
  <c r="W21" i="11"/>
  <c r="H13" i="17"/>
  <c r="G26" i="32"/>
  <c r="F14" i="4"/>
  <c r="P14" i="4"/>
  <c r="O42" i="32"/>
  <c r="G40" i="32"/>
  <c r="L42" i="32"/>
  <c r="G41" i="32"/>
  <c r="H8" i="17"/>
  <c r="G8" i="17"/>
  <c r="O29" i="32"/>
  <c r="H41" i="32"/>
  <c r="H40" i="32"/>
  <c r="F13" i="32"/>
  <c r="F14" i="32"/>
  <c r="J34" i="32"/>
  <c r="J37" i="32"/>
  <c r="P34" i="32"/>
  <c r="O28" i="32"/>
  <c r="P37" i="32"/>
  <c r="N33" i="32"/>
  <c r="O12" i="32"/>
  <c r="K33" i="32"/>
  <c r="L27" i="32"/>
  <c r="I31" i="32"/>
  <c r="I27" i="32"/>
  <c r="L12" i="32"/>
  <c r="L28" i="32"/>
  <c r="L29" i="32"/>
  <c r="O31" i="32"/>
  <c r="I20" i="32"/>
  <c r="I28" i="32"/>
  <c r="O20" i="32"/>
  <c r="M8" i="32"/>
  <c r="L30" i="32"/>
  <c r="L37" i="32"/>
  <c r="H28" i="32"/>
  <c r="H38" i="32"/>
  <c r="G38" i="32"/>
  <c r="H26" i="32"/>
  <c r="H32" i="32"/>
  <c r="G39" i="32"/>
  <c r="F18" i="32"/>
  <c r="F11" i="32"/>
  <c r="F19" i="32"/>
  <c r="J8" i="32"/>
  <c r="I30" i="32"/>
  <c r="I37" i="32"/>
  <c r="G32" i="32"/>
  <c r="G30" i="32"/>
  <c r="H31" i="32"/>
  <c r="F8" i="32"/>
  <c r="G18" i="32"/>
  <c r="H30" i="32"/>
  <c r="G28" i="32"/>
  <c r="H29" i="32"/>
  <c r="F16" i="32"/>
  <c r="F9" i="32"/>
  <c r="F15" i="32"/>
  <c r="G17" i="32"/>
  <c r="H16" i="32"/>
  <c r="D13" i="17"/>
  <c r="L20" i="32"/>
  <c r="M37" i="32"/>
  <c r="M34" i="32"/>
  <c r="O34" i="32"/>
  <c r="O38" i="32"/>
  <c r="Q39" i="32"/>
  <c r="P35" i="32"/>
  <c r="O39" i="32"/>
  <c r="O36" i="32"/>
  <c r="Q36" i="32"/>
  <c r="P36" i="32"/>
  <c r="O41" i="32"/>
  <c r="O35" i="32"/>
  <c r="Q35" i="32"/>
  <c r="O40" i="32"/>
  <c r="P10" i="32"/>
  <c r="P11" i="32"/>
  <c r="P7" i="32"/>
  <c r="N70" i="32"/>
  <c r="Q70" i="32"/>
  <c r="K70" i="32"/>
  <c r="J35" i="32"/>
  <c r="M35" i="32"/>
  <c r="I36" i="32"/>
  <c r="L36" i="32"/>
  <c r="K36" i="32"/>
  <c r="N36" i="32"/>
  <c r="I35" i="32"/>
  <c r="L35" i="32"/>
  <c r="K35" i="32"/>
  <c r="N35" i="32"/>
  <c r="I40" i="32"/>
  <c r="L40" i="32"/>
  <c r="I39" i="32"/>
  <c r="L39" i="32"/>
  <c r="I34" i="32"/>
  <c r="L34" i="32"/>
  <c r="J36" i="32"/>
  <c r="M36" i="32"/>
  <c r="I38" i="32"/>
  <c r="L38" i="32"/>
  <c r="I41" i="32"/>
  <c r="L41" i="32"/>
  <c r="K39" i="32"/>
  <c r="N39" i="32"/>
  <c r="J7" i="32"/>
  <c r="M7" i="32"/>
  <c r="J10" i="32"/>
  <c r="M10" i="32"/>
  <c r="J11" i="32"/>
  <c r="M11" i="32"/>
  <c r="K6" i="17"/>
  <c r="H42" i="32"/>
  <c r="K16" i="17"/>
  <c r="H37" i="32"/>
  <c r="K14" i="17"/>
  <c r="H34" i="32"/>
  <c r="F26" i="32"/>
  <c r="C13" i="17"/>
  <c r="F4" i="32"/>
  <c r="F22" i="32"/>
  <c r="D36" i="37"/>
  <c r="F21" i="32"/>
  <c r="F17" i="32"/>
  <c r="G16" i="32"/>
  <c r="G15" i="32"/>
  <c r="F10" i="32"/>
  <c r="F7" i="32"/>
  <c r="L18" i="17"/>
  <c r="K18" i="17"/>
  <c r="L17" i="17"/>
  <c r="K17" i="17"/>
  <c r="L11" i="17"/>
  <c r="K11" i="17"/>
  <c r="L23" i="17"/>
  <c r="K23" i="17"/>
  <c r="L8" i="17"/>
  <c r="K8" i="17"/>
  <c r="L13" i="17"/>
  <c r="K13" i="17"/>
  <c r="L24" i="17"/>
  <c r="K24" i="17"/>
  <c r="L22" i="17"/>
  <c r="K22" i="17"/>
  <c r="L21" i="17"/>
  <c r="K21" i="17"/>
  <c r="L5" i="17"/>
  <c r="K5" i="17"/>
  <c r="H22" i="17"/>
  <c r="G22" i="17"/>
  <c r="H11" i="17"/>
  <c r="G11" i="17"/>
  <c r="H23" i="17"/>
  <c r="G23" i="17"/>
  <c r="H21" i="17"/>
  <c r="G21" i="17"/>
  <c r="H7" i="17"/>
  <c r="G7" i="17"/>
  <c r="I15" i="4"/>
  <c r="Q15" i="4"/>
  <c r="L14" i="17"/>
  <c r="L6" i="17"/>
  <c r="L16" i="17"/>
  <c r="I7" i="4"/>
  <c r="Q7" i="4"/>
  <c r="I17" i="4"/>
  <c r="Q17" i="4"/>
  <c r="C14" i="4"/>
  <c r="N25" i="17"/>
  <c r="J25" i="17"/>
  <c r="F7" i="4"/>
  <c r="F20" i="4"/>
  <c r="P20" i="4"/>
  <c r="Z36" i="11"/>
  <c r="C17" i="4"/>
  <c r="O17" i="4"/>
  <c r="Z37" i="11"/>
  <c r="Z38" i="11"/>
  <c r="Z19" i="11"/>
  <c r="Z35" i="11"/>
  <c r="Z22" i="11"/>
  <c r="Z25" i="11"/>
  <c r="C139" i="27"/>
  <c r="E3" i="5"/>
  <c r="E118" i="27"/>
  <c r="D132" i="27"/>
  <c r="E115" i="27"/>
  <c r="F21" i="4"/>
  <c r="I16" i="4"/>
  <c r="I21" i="4"/>
  <c r="E134" i="27"/>
  <c r="D122" i="27"/>
  <c r="C25" i="4"/>
  <c r="E122" i="27"/>
  <c r="C9" i="4"/>
  <c r="Z39" i="11"/>
  <c r="Z20" i="11"/>
  <c r="Z34" i="11"/>
  <c r="Z29" i="11"/>
  <c r="Z26" i="11"/>
  <c r="Z33" i="11"/>
  <c r="Z23" i="11"/>
  <c r="Z30" i="11"/>
  <c r="Z24" i="11"/>
  <c r="Z21" i="11"/>
  <c r="Z28" i="11"/>
  <c r="W36" i="11"/>
  <c r="F16" i="4"/>
  <c r="E128" i="27"/>
  <c r="E124" i="27"/>
  <c r="I20" i="4"/>
  <c r="W25" i="11"/>
  <c r="C20" i="4"/>
  <c r="E129" i="27"/>
  <c r="F6" i="4"/>
  <c r="E133" i="27"/>
  <c r="I11" i="4"/>
  <c r="D118" i="27"/>
  <c r="W39" i="11"/>
  <c r="W34" i="11"/>
  <c r="W20" i="11"/>
  <c r="W22" i="11"/>
  <c r="W31" i="11"/>
  <c r="W28" i="11"/>
  <c r="W32" i="11"/>
  <c r="W26" i="11"/>
  <c r="W33" i="11"/>
  <c r="W27" i="11"/>
  <c r="W24" i="11"/>
  <c r="W23" i="11"/>
  <c r="W30" i="11"/>
  <c r="W38" i="11"/>
  <c r="C23" i="4"/>
  <c r="C12" i="4"/>
  <c r="E119" i="27"/>
  <c r="E29" i="17"/>
  <c r="C6" i="4"/>
  <c r="F25" i="4"/>
  <c r="F11" i="4"/>
  <c r="W35" i="11"/>
  <c r="C13" i="4"/>
  <c r="W37" i="11"/>
  <c r="D133" i="27"/>
  <c r="C8" i="4"/>
  <c r="I8" i="4"/>
  <c r="I10" i="4"/>
  <c r="Z31" i="11"/>
  <c r="Z27" i="11"/>
  <c r="E132" i="27"/>
  <c r="F17" i="4"/>
  <c r="D117" i="27"/>
  <c r="D24" i="37"/>
  <c r="F62" i="37"/>
  <c r="E56" i="37"/>
  <c r="E66" i="37"/>
  <c r="D28" i="37"/>
  <c r="E61" i="37"/>
  <c r="D78" i="37"/>
  <c r="E77" i="37"/>
  <c r="F73" i="37"/>
  <c r="E75" i="37"/>
  <c r="F65" i="37"/>
  <c r="F30" i="37"/>
  <c r="E32" i="37"/>
  <c r="D33" i="37"/>
  <c r="F56" i="37"/>
  <c r="F68" i="37"/>
  <c r="E28" i="37"/>
  <c r="F76" i="37"/>
  <c r="F72" i="37"/>
  <c r="F77" i="37"/>
  <c r="F78" i="37"/>
  <c r="E30" i="37"/>
  <c r="D31" i="37"/>
  <c r="E31" i="37"/>
  <c r="D22" i="37"/>
  <c r="D25" i="37"/>
  <c r="F69" i="37"/>
  <c r="E70" i="37"/>
  <c r="E73" i="37"/>
  <c r="E76" i="37"/>
  <c r="E71" i="37"/>
  <c r="E78" i="37"/>
  <c r="D35" i="37"/>
  <c r="F70" i="37"/>
  <c r="D29" i="37"/>
  <c r="F59" i="37"/>
  <c r="D32" i="37"/>
  <c r="E54" i="37"/>
  <c r="D71" i="37"/>
  <c r="F71" i="37"/>
  <c r="D77" i="37"/>
  <c r="D27" i="37"/>
  <c r="D23" i="37"/>
  <c r="E58" i="37"/>
  <c r="E67" i="37"/>
  <c r="D76" i="37"/>
  <c r="D79" i="37"/>
  <c r="E74" i="37"/>
  <c r="E29" i="37"/>
  <c r="F58" i="37"/>
  <c r="F66" i="37"/>
  <c r="D73" i="37"/>
  <c r="E79" i="37"/>
  <c r="D30" i="37"/>
  <c r="E60" i="37"/>
  <c r="F60" i="37"/>
  <c r="E55" i="37"/>
  <c r="D75" i="37"/>
  <c r="F75" i="37"/>
  <c r="D74" i="37"/>
  <c r="E68" i="37"/>
  <c r="D21" i="37"/>
  <c r="D54" i="37"/>
  <c r="F57" i="37"/>
  <c r="F54" i="37"/>
  <c r="E69" i="37"/>
  <c r="D72" i="37"/>
  <c r="E72" i="37"/>
  <c r="F74" i="37"/>
  <c r="P32" i="32"/>
  <c r="Q32" i="32"/>
  <c r="I67" i="32"/>
  <c r="L70" i="32"/>
  <c r="K29" i="32"/>
  <c r="Q26" i="32"/>
  <c r="J41" i="32"/>
  <c r="O66" i="32"/>
  <c r="Q66" i="32"/>
  <c r="P28" i="32"/>
  <c r="M38" i="32"/>
  <c r="I63" i="32"/>
  <c r="P63" i="32"/>
  <c r="K65" i="32"/>
  <c r="K30" i="32"/>
  <c r="Q38" i="32"/>
  <c r="P40" i="32"/>
  <c r="P33" i="32"/>
  <c r="J68" i="32"/>
  <c r="Q16" i="32"/>
  <c r="P18" i="32"/>
  <c r="M66" i="32"/>
  <c r="O64" i="32"/>
  <c r="I8" i="32"/>
  <c r="L11" i="32"/>
  <c r="N67" i="32"/>
  <c r="K63" i="32"/>
  <c r="N69" i="32"/>
  <c r="O15" i="32"/>
  <c r="N31" i="32"/>
  <c r="O18" i="32"/>
  <c r="P64" i="32"/>
  <c r="J69" i="32"/>
  <c r="L9" i="32"/>
  <c r="J30" i="32"/>
  <c r="P39" i="32"/>
  <c r="P26" i="32"/>
  <c r="I62" i="32"/>
  <c r="K62" i="32"/>
  <c r="I68" i="32"/>
  <c r="F87" i="32"/>
  <c r="L87" i="32"/>
  <c r="G4" i="32"/>
  <c r="G3" i="32"/>
  <c r="H3" i="32"/>
  <c r="F3" i="32"/>
  <c r="L3" i="32"/>
  <c r="H4" i="32"/>
  <c r="L12" i="4"/>
  <c r="O12" i="4"/>
  <c r="L9" i="4"/>
  <c r="O9" i="4"/>
  <c r="L13" i="4"/>
  <c r="O13" i="4"/>
  <c r="L23" i="4"/>
  <c r="O23" i="4"/>
  <c r="L14" i="4"/>
  <c r="O14" i="4"/>
  <c r="L25" i="4"/>
  <c r="O25" i="4"/>
  <c r="L6" i="4"/>
  <c r="O6" i="4"/>
  <c r="L20" i="4"/>
  <c r="O20" i="4"/>
  <c r="L8" i="4"/>
  <c r="O8" i="4"/>
  <c r="M11" i="4"/>
  <c r="P11" i="4"/>
  <c r="M16" i="4"/>
  <c r="G87" i="32"/>
  <c r="P16" i="4"/>
  <c r="G114" i="32"/>
  <c r="M13" i="4"/>
  <c r="P13" i="4"/>
  <c r="M25" i="4"/>
  <c r="P25" i="4"/>
  <c r="M17" i="4"/>
  <c r="P17" i="4"/>
  <c r="M6" i="4"/>
  <c r="P6" i="4"/>
  <c r="M7" i="4"/>
  <c r="P7" i="4"/>
  <c r="M21" i="4"/>
  <c r="P21" i="4"/>
  <c r="N21" i="4"/>
  <c r="Q21" i="4"/>
  <c r="N20" i="4"/>
  <c r="Q20" i="4"/>
  <c r="N16" i="4"/>
  <c r="Q16" i="4"/>
  <c r="H114" i="32"/>
  <c r="N10" i="4"/>
  <c r="Q10" i="4"/>
  <c r="N11" i="4"/>
  <c r="Q11" i="4"/>
  <c r="N8" i="4"/>
  <c r="Q8" i="4"/>
  <c r="N17" i="4"/>
  <c r="N7" i="4"/>
  <c r="N15" i="4"/>
  <c r="M14" i="4"/>
  <c r="M20" i="4"/>
  <c r="L17" i="4"/>
  <c r="M54" i="32"/>
  <c r="P49" i="32"/>
  <c r="K60" i="32"/>
  <c r="P56" i="32"/>
  <c r="Q59" i="32"/>
  <c r="Q47" i="32"/>
  <c r="P50" i="32"/>
  <c r="K48" i="32"/>
  <c r="I65" i="32"/>
  <c r="P46" i="32"/>
  <c r="L65" i="32"/>
  <c r="K50" i="32"/>
  <c r="K49" i="32"/>
  <c r="Q46" i="32"/>
  <c r="M52" i="32"/>
  <c r="O69" i="32"/>
  <c r="Q68" i="32"/>
  <c r="P68" i="32"/>
  <c r="K69" i="32"/>
  <c r="L64" i="32"/>
  <c r="P70" i="32"/>
  <c r="J66" i="32"/>
  <c r="J70" i="32"/>
  <c r="O63" i="32"/>
  <c r="O68" i="32"/>
  <c r="M69" i="32"/>
  <c r="P69" i="32"/>
  <c r="M63" i="32"/>
  <c r="N66" i="32"/>
  <c r="Q65" i="32"/>
  <c r="O65" i="32"/>
  <c r="Q64" i="32"/>
  <c r="I64" i="32"/>
  <c r="M65" i="32"/>
  <c r="K64" i="32"/>
  <c r="P66" i="32"/>
  <c r="Q69" i="32"/>
  <c r="N64" i="32"/>
  <c r="J65" i="32"/>
  <c r="M68" i="32"/>
  <c r="M70" i="32"/>
  <c r="P62" i="32"/>
  <c r="L68" i="32"/>
  <c r="L69" i="32"/>
  <c r="I70" i="32"/>
  <c r="P65" i="32"/>
  <c r="J62" i="32"/>
  <c r="Q63" i="32"/>
  <c r="M62" i="32"/>
  <c r="K67" i="32"/>
  <c r="Q67" i="32"/>
  <c r="N68" i="32"/>
  <c r="N65" i="32"/>
  <c r="J67" i="32"/>
  <c r="O62" i="32"/>
  <c r="P67" i="32"/>
  <c r="N63" i="32"/>
  <c r="M67" i="32"/>
  <c r="K68" i="32"/>
  <c r="L63" i="32"/>
  <c r="K66" i="32"/>
  <c r="Q62" i="32"/>
  <c r="O70" i="32"/>
  <c r="O67" i="32"/>
  <c r="N62" i="32"/>
  <c r="J63" i="32"/>
  <c r="I69" i="32"/>
  <c r="M64" i="32"/>
  <c r="L62" i="32"/>
  <c r="L67" i="32"/>
  <c r="L66" i="32"/>
  <c r="I66" i="32"/>
  <c r="J64" i="32"/>
  <c r="M27" i="32"/>
  <c r="J27" i="32"/>
  <c r="P27" i="32"/>
  <c r="M33" i="32"/>
  <c r="J42" i="32"/>
  <c r="P42" i="32"/>
  <c r="M42" i="32"/>
  <c r="J33" i="32"/>
  <c r="G13" i="32"/>
  <c r="M26" i="32"/>
  <c r="J26" i="32"/>
  <c r="G22" i="32"/>
  <c r="M40" i="32"/>
  <c r="J40" i="32"/>
  <c r="P41" i="32"/>
  <c r="M41" i="32"/>
  <c r="G21" i="32"/>
  <c r="E27" i="5"/>
  <c r="E28" i="5"/>
  <c r="H13" i="32"/>
  <c r="H14" i="32"/>
  <c r="I11" i="32"/>
  <c r="I19" i="32"/>
  <c r="N26" i="32"/>
  <c r="K26" i="32"/>
  <c r="O11" i="32"/>
  <c r="L19" i="32"/>
  <c r="N29" i="32"/>
  <c r="Q28" i="32"/>
  <c r="N38" i="32"/>
  <c r="O19" i="32"/>
  <c r="K38" i="32"/>
  <c r="O16" i="32"/>
  <c r="N16" i="32"/>
  <c r="M39" i="32"/>
  <c r="K16" i="32"/>
  <c r="J39" i="32"/>
  <c r="P30" i="32"/>
  <c r="M28" i="32"/>
  <c r="M30" i="32"/>
  <c r="J28" i="32"/>
  <c r="O9" i="32"/>
  <c r="Q31" i="32"/>
  <c r="P38" i="32"/>
  <c r="Q30" i="32"/>
  <c r="M17" i="32"/>
  <c r="L16" i="32"/>
  <c r="N30" i="32"/>
  <c r="N28" i="32"/>
  <c r="O45" i="32"/>
  <c r="P17" i="32"/>
  <c r="Q29" i="32"/>
  <c r="L8" i="32"/>
  <c r="J17" i="32"/>
  <c r="I16" i="32"/>
  <c r="K28" i="32"/>
  <c r="L45" i="32"/>
  <c r="O8" i="32"/>
  <c r="H11" i="32"/>
  <c r="H17" i="32"/>
  <c r="G19" i="32"/>
  <c r="H12" i="32"/>
  <c r="H15" i="32"/>
  <c r="G12" i="32"/>
  <c r="H9" i="32"/>
  <c r="H19" i="32"/>
  <c r="F5" i="32"/>
  <c r="J18" i="32"/>
  <c r="I18" i="32"/>
  <c r="I9" i="32"/>
  <c r="I15" i="32"/>
  <c r="K32" i="32"/>
  <c r="K31" i="32"/>
  <c r="J32" i="32"/>
  <c r="J38" i="32"/>
  <c r="G5" i="32"/>
  <c r="H20" i="32"/>
  <c r="G9" i="32"/>
  <c r="G20" i="32"/>
  <c r="H8" i="32"/>
  <c r="M18" i="32"/>
  <c r="L18" i="32"/>
  <c r="L15" i="32"/>
  <c r="N32" i="32"/>
  <c r="M32" i="32"/>
  <c r="F114" i="32"/>
  <c r="Q40" i="32"/>
  <c r="Q37" i="32"/>
  <c r="Q41" i="32"/>
  <c r="Q34" i="32"/>
  <c r="Q42" i="32"/>
  <c r="O52" i="32"/>
  <c r="O51" i="32"/>
  <c r="P58" i="32"/>
  <c r="P60" i="32"/>
  <c r="O57" i="32"/>
  <c r="O47" i="32"/>
  <c r="Q55" i="32"/>
  <c r="Q58" i="32"/>
  <c r="P55" i="32"/>
  <c r="O53" i="32"/>
  <c r="O59" i="32"/>
  <c r="O56" i="32"/>
  <c r="P47" i="32"/>
  <c r="P48" i="32"/>
  <c r="O58" i="32"/>
  <c r="O54" i="32"/>
  <c r="Q56" i="32"/>
  <c r="P59" i="32"/>
  <c r="P53" i="32"/>
  <c r="O50" i="32"/>
  <c r="O46" i="32"/>
  <c r="Q51" i="32"/>
  <c r="Q57" i="32"/>
  <c r="P57" i="32"/>
  <c r="P51" i="32"/>
  <c r="O60" i="32"/>
  <c r="O49" i="32"/>
  <c r="O55" i="32"/>
  <c r="O48" i="32"/>
  <c r="Q45" i="32"/>
  <c r="P45" i="32"/>
  <c r="O22" i="32"/>
  <c r="O13" i="32"/>
  <c r="P16" i="32"/>
  <c r="P14" i="32"/>
  <c r="O17" i="32"/>
  <c r="O10" i="32"/>
  <c r="O14" i="32"/>
  <c r="P15" i="32"/>
  <c r="O21" i="32"/>
  <c r="O7" i="32"/>
  <c r="J48" i="32"/>
  <c r="M48" i="32"/>
  <c r="I58" i="32"/>
  <c r="L58" i="32"/>
  <c r="I54" i="32"/>
  <c r="L54" i="32"/>
  <c r="J58" i="32"/>
  <c r="M58" i="32"/>
  <c r="J60" i="32"/>
  <c r="M60" i="32"/>
  <c r="I57" i="32"/>
  <c r="L57" i="32"/>
  <c r="I50" i="32"/>
  <c r="L50" i="32"/>
  <c r="I46" i="32"/>
  <c r="L46" i="32"/>
  <c r="K54" i="32"/>
  <c r="N54" i="32"/>
  <c r="K51" i="32"/>
  <c r="N51" i="32"/>
  <c r="K57" i="32"/>
  <c r="N57" i="32"/>
  <c r="J57" i="32"/>
  <c r="M57" i="32"/>
  <c r="J50" i="32"/>
  <c r="M50" i="32"/>
  <c r="J51" i="32"/>
  <c r="M51" i="32"/>
  <c r="I60" i="32"/>
  <c r="L60" i="32"/>
  <c r="I49" i="32"/>
  <c r="L49" i="32"/>
  <c r="I55" i="32"/>
  <c r="L55" i="32"/>
  <c r="I48" i="32"/>
  <c r="L48" i="32"/>
  <c r="J47" i="32"/>
  <c r="M47" i="32"/>
  <c r="I52" i="32"/>
  <c r="L52" i="32"/>
  <c r="I51" i="32"/>
  <c r="L51" i="32"/>
  <c r="K56" i="32"/>
  <c r="N56" i="32"/>
  <c r="J59" i="32"/>
  <c r="M59" i="32"/>
  <c r="J53" i="32"/>
  <c r="M53" i="32"/>
  <c r="I47" i="32"/>
  <c r="L47" i="32"/>
  <c r="K55" i="32"/>
  <c r="N55" i="32"/>
  <c r="K58" i="32"/>
  <c r="N58" i="32"/>
  <c r="J54" i="32"/>
  <c r="J55" i="32"/>
  <c r="M55" i="32"/>
  <c r="L53" i="32"/>
  <c r="I59" i="32"/>
  <c r="L59" i="32"/>
  <c r="I56" i="32"/>
  <c r="L56" i="32"/>
  <c r="K45" i="32"/>
  <c r="N45" i="32"/>
  <c r="J45" i="32"/>
  <c r="M45" i="32"/>
  <c r="L26" i="32"/>
  <c r="L44" i="32"/>
  <c r="O26" i="32"/>
  <c r="O44" i="32"/>
  <c r="K37" i="32"/>
  <c r="N37" i="32"/>
  <c r="K34" i="32"/>
  <c r="N34" i="32"/>
  <c r="K42" i="32"/>
  <c r="N42" i="32"/>
  <c r="K41" i="32"/>
  <c r="N41" i="32"/>
  <c r="K40" i="32"/>
  <c r="N40" i="32"/>
  <c r="I7" i="32"/>
  <c r="L7" i="32"/>
  <c r="I22" i="32"/>
  <c r="L22" i="32"/>
  <c r="J14" i="32"/>
  <c r="M14" i="32"/>
  <c r="I17" i="32"/>
  <c r="L17" i="32"/>
  <c r="I13" i="32"/>
  <c r="L13" i="32"/>
  <c r="J16" i="32"/>
  <c r="M16" i="32"/>
  <c r="I10" i="32"/>
  <c r="L10" i="32"/>
  <c r="I14" i="32"/>
  <c r="L14" i="32"/>
  <c r="J15" i="32"/>
  <c r="M15" i="32"/>
  <c r="I21" i="32"/>
  <c r="L21" i="32"/>
  <c r="I45" i="32"/>
  <c r="I26" i="32"/>
  <c r="H22" i="32"/>
  <c r="F36" i="37"/>
  <c r="H21" i="32"/>
  <c r="H18" i="32"/>
  <c r="H10" i="32"/>
  <c r="H7" i="32"/>
  <c r="H5" i="32"/>
  <c r="N29" i="17"/>
  <c r="E139" i="27"/>
  <c r="M25" i="17"/>
  <c r="K25" i="17"/>
  <c r="H6" i="32"/>
  <c r="D135" i="27"/>
  <c r="I25" i="17"/>
  <c r="G25" i="17"/>
  <c r="G6" i="32"/>
  <c r="E135" i="27"/>
  <c r="J29" i="17"/>
  <c r="F3" i="5"/>
  <c r="F8" i="5"/>
  <c r="V45" i="11"/>
  <c r="W45" i="11"/>
  <c r="C29" i="17"/>
  <c r="I19" i="4"/>
  <c r="I25" i="4"/>
  <c r="F8" i="4"/>
  <c r="D29" i="17"/>
  <c r="I18" i="4"/>
  <c r="E8" i="5"/>
  <c r="E10" i="5"/>
  <c r="E19" i="5"/>
  <c r="E9" i="5"/>
  <c r="F23" i="4"/>
  <c r="I9" i="4"/>
  <c r="I6" i="4"/>
  <c r="F22" i="4"/>
  <c r="I22" i="4"/>
  <c r="F24" i="4"/>
  <c r="I23" i="4"/>
  <c r="I14" i="4"/>
  <c r="I12" i="4"/>
  <c r="F12" i="4"/>
  <c r="I24" i="4"/>
  <c r="D18" i="37"/>
  <c r="F22" i="37"/>
  <c r="E26" i="37"/>
  <c r="E18" i="37"/>
  <c r="F23" i="37"/>
  <c r="E34" i="37"/>
  <c r="F29" i="37"/>
  <c r="D83" i="37"/>
  <c r="F19" i="37"/>
  <c r="F21" i="37"/>
  <c r="D103" i="37"/>
  <c r="E23" i="37"/>
  <c r="F26" i="37"/>
  <c r="F24" i="37"/>
  <c r="F34" i="37"/>
  <c r="E33" i="37"/>
  <c r="F28" i="37"/>
  <c r="E36" i="37"/>
  <c r="F32" i="37"/>
  <c r="E19" i="37"/>
  <c r="F31" i="37"/>
  <c r="F27" i="37"/>
  <c r="F103" i="37"/>
  <c r="F18" i="37"/>
  <c r="E83" i="37"/>
  <c r="F35" i="37"/>
  <c r="D19" i="37"/>
  <c r="F25" i="37"/>
  <c r="F20" i="37"/>
  <c r="E20" i="37"/>
  <c r="F33" i="37"/>
  <c r="E35" i="37"/>
  <c r="E27" i="37"/>
  <c r="E103" i="37"/>
  <c r="N12" i="32"/>
  <c r="J22" i="32"/>
  <c r="P19" i="32"/>
  <c r="P21" i="32"/>
  <c r="Q17" i="32"/>
  <c r="M9" i="32"/>
  <c r="K6" i="32"/>
  <c r="J6" i="32"/>
  <c r="J5" i="32"/>
  <c r="P13" i="32"/>
  <c r="N15" i="32"/>
  <c r="I87" i="32"/>
  <c r="O87" i="32"/>
  <c r="I3" i="32"/>
  <c r="O3" i="32"/>
  <c r="M22" i="4"/>
  <c r="P22" i="4"/>
  <c r="M12" i="4"/>
  <c r="P12" i="4"/>
  <c r="M8" i="4"/>
  <c r="G88" i="32"/>
  <c r="E84" i="37"/>
  <c r="P8" i="4"/>
  <c r="G115" i="32"/>
  <c r="M24" i="4"/>
  <c r="P24" i="4"/>
  <c r="M23" i="4"/>
  <c r="P23" i="4"/>
  <c r="N14" i="4"/>
  <c r="Q14" i="4"/>
  <c r="N23" i="4"/>
  <c r="Q23" i="4"/>
  <c r="N25" i="4"/>
  <c r="Q25" i="4"/>
  <c r="N24" i="4"/>
  <c r="Q24" i="4"/>
  <c r="N22" i="4"/>
  <c r="Q22" i="4"/>
  <c r="N6" i="4"/>
  <c r="Q6" i="4"/>
  <c r="N18" i="4"/>
  <c r="Q18" i="4"/>
  <c r="N19" i="4"/>
  <c r="Q19" i="4"/>
  <c r="N12" i="4"/>
  <c r="Q12" i="4"/>
  <c r="N9" i="4"/>
  <c r="Q9" i="4"/>
  <c r="Q4" i="32"/>
  <c r="K4" i="32"/>
  <c r="P4" i="32"/>
  <c r="J4" i="32"/>
  <c r="O4" i="32"/>
  <c r="I4" i="32"/>
  <c r="N4" i="32"/>
  <c r="M4" i="32"/>
  <c r="L4" i="32"/>
  <c r="L5" i="32"/>
  <c r="I5" i="32"/>
  <c r="I71" i="32"/>
  <c r="P54" i="32"/>
  <c r="N60" i="32"/>
  <c r="K52" i="32"/>
  <c r="M49" i="32"/>
  <c r="Q60" i="32"/>
  <c r="M56" i="32"/>
  <c r="J56" i="32"/>
  <c r="N59" i="32"/>
  <c r="J49" i="32"/>
  <c r="K59" i="32"/>
  <c r="Q53" i="32"/>
  <c r="N47" i="32"/>
  <c r="Q54" i="32"/>
  <c r="K47" i="32"/>
  <c r="N48" i="32"/>
  <c r="N53" i="32"/>
  <c r="K53" i="32"/>
  <c r="K46" i="32"/>
  <c r="N46" i="32"/>
  <c r="Q48" i="32"/>
  <c r="Q49" i="32"/>
  <c r="N49" i="32"/>
  <c r="Q52" i="32"/>
  <c r="J46" i="32"/>
  <c r="Q50" i="32"/>
  <c r="N50" i="32"/>
  <c r="M46" i="32"/>
  <c r="I53" i="32"/>
  <c r="I61" i="32"/>
  <c r="J52" i="32"/>
  <c r="P52" i="32"/>
  <c r="N52" i="32"/>
  <c r="M71" i="32"/>
  <c r="P71" i="32"/>
  <c r="O71" i="32"/>
  <c r="K71" i="32"/>
  <c r="J71" i="32"/>
  <c r="Q71" i="32"/>
  <c r="N71" i="32"/>
  <c r="L71" i="32"/>
  <c r="M13" i="32"/>
  <c r="J13" i="32"/>
  <c r="J21" i="32"/>
  <c r="P22" i="32"/>
  <c r="M22" i="32"/>
  <c r="M21" i="32"/>
  <c r="F27" i="5"/>
  <c r="E11" i="5"/>
  <c r="E21" i="5"/>
  <c r="F98" i="32"/>
  <c r="F10" i="5"/>
  <c r="Q19" i="32"/>
  <c r="K11" i="32"/>
  <c r="Q11" i="32"/>
  <c r="N19" i="32"/>
  <c r="J9" i="32"/>
  <c r="K19" i="32"/>
  <c r="P44" i="32"/>
  <c r="N8" i="32"/>
  <c r="K12" i="32"/>
  <c r="K14" i="32"/>
  <c r="Q12" i="32"/>
  <c r="Q9" i="32"/>
  <c r="N17" i="32"/>
  <c r="M44" i="32"/>
  <c r="M5" i="32"/>
  <c r="P5" i="32"/>
  <c r="Q8" i="32"/>
  <c r="J44" i="32"/>
  <c r="K15" i="32"/>
  <c r="M19" i="32"/>
  <c r="K17" i="32"/>
  <c r="N14" i="32"/>
  <c r="J12" i="32"/>
  <c r="P12" i="32"/>
  <c r="Q14" i="32"/>
  <c r="M12" i="32"/>
  <c r="J20" i="32"/>
  <c r="P20" i="32"/>
  <c r="N20" i="32"/>
  <c r="J19" i="32"/>
  <c r="K8" i="32"/>
  <c r="K20" i="32"/>
  <c r="K9" i="32"/>
  <c r="O5" i="32"/>
  <c r="P9" i="32"/>
  <c r="Q20" i="32"/>
  <c r="Q15" i="32"/>
  <c r="N9" i="32"/>
  <c r="N11" i="32"/>
  <c r="M20" i="32"/>
  <c r="L114" i="32"/>
  <c r="I114" i="32"/>
  <c r="Q44" i="32"/>
  <c r="O61" i="32"/>
  <c r="Q22" i="32"/>
  <c r="Q21" i="32"/>
  <c r="Q13" i="32"/>
  <c r="Q18" i="32"/>
  <c r="Q10" i="32"/>
  <c r="Q6" i="32"/>
  <c r="Q7" i="32"/>
  <c r="Q5" i="32"/>
  <c r="P3" i="32"/>
  <c r="Q3" i="32"/>
  <c r="F90" i="32"/>
  <c r="D85" i="37"/>
  <c r="F95" i="32"/>
  <c r="D90" i="37"/>
  <c r="G95" i="32"/>
  <c r="E90" i="37"/>
  <c r="M87" i="32"/>
  <c r="P87" i="32"/>
  <c r="L61" i="32"/>
  <c r="N44" i="32"/>
  <c r="K44" i="32"/>
  <c r="I44" i="32"/>
  <c r="K7" i="32"/>
  <c r="N7" i="32"/>
  <c r="K18" i="32"/>
  <c r="N18" i="32"/>
  <c r="K13" i="32"/>
  <c r="N13" i="32"/>
  <c r="K5" i="32"/>
  <c r="N5" i="32"/>
  <c r="K21" i="32"/>
  <c r="N21" i="32"/>
  <c r="K22" i="32"/>
  <c r="N22" i="32"/>
  <c r="K10" i="32"/>
  <c r="N10" i="32"/>
  <c r="J3" i="32"/>
  <c r="M3" i="32"/>
  <c r="K3" i="32"/>
  <c r="N3" i="32"/>
  <c r="O114" i="32"/>
  <c r="H87" i="32"/>
  <c r="L25" i="17"/>
  <c r="H25" i="17"/>
  <c r="G3" i="5"/>
  <c r="G27" i="5"/>
  <c r="I29" i="17"/>
  <c r="M29" i="17"/>
  <c r="F26" i="4"/>
  <c r="P26" i="4"/>
  <c r="D139" i="27"/>
  <c r="I26" i="4"/>
  <c r="F86" i="32"/>
  <c r="F9" i="5"/>
  <c r="F111" i="32"/>
  <c r="J114" i="32"/>
  <c r="P114" i="32"/>
  <c r="M114" i="32"/>
  <c r="K114" i="32"/>
  <c r="N114" i="32"/>
  <c r="Q114" i="32"/>
  <c r="J87" i="32"/>
  <c r="F115" i="32"/>
  <c r="F88" i="32"/>
  <c r="D80" i="37"/>
  <c r="E104" i="37"/>
  <c r="D84" i="37"/>
  <c r="D93" i="37"/>
  <c r="F83" i="37"/>
  <c r="D104" i="37"/>
  <c r="D100" i="37"/>
  <c r="N26" i="4"/>
  <c r="Q26" i="4"/>
  <c r="G113" i="32"/>
  <c r="M26" i="4"/>
  <c r="F20" i="5"/>
  <c r="G97" i="32"/>
  <c r="F19" i="5"/>
  <c r="G90" i="32"/>
  <c r="I25" i="32"/>
  <c r="O25" i="32"/>
  <c r="L25" i="32"/>
  <c r="K25" i="32"/>
  <c r="J25" i="32"/>
  <c r="P61" i="32"/>
  <c r="M61" i="32"/>
  <c r="K61" i="32"/>
  <c r="J61" i="32"/>
  <c r="Q61" i="32"/>
  <c r="N61" i="32"/>
  <c r="F29" i="5"/>
  <c r="F30" i="5"/>
  <c r="I98" i="32"/>
  <c r="O98" i="32"/>
  <c r="L98" i="32"/>
  <c r="E20" i="5"/>
  <c r="F97" i="32"/>
  <c r="E29" i="5"/>
  <c r="E31" i="5"/>
  <c r="E16" i="5"/>
  <c r="F93" i="32"/>
  <c r="E18" i="5"/>
  <c r="F91" i="32"/>
  <c r="F16" i="5"/>
  <c r="G93" i="32"/>
  <c r="F18" i="5"/>
  <c r="G91" i="32"/>
  <c r="E13" i="5"/>
  <c r="F96" i="32"/>
  <c r="E14" i="5"/>
  <c r="F92" i="32"/>
  <c r="F13" i="5"/>
  <c r="G96" i="32"/>
  <c r="F14" i="5"/>
  <c r="G92" i="32"/>
  <c r="E33" i="5"/>
  <c r="E34" i="5"/>
  <c r="F32" i="5"/>
  <c r="G8" i="5"/>
  <c r="G10" i="5"/>
  <c r="G9" i="5"/>
  <c r="G11" i="5"/>
  <c r="G21" i="5"/>
  <c r="H98" i="32"/>
  <c r="F100" i="32"/>
  <c r="F11" i="5"/>
  <c r="F21" i="5"/>
  <c r="G98" i="32"/>
  <c r="G112" i="32"/>
  <c r="M6" i="32"/>
  <c r="M25" i="32"/>
  <c r="P6" i="32"/>
  <c r="P25" i="32"/>
  <c r="G111" i="32"/>
  <c r="F94" i="32"/>
  <c r="D89" i="37"/>
  <c r="N6" i="32"/>
  <c r="N25" i="32"/>
  <c r="G94" i="32"/>
  <c r="G86" i="32"/>
  <c r="L90" i="32"/>
  <c r="O111" i="32"/>
  <c r="M88" i="32"/>
  <c r="O88" i="32"/>
  <c r="O86" i="32"/>
  <c r="Q25" i="32"/>
  <c r="I90" i="32"/>
  <c r="O90" i="32"/>
  <c r="M95" i="32"/>
  <c r="J95" i="32"/>
  <c r="P95" i="32"/>
  <c r="L95" i="32"/>
  <c r="O95" i="32"/>
  <c r="I95" i="32"/>
  <c r="H95" i="32"/>
  <c r="F90" i="37"/>
  <c r="F101" i="32"/>
  <c r="D96" i="37"/>
  <c r="P88" i="32"/>
  <c r="N87" i="32"/>
  <c r="Q87" i="32"/>
  <c r="L88" i="32"/>
  <c r="I86" i="32"/>
  <c r="L86" i="32"/>
  <c r="F99" i="32"/>
  <c r="D94" i="37"/>
  <c r="F103" i="32"/>
  <c r="D98" i="37"/>
  <c r="K87" i="32"/>
  <c r="H29" i="17"/>
  <c r="K29" i="17"/>
  <c r="L29" i="17"/>
  <c r="G29" i="17"/>
  <c r="I111" i="32"/>
  <c r="L111" i="32"/>
  <c r="H86" i="32"/>
  <c r="I88" i="32"/>
  <c r="J88" i="32"/>
  <c r="H115" i="32"/>
  <c r="F104" i="37"/>
  <c r="H88" i="32"/>
  <c r="I115" i="32"/>
  <c r="O115" i="32"/>
  <c r="L115" i="32"/>
  <c r="P115" i="32"/>
  <c r="J115" i="32"/>
  <c r="M115" i="32"/>
  <c r="H111" i="32"/>
  <c r="I100" i="32"/>
  <c r="D95" i="37"/>
  <c r="P94" i="32"/>
  <c r="E89" i="37"/>
  <c r="J90" i="32"/>
  <c r="E85" i="37"/>
  <c r="D88" i="37"/>
  <c r="E87" i="37"/>
  <c r="D86" i="37"/>
  <c r="F100" i="37"/>
  <c r="E102" i="37"/>
  <c r="E91" i="37"/>
  <c r="D92" i="37"/>
  <c r="E93" i="37"/>
  <c r="D87" i="37"/>
  <c r="E92" i="37"/>
  <c r="E100" i="37"/>
  <c r="F80" i="37"/>
  <c r="E80" i="37"/>
  <c r="D91" i="37"/>
  <c r="F84" i="37"/>
  <c r="F93" i="37"/>
  <c r="E86" i="37"/>
  <c r="E101" i="37"/>
  <c r="E88" i="37"/>
  <c r="G106" i="32"/>
  <c r="P106" i="32"/>
  <c r="G108" i="32"/>
  <c r="P108" i="32"/>
  <c r="F109" i="32"/>
  <c r="L109" i="32"/>
  <c r="F106" i="32"/>
  <c r="O106" i="32"/>
  <c r="F108" i="32"/>
  <c r="O108" i="32"/>
  <c r="G109" i="32"/>
  <c r="M109" i="32"/>
  <c r="J91" i="32"/>
  <c r="M93" i="32"/>
  <c r="O91" i="32"/>
  <c r="M90" i="32"/>
  <c r="P90" i="32"/>
  <c r="G20" i="5"/>
  <c r="H97" i="32"/>
  <c r="G19" i="5"/>
  <c r="H90" i="32"/>
  <c r="Q90" i="32"/>
  <c r="F31" i="5"/>
  <c r="K115" i="32"/>
  <c r="J98" i="32"/>
  <c r="P98" i="32"/>
  <c r="M98" i="32"/>
  <c r="K98" i="32"/>
  <c r="N98" i="32"/>
  <c r="Q98" i="32"/>
  <c r="E30" i="5"/>
  <c r="G28" i="5"/>
  <c r="F28" i="5"/>
  <c r="G16" i="5"/>
  <c r="H93" i="32"/>
  <c r="G18" i="5"/>
  <c r="H91" i="32"/>
  <c r="G13" i="5"/>
  <c r="H96" i="32"/>
  <c r="G14" i="5"/>
  <c r="H92" i="32"/>
  <c r="P93" i="32"/>
  <c r="G32" i="5"/>
  <c r="J93" i="32"/>
  <c r="O93" i="32"/>
  <c r="L93" i="32"/>
  <c r="I93" i="32"/>
  <c r="G29" i="5"/>
  <c r="L100" i="32"/>
  <c r="O100" i="32"/>
  <c r="O99" i="32"/>
  <c r="H112" i="32"/>
  <c r="H113" i="32"/>
  <c r="I94" i="32"/>
  <c r="P97" i="32"/>
  <c r="L91" i="32"/>
  <c r="J111" i="32"/>
  <c r="P96" i="32"/>
  <c r="I92" i="32"/>
  <c r="J86" i="32"/>
  <c r="J89" i="32"/>
  <c r="P111" i="32"/>
  <c r="O92" i="32"/>
  <c r="M111" i="32"/>
  <c r="P86" i="32"/>
  <c r="P89" i="32"/>
  <c r="I131" i="32"/>
  <c r="B82" i="16"/>
  <c r="M92" i="32"/>
  <c r="I97" i="32"/>
  <c r="M97" i="32"/>
  <c r="J97" i="32"/>
  <c r="M91" i="32"/>
  <c r="F105" i="32"/>
  <c r="I105" i="32"/>
  <c r="F107" i="32"/>
  <c r="O107" i="32"/>
  <c r="L92" i="32"/>
  <c r="I91" i="32"/>
  <c r="L94" i="32"/>
  <c r="L96" i="32"/>
  <c r="G105" i="32"/>
  <c r="M105" i="32"/>
  <c r="L97" i="32"/>
  <c r="J96" i="32"/>
  <c r="I96" i="32"/>
  <c r="O97" i="32"/>
  <c r="M96" i="32"/>
  <c r="O96" i="32"/>
  <c r="P92" i="32"/>
  <c r="P91" i="32"/>
  <c r="M94" i="32"/>
  <c r="O94" i="32"/>
  <c r="M86" i="32"/>
  <c r="M89" i="32"/>
  <c r="I126" i="32"/>
  <c r="B54" i="16"/>
  <c r="J94" i="32"/>
  <c r="H94" i="32"/>
  <c r="F89" i="37"/>
  <c r="G107" i="32"/>
  <c r="J107" i="32"/>
  <c r="J92" i="32"/>
  <c r="L99" i="32"/>
  <c r="I89" i="32"/>
  <c r="I120" i="32"/>
  <c r="B25" i="16"/>
  <c r="O116" i="32"/>
  <c r="K130" i="32"/>
  <c r="D81" i="16"/>
  <c r="O89" i="32"/>
  <c r="I130" i="32"/>
  <c r="B81" i="16"/>
  <c r="D64" i="16"/>
  <c r="Q86" i="32"/>
  <c r="N95" i="32"/>
  <c r="Q95" i="32"/>
  <c r="K95" i="32"/>
  <c r="G100" i="32"/>
  <c r="G101" i="32"/>
  <c r="E96" i="37"/>
  <c r="O101" i="32"/>
  <c r="I101" i="32"/>
  <c r="L101" i="32"/>
  <c r="N88" i="32"/>
  <c r="Q88" i="32"/>
  <c r="L89" i="32"/>
  <c r="I125" i="32"/>
  <c r="B53" i="16"/>
  <c r="D36" i="16"/>
  <c r="K86" i="32"/>
  <c r="N86" i="32"/>
  <c r="I99" i="32"/>
  <c r="G99" i="32"/>
  <c r="E94" i="37"/>
  <c r="G103" i="32"/>
  <c r="E98" i="37"/>
  <c r="I103" i="32"/>
  <c r="O103" i="32"/>
  <c r="L103" i="32"/>
  <c r="F33" i="5"/>
  <c r="F34" i="5"/>
  <c r="I116" i="32"/>
  <c r="K120" i="32"/>
  <c r="D25" i="16"/>
  <c r="L116" i="32"/>
  <c r="K88" i="32"/>
  <c r="N115" i="32"/>
  <c r="Q115" i="32"/>
  <c r="J113" i="32"/>
  <c r="M113" i="32"/>
  <c r="P113" i="32"/>
  <c r="M112" i="32"/>
  <c r="J112" i="32"/>
  <c r="P112" i="32"/>
  <c r="N111" i="32"/>
  <c r="Q111" i="32"/>
  <c r="K111" i="32"/>
  <c r="J99" i="32"/>
  <c r="J100" i="32"/>
  <c r="J101" i="32"/>
  <c r="J103" i="32"/>
  <c r="F23" i="5"/>
  <c r="E23" i="5"/>
  <c r="E95" i="37"/>
  <c r="N90" i="32"/>
  <c r="K90" i="32"/>
  <c r="F85" i="37"/>
  <c r="O109" i="32"/>
  <c r="I109" i="32"/>
  <c r="F101" i="37"/>
  <c r="F102" i="37"/>
  <c r="F87" i="37"/>
  <c r="F92" i="37"/>
  <c r="F88" i="37"/>
  <c r="F91" i="37"/>
  <c r="F86" i="37"/>
  <c r="I108" i="32"/>
  <c r="L108" i="32"/>
  <c r="M108" i="32"/>
  <c r="J108" i="32"/>
  <c r="P109" i="32"/>
  <c r="J109" i="32"/>
  <c r="J106" i="32"/>
  <c r="I106" i="32"/>
  <c r="M106" i="32"/>
  <c r="L106" i="32"/>
  <c r="K92" i="32"/>
  <c r="H108" i="32"/>
  <c r="N108" i="32"/>
  <c r="Q91" i="32"/>
  <c r="Q93" i="32"/>
  <c r="K97" i="32"/>
  <c r="B82" i="27"/>
  <c r="G31" i="5"/>
  <c r="G30" i="5"/>
  <c r="N93" i="32"/>
  <c r="K93" i="32"/>
  <c r="M100" i="32"/>
  <c r="L107" i="32"/>
  <c r="Q96" i="32"/>
  <c r="N91" i="32"/>
  <c r="N97" i="32"/>
  <c r="P107" i="32"/>
  <c r="Q112" i="32"/>
  <c r="N96" i="32"/>
  <c r="K96" i="32"/>
  <c r="Q92" i="32"/>
  <c r="H106" i="32"/>
  <c r="K106" i="32"/>
  <c r="I107" i="32"/>
  <c r="N92" i="32"/>
  <c r="P105" i="32"/>
  <c r="H107" i="32"/>
  <c r="Q107" i="32"/>
  <c r="O105" i="32"/>
  <c r="K94" i="32"/>
  <c r="J105" i="32"/>
  <c r="L105" i="32"/>
  <c r="M107" i="32"/>
  <c r="K91" i="32"/>
  <c r="H109" i="32"/>
  <c r="Q109" i="32"/>
  <c r="H105" i="32"/>
  <c r="K105" i="32"/>
  <c r="Q97" i="32"/>
  <c r="N112" i="32"/>
  <c r="N94" i="32"/>
  <c r="Q94" i="32"/>
  <c r="K112" i="32"/>
  <c r="P100" i="32"/>
  <c r="B84" i="16"/>
  <c r="F81" i="16"/>
  <c r="N113" i="32"/>
  <c r="Q89" i="32"/>
  <c r="I132" i="32"/>
  <c r="B83" i="16"/>
  <c r="F64" i="16"/>
  <c r="H100" i="32"/>
  <c r="F95" i="37"/>
  <c r="H101" i="32"/>
  <c r="F96" i="37"/>
  <c r="M101" i="32"/>
  <c r="P101" i="32"/>
  <c r="B56" i="16"/>
  <c r="D8" i="16"/>
  <c r="K125" i="32"/>
  <c r="D53" i="16"/>
  <c r="F53" i="16"/>
  <c r="I121" i="32"/>
  <c r="B26" i="16"/>
  <c r="D82" i="27"/>
  <c r="N89" i="32"/>
  <c r="I127" i="32"/>
  <c r="B55" i="16"/>
  <c r="B57" i="16"/>
  <c r="K89" i="32"/>
  <c r="M99" i="32"/>
  <c r="P99" i="32"/>
  <c r="P103" i="32"/>
  <c r="M103" i="32"/>
  <c r="H99" i="32"/>
  <c r="H103" i="32"/>
  <c r="F98" i="37"/>
  <c r="G33" i="5"/>
  <c r="G34" i="5"/>
  <c r="K113" i="32"/>
  <c r="Q113" i="32"/>
  <c r="E36" i="16"/>
  <c r="P116" i="32"/>
  <c r="M116" i="32"/>
  <c r="E64" i="16"/>
  <c r="J116" i="32"/>
  <c r="K121" i="32"/>
  <c r="D26" i="16"/>
  <c r="E24" i="5"/>
  <c r="E25" i="5"/>
  <c r="F24" i="5"/>
  <c r="K99" i="32"/>
  <c r="K100" i="32"/>
  <c r="K101" i="32"/>
  <c r="K103" i="32"/>
  <c r="G23" i="5"/>
  <c r="Q99" i="32"/>
  <c r="F94" i="37"/>
  <c r="O110" i="32"/>
  <c r="J130" i="32"/>
  <c r="C81" i="16"/>
  <c r="E81" i="16"/>
  <c r="D70" i="16"/>
  <c r="I110" i="32"/>
  <c r="J120" i="32"/>
  <c r="C25" i="16"/>
  <c r="D12" i="16"/>
  <c r="K108" i="32"/>
  <c r="Q108" i="32"/>
  <c r="B28" i="16"/>
  <c r="N100" i="32"/>
  <c r="Q100" i="32"/>
  <c r="L110" i="32"/>
  <c r="J125" i="32"/>
  <c r="C53" i="16"/>
  <c r="D40" i="16"/>
  <c r="N116" i="32"/>
  <c r="K127" i="32"/>
  <c r="D55" i="16"/>
  <c r="D57" i="16"/>
  <c r="N105" i="32"/>
  <c r="Q116" i="32"/>
  <c r="K132" i="32"/>
  <c r="D83" i="16"/>
  <c r="D85" i="16"/>
  <c r="N106" i="32"/>
  <c r="N109" i="32"/>
  <c r="N107" i="32"/>
  <c r="K107" i="32"/>
  <c r="K116" i="32"/>
  <c r="K122" i="32"/>
  <c r="D27" i="16"/>
  <c r="Q106" i="32"/>
  <c r="K109" i="32"/>
  <c r="B86" i="16"/>
  <c r="B85" i="16"/>
  <c r="Q101" i="32"/>
  <c r="N101" i="32"/>
  <c r="F36" i="16"/>
  <c r="B58" i="16"/>
  <c r="E8" i="16"/>
  <c r="K131" i="32"/>
  <c r="D82" i="16"/>
  <c r="D84" i="16"/>
  <c r="K126" i="32"/>
  <c r="D54" i="16"/>
  <c r="I122" i="32"/>
  <c r="B27" i="16"/>
  <c r="B83" i="27"/>
  <c r="D28" i="16"/>
  <c r="F25" i="16"/>
  <c r="M110" i="32"/>
  <c r="P110" i="32"/>
  <c r="N99" i="32"/>
  <c r="J110" i="32"/>
  <c r="J121" i="32"/>
  <c r="C26" i="16"/>
  <c r="N103" i="32"/>
  <c r="Q103" i="32"/>
  <c r="G24" i="5"/>
  <c r="B29" i="16"/>
  <c r="F82" i="16"/>
  <c r="F84" i="16"/>
  <c r="F55" i="16"/>
  <c r="F57" i="16"/>
  <c r="D68" i="16"/>
  <c r="F83" i="16"/>
  <c r="F85" i="16"/>
  <c r="D65" i="16"/>
  <c r="D86" i="16"/>
  <c r="D67" i="16"/>
  <c r="J131" i="32"/>
  <c r="C82" i="16"/>
  <c r="E68" i="16"/>
  <c r="G81" i="16"/>
  <c r="D66" i="16"/>
  <c r="D69" i="16"/>
  <c r="D58" i="16"/>
  <c r="F54" i="16"/>
  <c r="F56" i="16"/>
  <c r="D56" i="16"/>
  <c r="D39" i="16"/>
  <c r="G53" i="16"/>
  <c r="E53" i="16"/>
  <c r="D42" i="16"/>
  <c r="J126" i="32"/>
  <c r="C54" i="16"/>
  <c r="G54" i="16"/>
  <c r="D37" i="16"/>
  <c r="D41" i="16"/>
  <c r="D38" i="16"/>
  <c r="B84" i="27"/>
  <c r="B30" i="16"/>
  <c r="F8" i="16"/>
  <c r="C82" i="27"/>
  <c r="Q105" i="32"/>
  <c r="Q110" i="32"/>
  <c r="D10" i="16"/>
  <c r="G25" i="16"/>
  <c r="D11" i="16"/>
  <c r="E25" i="16"/>
  <c r="D83" i="27"/>
  <c r="D13" i="16"/>
  <c r="F26" i="16"/>
  <c r="D9" i="16"/>
  <c r="C83" i="27"/>
  <c r="F25" i="5"/>
  <c r="N110" i="32"/>
  <c r="K110" i="32"/>
  <c r="J122" i="32"/>
  <c r="C27" i="16"/>
  <c r="D14" i="16"/>
  <c r="F86" i="16"/>
  <c r="E66" i="16"/>
  <c r="C56" i="16"/>
  <c r="J132" i="32"/>
  <c r="C83" i="16"/>
  <c r="G83" i="16"/>
  <c r="G85" i="16"/>
  <c r="E82" i="16"/>
  <c r="E70" i="16"/>
  <c r="E69" i="16"/>
  <c r="E67" i="16"/>
  <c r="G82" i="16"/>
  <c r="G84" i="16"/>
  <c r="E65" i="16"/>
  <c r="C84" i="16"/>
  <c r="F58" i="16"/>
  <c r="J127" i="32"/>
  <c r="C55" i="16"/>
  <c r="F39" i="16"/>
  <c r="E41" i="16"/>
  <c r="G56" i="16"/>
  <c r="E40" i="16"/>
  <c r="E54" i="16"/>
  <c r="E42" i="16"/>
  <c r="E38" i="16"/>
  <c r="E39" i="16"/>
  <c r="E37" i="16"/>
  <c r="E12" i="16"/>
  <c r="E82" i="27"/>
  <c r="F28" i="16"/>
  <c r="E13" i="16"/>
  <c r="C84" i="27"/>
  <c r="E9" i="16"/>
  <c r="E10" i="16"/>
  <c r="E26" i="16"/>
  <c r="C28" i="16"/>
  <c r="G26" i="16"/>
  <c r="E11" i="16"/>
  <c r="G25" i="5"/>
  <c r="G28" i="16"/>
  <c r="E14" i="16"/>
  <c r="F67" i="16"/>
  <c r="F69" i="16"/>
  <c r="F66" i="16"/>
  <c r="C85" i="16"/>
  <c r="F68" i="16"/>
  <c r="C86" i="16"/>
  <c r="F65" i="16"/>
  <c r="E83" i="16"/>
  <c r="F70" i="16"/>
  <c r="E84" i="16"/>
  <c r="G86" i="16"/>
  <c r="E83" i="27"/>
  <c r="C57" i="16"/>
  <c r="F38" i="16"/>
  <c r="E55" i="16"/>
  <c r="F42" i="16"/>
  <c r="F41" i="16"/>
  <c r="F37" i="16"/>
  <c r="F40" i="16"/>
  <c r="C58" i="16"/>
  <c r="G55" i="16"/>
  <c r="G58" i="16"/>
  <c r="E56" i="16"/>
  <c r="F13" i="16"/>
  <c r="C30" i="16"/>
  <c r="F11" i="16"/>
  <c r="G27" i="16"/>
  <c r="F12" i="16"/>
  <c r="C29" i="16"/>
  <c r="F10" i="16"/>
  <c r="E28" i="16"/>
  <c r="F9" i="16"/>
  <c r="G30" i="16"/>
  <c r="E58" i="16"/>
  <c r="E86" i="16"/>
  <c r="E85" i="16"/>
  <c r="E57" i="16"/>
  <c r="G57" i="16"/>
  <c r="G29" i="16"/>
  <c r="D30" i="16"/>
  <c r="F27" i="16"/>
  <c r="D29" i="16"/>
  <c r="E27" i="16"/>
  <c r="D84" i="27"/>
  <c r="E84" i="27"/>
  <c r="F14" i="16"/>
  <c r="E29" i="16"/>
  <c r="E30" i="16"/>
  <c r="F29" i="16"/>
  <c r="F30" i="16"/>
</calcChain>
</file>

<file path=xl/sharedStrings.xml><?xml version="1.0" encoding="utf-8"?>
<sst xmlns="http://schemas.openxmlformats.org/spreadsheetml/2006/main" count="2181" uniqueCount="864">
  <si>
    <t>kgCO2eq</t>
  </si>
  <si>
    <t>km</t>
  </si>
  <si>
    <t>Total material</t>
  </si>
  <si>
    <t>GHG emissions</t>
  </si>
  <si>
    <t>Contender Vehicle 1 - Contender Vehicle 2</t>
  </si>
  <si>
    <t>Total Energy Requirements (in MJ)</t>
  </si>
  <si>
    <t>Fossil Energy Requirements (in MJ)</t>
  </si>
  <si>
    <r>
      <t>recycling rate r</t>
    </r>
    <r>
      <rPr>
        <b/>
        <vertAlign val="superscript"/>
        <sz val="10"/>
        <rFont val="Arial"/>
        <family val="2"/>
      </rPr>
      <t>car</t>
    </r>
  </si>
  <si>
    <t>in kg</t>
  </si>
  <si>
    <t>Aluminum  ka</t>
  </si>
  <si>
    <t>Composition of secondary savings</t>
  </si>
  <si>
    <t>Primary Mass Savings</t>
  </si>
  <si>
    <t>Gasoline</t>
  </si>
  <si>
    <t>Hydrogen</t>
  </si>
  <si>
    <t>Total</t>
  </si>
  <si>
    <r>
      <t>GHG Emissions (in kg CO</t>
    </r>
    <r>
      <rPr>
        <b/>
        <vertAlign val="subscript"/>
        <sz val="10"/>
        <rFont val="Arial"/>
        <family val="2"/>
      </rPr>
      <t>2</t>
    </r>
    <r>
      <rPr>
        <b/>
        <sz val="10"/>
        <rFont val="Arial"/>
        <family val="2"/>
      </rPr>
      <t xml:space="preserve"> eq)</t>
    </r>
  </si>
  <si>
    <t>ICEV-G</t>
  </si>
  <si>
    <t>HEV</t>
  </si>
  <si>
    <t>of Primary Mass Savings</t>
  </si>
  <si>
    <t>PHEV20</t>
    <phoneticPr fontId="6" type="noConversion"/>
  </si>
  <si>
    <t>Composition</t>
  </si>
  <si>
    <t>Contender</t>
  </si>
  <si>
    <t>Vehicle</t>
  </si>
  <si>
    <t>Vehicle 1</t>
  </si>
  <si>
    <t>Vehicle 2</t>
  </si>
  <si>
    <t>Soybeans (US)</t>
  </si>
  <si>
    <t>Primary</t>
  </si>
  <si>
    <t>Production</t>
  </si>
  <si>
    <t>PHEV40</t>
    <phoneticPr fontId="6" type="noConversion"/>
  </si>
  <si>
    <t>Selected Parameters</t>
  </si>
  <si>
    <t>No</t>
  </si>
  <si>
    <t>MJ</t>
    <phoneticPr fontId="8" type="noConversion"/>
  </si>
  <si>
    <r>
      <t>production</t>
    </r>
    <r>
      <rPr>
        <i/>
        <sz val="10"/>
        <rFont val="Arial"/>
        <family val="2"/>
      </rPr>
      <t xml:space="preserve"> r</t>
    </r>
    <r>
      <rPr>
        <i/>
        <vertAlign val="superscript"/>
        <sz val="10"/>
        <rFont val="Arial"/>
        <family val="2"/>
      </rPr>
      <t>cont</t>
    </r>
  </si>
  <si>
    <t>Long &amp; special steel</t>
  </si>
  <si>
    <t>MJ/100km100kg</t>
  </si>
  <si>
    <t>MJ</t>
    <phoneticPr fontId="8" type="noConversion"/>
  </si>
  <si>
    <t>Magnesium km</t>
  </si>
  <si>
    <t>% of ∆M</t>
  </si>
  <si>
    <t>% of s(1-k)∆M</t>
  </si>
  <si>
    <r>
      <t>in gCO</t>
    </r>
    <r>
      <rPr>
        <vertAlign val="subscript"/>
        <sz val="10"/>
        <rFont val="Arial"/>
        <family val="2"/>
      </rPr>
      <t>2</t>
    </r>
    <r>
      <rPr>
        <sz val="10"/>
        <rFont val="Arial"/>
        <family val="2"/>
      </rPr>
      <t>eq/km</t>
    </r>
  </si>
  <si>
    <t>BEV</t>
    <phoneticPr fontId="6" type="noConversion"/>
  </si>
  <si>
    <t>Total energy</t>
  </si>
  <si>
    <t>Fossil energy</t>
  </si>
  <si>
    <t>AHSS (ULSAB-AVC)  ks</t>
  </si>
  <si>
    <t>Contender 1</t>
  </si>
  <si>
    <t>Contender 2</t>
  </si>
  <si>
    <t>Baseline - Contender Vehicle 1</t>
  </si>
  <si>
    <t>Electricity</t>
  </si>
  <si>
    <t>kg / kg</t>
  </si>
  <si>
    <t xml:space="preserve">in % </t>
  </si>
  <si>
    <t>Other</t>
  </si>
  <si>
    <t>Baseline Vehicle</t>
  </si>
  <si>
    <t>MJ/100km</t>
  </si>
  <si>
    <t>ICEV-D</t>
  </si>
  <si>
    <t>l/100km</t>
  </si>
  <si>
    <t>liters</t>
  </si>
  <si>
    <t>l/100km100kg</t>
  </si>
  <si>
    <t>α</t>
  </si>
  <si>
    <t>Collection</t>
  </si>
  <si>
    <t>Shredder Recovery</t>
  </si>
  <si>
    <t>Material Recovery</t>
  </si>
  <si>
    <t>Recovery</t>
  </si>
  <si>
    <t>Material from</t>
  </si>
  <si>
    <t>SUV</t>
  </si>
  <si>
    <t>Ethanol source</t>
  </si>
  <si>
    <t>Biodiesel source</t>
  </si>
  <si>
    <t>Biodiesel</t>
  </si>
  <si>
    <t>Material</t>
  </si>
  <si>
    <t>Use</t>
  </si>
  <si>
    <t>Baseline</t>
  </si>
  <si>
    <t>Flat carbon steel</t>
  </si>
  <si>
    <t>MJ/100km</t>
    <phoneticPr fontId="8" type="noConversion"/>
  </si>
  <si>
    <t>PHEV20</t>
  </si>
  <si>
    <t>Charging Efficiency</t>
  </si>
  <si>
    <t>BEV</t>
  </si>
  <si>
    <t>PHEV40</t>
  </si>
  <si>
    <t>SMC</t>
  </si>
  <si>
    <t>GFRP</t>
  </si>
  <si>
    <t>CFRP</t>
  </si>
  <si>
    <t>Prompt scrap</t>
  </si>
  <si>
    <t>Forming yields</t>
  </si>
  <si>
    <t>Scrap input</t>
  </si>
  <si>
    <t>secondary</t>
  </si>
  <si>
    <t>in kg scrap/kg out</t>
  </si>
  <si>
    <t>to primary</t>
  </si>
  <si>
    <t>Rate</t>
  </si>
  <si>
    <t>FCV</t>
  </si>
  <si>
    <t>Contender Vehicle 2</t>
  </si>
  <si>
    <t>Rolled aluminum</t>
  </si>
  <si>
    <t>Material Flow Parameters</t>
  </si>
  <si>
    <t>n/a</t>
  </si>
  <si>
    <t>Power train</t>
  </si>
  <si>
    <t>Totals</t>
  </si>
  <si>
    <t>Material Replacement Coefficients (to mild steel)</t>
  </si>
  <si>
    <t>kg</t>
  </si>
  <si>
    <t>Contender Vehicle 1</t>
  </si>
  <si>
    <t>Cast iron</t>
  </si>
  <si>
    <t>in % of unfinished material (column E)</t>
  </si>
  <si>
    <t>Extruded aluminum</t>
  </si>
  <si>
    <t>Cast aluminum</t>
  </si>
  <si>
    <r>
      <t xml:space="preserve">production </t>
    </r>
    <r>
      <rPr>
        <i/>
        <sz val="10"/>
        <rFont val="Arial"/>
        <family val="2"/>
      </rPr>
      <t>s</t>
    </r>
    <r>
      <rPr>
        <i/>
        <vertAlign val="superscript"/>
        <sz val="10"/>
        <rFont val="Arial"/>
        <family val="2"/>
      </rPr>
      <t>p</t>
    </r>
  </si>
  <si>
    <t>Driving cycle</t>
  </si>
  <si>
    <t>% of mass</t>
  </si>
  <si>
    <t>Material Production</t>
  </si>
  <si>
    <t>Diesel</t>
  </si>
  <si>
    <t>kWh/100km</t>
  </si>
  <si>
    <t>Shipped</t>
  </si>
  <si>
    <t>Recycling</t>
  </si>
  <si>
    <t>Composition of replacing material</t>
  </si>
  <si>
    <t>MJ</t>
  </si>
  <si>
    <t>Baseline - Contender Vehicle 2</t>
  </si>
  <si>
    <t>%</t>
  </si>
  <si>
    <t>Powertrain resize for equivalent performance?</t>
  </si>
  <si>
    <t>ICEV-G=0, ICEV-D=1, HEV=2, FCV=3, PHEV20=4,PHEV40=5,BEV=6</t>
  </si>
  <si>
    <t>Hyzem: Compact / A</t>
  </si>
  <si>
    <t>Hyzem: Midsize / C</t>
  </si>
  <si>
    <t>Hyzem: SUV</t>
  </si>
  <si>
    <t>NEDC: Compact / A</t>
  </si>
  <si>
    <t>NEDC: Midsize / C</t>
  </si>
  <si>
    <t>NEDC: SUV</t>
  </si>
  <si>
    <t>Compact / A=0,Midsize / C=1, SUV=2</t>
  </si>
  <si>
    <t>Data Sources:</t>
  </si>
  <si>
    <t>FKA Spreadsheet 11cc0042</t>
  </si>
  <si>
    <t>FKA Spreadsheet 11cc0022</t>
  </si>
  <si>
    <t>Blue: User inputs (used within the same and/or in other spreadsheets)</t>
  </si>
  <si>
    <t>Light Blue: Model input data that should only be changed by expert users</t>
  </si>
  <si>
    <t>Green: Intermediate results used within the spreadsheet</t>
  </si>
  <si>
    <t>Orange: Outputs that are used in another spreadsheet</t>
  </si>
  <si>
    <t>Pink: Inputs that come from another spreadsheet</t>
  </si>
  <si>
    <t>White: Data that is displayed for information only, and not used to calculate results</t>
  </si>
  <si>
    <t>Battery</t>
  </si>
  <si>
    <t>Battery Range in km</t>
  </si>
  <si>
    <t>FA=</t>
  </si>
  <si>
    <t>BC=</t>
  </si>
  <si>
    <t>BR=</t>
  </si>
  <si>
    <t>Battery Constant in Wh/kg•km</t>
  </si>
  <si>
    <t>Battery Mass Reduction Factor</t>
  </si>
  <si>
    <t>BMRF=</t>
  </si>
  <si>
    <t>Battery Energy Density in kWh/kg</t>
  </si>
  <si>
    <t>Battery Mass in kg</t>
  </si>
  <si>
    <t>BED=</t>
  </si>
  <si>
    <r>
      <t>BS</t>
    </r>
    <r>
      <rPr>
        <vertAlign val="subscript"/>
        <sz val="10"/>
        <rFont val="Arial"/>
        <family val="2"/>
      </rPr>
      <t>b</t>
    </r>
    <r>
      <rPr>
        <sz val="10"/>
        <rFont val="Arial"/>
        <family val="2"/>
      </rPr>
      <t>=</t>
    </r>
  </si>
  <si>
    <r>
      <t>VM</t>
    </r>
    <r>
      <rPr>
        <vertAlign val="subscript"/>
        <sz val="10"/>
        <rFont val="Arial"/>
        <family val="2"/>
      </rPr>
      <t>b</t>
    </r>
    <r>
      <rPr>
        <sz val="10"/>
        <rFont val="Arial"/>
        <family val="2"/>
      </rPr>
      <t>=</t>
    </r>
  </si>
  <si>
    <r>
      <t>BM</t>
    </r>
    <r>
      <rPr>
        <vertAlign val="subscript"/>
        <sz val="10"/>
        <rFont val="Arial"/>
        <family val="2"/>
      </rPr>
      <t>b</t>
    </r>
    <r>
      <rPr>
        <sz val="10"/>
        <rFont val="Arial"/>
        <family val="2"/>
      </rPr>
      <t>=</t>
    </r>
  </si>
  <si>
    <t>Single Mode ED</t>
  </si>
  <si>
    <t>Vehicle class</t>
  </si>
  <si>
    <t>alpha [0,1]: impact of scrap flows from and to the vehicle life cycles</t>
  </si>
  <si>
    <r>
      <t>100% x ED</t>
    </r>
    <r>
      <rPr>
        <vertAlign val="subscript"/>
        <sz val="10"/>
        <rFont val="Arial"/>
        <family val="2"/>
      </rPr>
      <t>f</t>
    </r>
    <r>
      <rPr>
        <sz val="10"/>
        <rFont val="Arial"/>
        <family val="2"/>
      </rPr>
      <t>=</t>
    </r>
  </si>
  <si>
    <r>
      <t>100% x ED</t>
    </r>
    <r>
      <rPr>
        <vertAlign val="subscript"/>
        <sz val="10"/>
        <rFont val="Arial"/>
        <family val="2"/>
      </rPr>
      <t>el</t>
    </r>
    <r>
      <rPr>
        <sz val="10"/>
        <rFont val="Arial"/>
        <family val="2"/>
      </rPr>
      <t>=</t>
    </r>
  </si>
  <si>
    <t>Volumetric ethanol content</t>
  </si>
  <si>
    <t>Volumetric biodiesel content</t>
  </si>
  <si>
    <t>For ICEV-D only:</t>
  </si>
  <si>
    <t>MJ/liter</t>
  </si>
  <si>
    <t>Mass of the vehicle VM</t>
  </si>
  <si>
    <t>Total life of the vehicle TM</t>
  </si>
  <si>
    <t>Single Mode ES</t>
  </si>
  <si>
    <r>
      <t>Liquid fuel savings per mass savings ES</t>
    </r>
    <r>
      <rPr>
        <vertAlign val="subscript"/>
        <sz val="10"/>
        <rFont val="Arial"/>
        <family val="2"/>
      </rPr>
      <t>f</t>
    </r>
  </si>
  <si>
    <r>
      <t>Electricity savings per mass savings ES</t>
    </r>
    <r>
      <rPr>
        <vertAlign val="subscript"/>
        <sz val="10"/>
        <rFont val="Arial"/>
        <family val="2"/>
      </rPr>
      <t>el</t>
    </r>
  </si>
  <si>
    <r>
      <t>Change in liquid fuel demand ΔED</t>
    </r>
    <r>
      <rPr>
        <vertAlign val="subscript"/>
        <sz val="10"/>
        <rFont val="Arial"/>
        <family val="2"/>
      </rPr>
      <t>f</t>
    </r>
  </si>
  <si>
    <r>
      <t>Change in electricity demand ΔED</t>
    </r>
    <r>
      <rPr>
        <vertAlign val="subscript"/>
        <sz val="10"/>
        <rFont val="Arial"/>
        <family val="2"/>
      </rPr>
      <t>el</t>
    </r>
  </si>
  <si>
    <r>
      <t>Liquid fuel demand ED</t>
    </r>
    <r>
      <rPr>
        <vertAlign val="subscript"/>
        <sz val="10"/>
        <rFont val="Arial"/>
        <family val="2"/>
      </rPr>
      <t>f</t>
    </r>
  </si>
  <si>
    <r>
      <t>Electricity demand ED</t>
    </r>
    <r>
      <rPr>
        <vertAlign val="subscript"/>
        <sz val="10"/>
        <rFont val="Arial"/>
        <family val="2"/>
      </rPr>
      <t>el</t>
    </r>
  </si>
  <si>
    <t>Liquid fuel savings per mass savings FS</t>
  </si>
  <si>
    <t>Total liquid fuel consumption FE·TM</t>
  </si>
  <si>
    <t>mpg</t>
  </si>
  <si>
    <t>Liquid fuel economy FE (mixed mode)</t>
  </si>
  <si>
    <t>kWh</t>
  </si>
  <si>
    <t>Mass elasticity of liquid fuel consumption</t>
  </si>
  <si>
    <t>% / %</t>
  </si>
  <si>
    <t>Mass elasticity of electricity consumption</t>
  </si>
  <si>
    <r>
      <t>Total electricity consumption ED</t>
    </r>
    <r>
      <rPr>
        <vertAlign val="subscript"/>
        <sz val="10"/>
        <rFont val="Arial"/>
        <family val="2"/>
      </rPr>
      <t>el</t>
    </r>
    <r>
      <rPr>
        <sz val="10"/>
        <rFont val="Arial"/>
        <family val="2"/>
      </rPr>
      <t>·TM</t>
    </r>
  </si>
  <si>
    <t>Mid-size</t>
  </si>
  <si>
    <t>FSV C-Class</t>
  </si>
  <si>
    <t>FSV A-Class</t>
  </si>
  <si>
    <t>Compact</t>
  </si>
  <si>
    <r>
      <t>Baseline electricity demand (ED</t>
    </r>
    <r>
      <rPr>
        <b/>
        <vertAlign val="subscript"/>
        <sz val="10"/>
        <rFont val="Arial"/>
        <family val="2"/>
      </rPr>
      <t>el</t>
    </r>
    <r>
      <rPr>
        <b/>
        <sz val="10"/>
        <rFont val="Arial"/>
        <family val="2"/>
      </rPr>
      <t xml:space="preserve"> in MJ</t>
    </r>
    <r>
      <rPr>
        <b/>
        <vertAlign val="subscript"/>
        <sz val="10"/>
        <rFont val="Arial"/>
        <family val="2"/>
      </rPr>
      <t>el</t>
    </r>
    <r>
      <rPr>
        <b/>
        <sz val="10"/>
        <rFont val="Arial"/>
        <family val="2"/>
      </rPr>
      <t>/100km)</t>
    </r>
  </si>
  <si>
    <r>
      <t>Energy savings (ES</t>
    </r>
    <r>
      <rPr>
        <b/>
        <vertAlign val="subscript"/>
        <sz val="10"/>
        <rFont val="Arial"/>
        <family val="2"/>
      </rPr>
      <t>f</t>
    </r>
    <r>
      <rPr>
        <b/>
        <sz val="10"/>
        <rFont val="Arial"/>
        <family val="2"/>
      </rPr>
      <t xml:space="preserve"> in MJ</t>
    </r>
    <r>
      <rPr>
        <b/>
        <vertAlign val="subscript"/>
        <sz val="10"/>
        <rFont val="Arial"/>
        <family val="2"/>
      </rPr>
      <t>f</t>
    </r>
    <r>
      <rPr>
        <b/>
        <sz val="10"/>
        <rFont val="Arial"/>
        <family val="2"/>
      </rPr>
      <t>/100km</t>
    </r>
    <r>
      <rPr>
        <b/>
        <sz val="10"/>
        <rFont val="Arial"/>
        <family val="2"/>
      </rPr>
      <t>·</t>
    </r>
    <r>
      <rPr>
        <b/>
        <sz val="10"/>
        <rFont val="Arial"/>
        <family val="2"/>
      </rPr>
      <t>100kg) without powertrain resizing</t>
    </r>
  </si>
  <si>
    <r>
      <t>Energy savings (ES</t>
    </r>
    <r>
      <rPr>
        <b/>
        <vertAlign val="subscript"/>
        <sz val="10"/>
        <rFont val="Arial"/>
        <family val="2"/>
      </rPr>
      <t>f</t>
    </r>
    <r>
      <rPr>
        <b/>
        <sz val="10"/>
        <rFont val="Arial"/>
        <family val="2"/>
      </rPr>
      <t xml:space="preserve"> in MJ</t>
    </r>
    <r>
      <rPr>
        <b/>
        <vertAlign val="subscript"/>
        <sz val="10"/>
        <rFont val="Arial"/>
        <family val="2"/>
      </rPr>
      <t>f</t>
    </r>
    <r>
      <rPr>
        <b/>
        <sz val="10"/>
        <rFont val="Arial"/>
        <family val="2"/>
      </rPr>
      <t>/100km·100kg) with powertrain resizing</t>
    </r>
  </si>
  <si>
    <t>without powertrain resizing</t>
  </si>
  <si>
    <r>
      <t>Electricity savings (ES</t>
    </r>
    <r>
      <rPr>
        <b/>
        <vertAlign val="subscript"/>
        <sz val="10"/>
        <rFont val="Arial"/>
        <family val="2"/>
      </rPr>
      <t>el</t>
    </r>
    <r>
      <rPr>
        <b/>
        <sz val="10"/>
        <rFont val="Arial"/>
        <family val="2"/>
      </rPr>
      <t xml:space="preserve"> in MJ</t>
    </r>
    <r>
      <rPr>
        <b/>
        <vertAlign val="subscript"/>
        <sz val="10"/>
        <rFont val="Arial"/>
        <family val="2"/>
      </rPr>
      <t>el</t>
    </r>
    <r>
      <rPr>
        <b/>
        <sz val="10"/>
        <rFont val="Arial"/>
        <family val="2"/>
      </rPr>
      <t>/100km·100kg)</t>
    </r>
  </si>
  <si>
    <t>with powertrain resizing</t>
  </si>
  <si>
    <r>
      <t>Electricity savings ((ES</t>
    </r>
    <r>
      <rPr>
        <b/>
        <vertAlign val="subscript"/>
        <sz val="10"/>
        <rFont val="Arial"/>
        <family val="2"/>
      </rPr>
      <t>el</t>
    </r>
    <r>
      <rPr>
        <b/>
        <sz val="10"/>
        <rFont val="Arial"/>
        <family val="2"/>
      </rPr>
      <t xml:space="preserve"> in MJ</t>
    </r>
    <r>
      <rPr>
        <b/>
        <vertAlign val="subscript"/>
        <sz val="10"/>
        <rFont val="Arial"/>
        <family val="2"/>
      </rPr>
      <t>el</t>
    </r>
    <r>
      <rPr>
        <b/>
        <sz val="10"/>
        <rFont val="Arial"/>
        <family val="2"/>
      </rPr>
      <t>/100km·100kg)</t>
    </r>
  </si>
  <si>
    <t>Removed Mass ∆M in kg</t>
  </si>
  <si>
    <t>Baseline Battery Size in kWh</t>
  </si>
  <si>
    <r>
      <t>Frontal Area FA in m</t>
    </r>
    <r>
      <rPr>
        <b/>
        <vertAlign val="superscript"/>
        <sz val="10"/>
        <rFont val="Arial"/>
        <family val="2"/>
      </rPr>
      <t>2</t>
    </r>
  </si>
  <si>
    <t>ICEV, HEV, FCV: Compact, Mid-Size, SUV</t>
  </si>
  <si>
    <t>Hyzem: Compact</t>
  </si>
  <si>
    <t>Hyzem: Midsize</t>
  </si>
  <si>
    <t>NEDC: Compact</t>
  </si>
  <si>
    <t>NEDC: Midsize</t>
  </si>
  <si>
    <t>Hyzem: FSV A-Class</t>
  </si>
  <si>
    <t>NEDC: FSV A-Class</t>
  </si>
  <si>
    <t>SAE J1711: FSV A-Class</t>
  </si>
  <si>
    <t>Hyzem: FSV C-Class</t>
  </si>
  <si>
    <t>NEDC: FSV C-Class</t>
  </si>
  <si>
    <t>SAE J1711: FSV C-Class</t>
  </si>
  <si>
    <t>Mid-Size</t>
  </si>
  <si>
    <r>
      <t>100% x ES</t>
    </r>
    <r>
      <rPr>
        <vertAlign val="subscript"/>
        <sz val="10"/>
        <rFont val="Arial"/>
        <family val="2"/>
      </rPr>
      <t>f</t>
    </r>
    <r>
      <rPr>
        <sz val="10"/>
        <rFont val="Arial"/>
        <family val="2"/>
      </rPr>
      <t>=</t>
    </r>
  </si>
  <si>
    <r>
      <t>100% x ES</t>
    </r>
    <r>
      <rPr>
        <vertAlign val="subscript"/>
        <sz val="10"/>
        <rFont val="Arial"/>
        <family val="2"/>
      </rPr>
      <t>el</t>
    </r>
    <r>
      <rPr>
        <sz val="10"/>
        <rFont val="Arial"/>
        <family val="2"/>
      </rPr>
      <t>=</t>
    </r>
  </si>
  <si>
    <t>Resize: No=0, Yes =1</t>
  </si>
  <si>
    <r>
      <t>Frontal Area in m</t>
    </r>
    <r>
      <rPr>
        <vertAlign val="superscript"/>
        <sz val="10"/>
        <rFont val="Arial"/>
        <family val="2"/>
      </rPr>
      <t>2</t>
    </r>
  </si>
  <si>
    <t>Charging efficiency of the battery CE</t>
  </si>
  <si>
    <t>Tailpipe GHG emissions per km</t>
  </si>
  <si>
    <t>Upstream GHG emissions per km</t>
  </si>
  <si>
    <t>Use phase GHG emissions per km</t>
  </si>
  <si>
    <t>For ICEV-G, HEV, and PHEV only:</t>
  </si>
  <si>
    <t>Flat AHSS</t>
  </si>
  <si>
    <t>Long &amp; special AHSS</t>
  </si>
  <si>
    <t>Cast AHSS</t>
  </si>
  <si>
    <t>Cast iron and steel</t>
  </si>
  <si>
    <t>Rolled magnesium</t>
  </si>
  <si>
    <t>Cast magnesium</t>
  </si>
  <si>
    <t>Plastic</t>
  </si>
  <si>
    <t>Rubber</t>
  </si>
  <si>
    <t>Glass</t>
  </si>
  <si>
    <t>Copper</t>
  </si>
  <si>
    <t>Fuel cell</t>
  </si>
  <si>
    <t>Fluids</t>
  </si>
  <si>
    <t>Stainless steel</t>
  </si>
  <si>
    <t>Fiber Reinforced Composite kc</t>
  </si>
  <si>
    <t>Collected prompt</t>
  </si>
  <si>
    <t>Collected end-of-life</t>
  </si>
  <si>
    <r>
      <t xml:space="preserve">scrap output </t>
    </r>
    <r>
      <rPr>
        <b/>
        <i/>
        <sz val="10"/>
        <rFont val="Arial"/>
        <family val="2"/>
      </rPr>
      <t>s</t>
    </r>
    <r>
      <rPr>
        <b/>
        <i/>
        <vertAlign val="superscript"/>
        <sz val="10"/>
        <rFont val="Arial"/>
        <family val="2"/>
      </rPr>
      <t>prompt</t>
    </r>
  </si>
  <si>
    <r>
      <t xml:space="preserve">scrap output </t>
    </r>
    <r>
      <rPr>
        <b/>
        <i/>
        <sz val="10"/>
        <rFont val="Arial"/>
        <family val="2"/>
      </rPr>
      <t>s</t>
    </r>
    <r>
      <rPr>
        <b/>
        <i/>
        <vertAlign val="superscript"/>
        <sz val="10"/>
        <rFont val="Arial"/>
        <family val="2"/>
      </rPr>
      <t>eol</t>
    </r>
  </si>
  <si>
    <t xml:space="preserve">Total </t>
  </si>
  <si>
    <r>
      <t xml:space="preserve">scrap inputs </t>
    </r>
    <r>
      <rPr>
        <b/>
        <i/>
        <sz val="10"/>
        <rFont val="Arial"/>
        <family val="2"/>
      </rPr>
      <t>s</t>
    </r>
    <r>
      <rPr>
        <b/>
        <i/>
        <vertAlign val="superscript"/>
        <sz val="10"/>
        <rFont val="Arial"/>
        <family val="2"/>
      </rPr>
      <t>in</t>
    </r>
  </si>
  <si>
    <t>End-of-life scrap</t>
  </si>
  <si>
    <t>Scrap input to</t>
  </si>
  <si>
    <r>
      <t xml:space="preserve">secondary production </t>
    </r>
    <r>
      <rPr>
        <b/>
        <i/>
        <sz val="10"/>
        <rFont val="Arial"/>
        <family val="2"/>
      </rPr>
      <t>s</t>
    </r>
    <r>
      <rPr>
        <b/>
        <i/>
        <vertAlign val="superscript"/>
        <sz val="10"/>
        <rFont val="Arial"/>
        <family val="2"/>
      </rPr>
      <t>s</t>
    </r>
  </si>
  <si>
    <t>in % of unfinished material</t>
  </si>
  <si>
    <t>EOL scrap</t>
  </si>
  <si>
    <r>
      <t>displacement rate β</t>
    </r>
    <r>
      <rPr>
        <b/>
        <vertAlign val="subscript"/>
        <sz val="10"/>
        <rFont val="Arial"/>
        <family val="2"/>
      </rPr>
      <t>prompt</t>
    </r>
  </si>
  <si>
    <r>
      <t>displacement rate β</t>
    </r>
    <r>
      <rPr>
        <b/>
        <vertAlign val="subscript"/>
        <sz val="10"/>
        <rFont val="Arial"/>
        <family val="2"/>
      </rPr>
      <t>eol</t>
    </r>
  </si>
  <si>
    <t>ABS</t>
  </si>
  <si>
    <t>EPDM</t>
  </si>
  <si>
    <t>Liquid Epoxy</t>
  </si>
  <si>
    <t>GPPS</t>
  </si>
  <si>
    <t>HIPS</t>
  </si>
  <si>
    <t>HDPE</t>
  </si>
  <si>
    <t>LDPE</t>
  </si>
  <si>
    <t>LLDPE</t>
  </si>
  <si>
    <t>Nylon 6</t>
  </si>
  <si>
    <t>Nylon 66</t>
  </si>
  <si>
    <t>PC</t>
  </si>
  <si>
    <t>PET</t>
  </si>
  <si>
    <t>PP</t>
  </si>
  <si>
    <t>PUR Flexible Foam</t>
  </si>
  <si>
    <t>PUR Rigid Foam</t>
  </si>
  <si>
    <t>PVC</t>
  </si>
  <si>
    <t>w% content</t>
  </si>
  <si>
    <t>Blow Molding (HDPE)</t>
  </si>
  <si>
    <t>Calendaring (PVC)</t>
  </si>
  <si>
    <t>Compression Molding</t>
  </si>
  <si>
    <t>Extrusion (HDPE)</t>
  </si>
  <si>
    <t>Extrusion (PVC)</t>
  </si>
  <si>
    <t>Extrusion (PP)</t>
  </si>
  <si>
    <t>Injection Molding (HDPE)</t>
  </si>
  <si>
    <t>Injection Molding (PVC)</t>
  </si>
  <si>
    <t>Injection Molding (PP)</t>
  </si>
  <si>
    <t>ABS Resin</t>
  </si>
  <si>
    <t>EPDM Resin</t>
  </si>
  <si>
    <t>Liquid Epoxy Resin</t>
  </si>
  <si>
    <t>GPPS Resin</t>
  </si>
  <si>
    <t>HIPS Resin</t>
  </si>
  <si>
    <t>HDPE Resin</t>
  </si>
  <si>
    <t>LDPE Resin</t>
  </si>
  <si>
    <t>LLDPE Resin</t>
  </si>
  <si>
    <t>Nylon 6 Resin</t>
  </si>
  <si>
    <t>Nylon 66 Resin</t>
  </si>
  <si>
    <t>PC Resin</t>
  </si>
  <si>
    <t>PET Resin</t>
  </si>
  <si>
    <t>PP Resin</t>
  </si>
  <si>
    <t>PVC Resin</t>
  </si>
  <si>
    <t>Source: GREET 2_2012</t>
  </si>
  <si>
    <t>Polymer Production and Forming</t>
  </si>
  <si>
    <t>Engine Oil</t>
  </si>
  <si>
    <t>Brake Fluid</t>
  </si>
  <si>
    <t>Transmission Fluid</t>
  </si>
  <si>
    <t>Powertrain Coolant</t>
  </si>
  <si>
    <t>Windshield Fluid</t>
  </si>
  <si>
    <t xml:space="preserve">    ICEVs</t>
  </si>
  <si>
    <t xml:space="preserve">    HEVs</t>
  </si>
  <si>
    <t xml:space="preserve">    PHEVs</t>
  </si>
  <si>
    <t xml:space="preserve">    EVs</t>
  </si>
  <si>
    <t xml:space="preserve">    FCVs</t>
  </si>
  <si>
    <t>in kg of fluids per vehicle</t>
  </si>
  <si>
    <t># of replacements</t>
  </si>
  <si>
    <t>ICEV=0, HEV=1, FCV=2, PHEV=3, BEV=4</t>
  </si>
  <si>
    <t>Tires</t>
  </si>
  <si>
    <t>Fluids Midsize</t>
  </si>
  <si>
    <t>Fluids Compact</t>
  </si>
  <si>
    <t>Fluids SUV</t>
  </si>
  <si>
    <t>kg of fluids per vehicle</t>
  </si>
  <si>
    <t>in km</t>
  </si>
  <si>
    <t>Change interval</t>
  </si>
  <si>
    <t># of tire sets</t>
  </si>
  <si>
    <t>Mass of 1 tire</t>
  </si>
  <si>
    <t>Paint Production</t>
  </si>
  <si>
    <t>Painting</t>
  </si>
  <si>
    <t>Heating</t>
  </si>
  <si>
    <t>VAC and Lighting</t>
  </si>
  <si>
    <t>Material Handling</t>
  </si>
  <si>
    <t>Welding</t>
  </si>
  <si>
    <t>Compressed Air</t>
  </si>
  <si>
    <t>Number of batteries</t>
  </si>
  <si>
    <t>Vehicle mass VM</t>
  </si>
  <si>
    <t>Default  ∆M=</t>
  </si>
  <si>
    <t>Value from look-up table to the right</t>
  </si>
  <si>
    <t>Default VM=</t>
  </si>
  <si>
    <t>VM w/o battery, fuel cell, fluids, and tires</t>
  </si>
  <si>
    <t>Rubber (excluding tires)</t>
  </si>
  <si>
    <t>End of Life</t>
  </si>
  <si>
    <t>Results</t>
  </si>
  <si>
    <t>Prod &amp; EOL</t>
  </si>
  <si>
    <t>Prod &amp; Use</t>
  </si>
  <si>
    <t>Total Mass Savings (in kg and % of VMb)</t>
  </si>
  <si>
    <t>Material Composition of Contender Vehicles</t>
  </si>
  <si>
    <t>BOM-based data entry?</t>
  </si>
  <si>
    <t>Scenario 1</t>
  </si>
  <si>
    <t>Scenario 2</t>
  </si>
  <si>
    <t>Scenario 3</t>
  </si>
  <si>
    <t>Secondary mass savings</t>
  </si>
  <si>
    <t>Lifetime driving distance</t>
  </si>
  <si>
    <t>C 1</t>
  </si>
  <si>
    <t>C 2</t>
  </si>
  <si>
    <t>Scenario</t>
  </si>
  <si>
    <r>
      <t xml:space="preserve">        </t>
    </r>
    <r>
      <rPr>
        <b/>
        <sz val="10"/>
        <rFont val="Verdana"/>
        <family val="2"/>
      </rPr>
      <t xml:space="preserve">Important note 1: </t>
    </r>
    <r>
      <rPr>
        <sz val="10"/>
        <rFont val="Verdana"/>
        <family val="2"/>
      </rPr>
      <t>Make sure that the power train and vehicle class selections on the Data Input Spreadsheet matches the vehicle mass VM on this spreadsheet.</t>
    </r>
  </si>
  <si>
    <t>Suggested value for selected power train</t>
  </si>
  <si>
    <t xml:space="preserve"> Removed material ∆M (in kg)</t>
  </si>
  <si>
    <t xml:space="preserve"> Removed material ∆M (in lbs)</t>
  </si>
  <si>
    <t xml:space="preserve"> Default body structure (in kg)</t>
  </si>
  <si>
    <t xml:space="preserve"> Default body structure (in lbs)</t>
  </si>
  <si>
    <t>Mass of Removed Material</t>
  </si>
  <si>
    <r>
      <rPr>
        <b/>
        <sz val="10"/>
        <color rgb="FFFF0000"/>
        <rFont val="Arial"/>
        <family val="2"/>
      </rPr>
      <t>Default</t>
    </r>
    <r>
      <rPr>
        <b/>
        <sz val="10"/>
        <rFont val="Arial"/>
        <family val="2"/>
      </rPr>
      <t xml:space="preserve"> fuel energy demand (ED</t>
    </r>
    <r>
      <rPr>
        <b/>
        <vertAlign val="subscript"/>
        <sz val="10"/>
        <rFont val="Arial"/>
        <family val="2"/>
      </rPr>
      <t>f</t>
    </r>
    <r>
      <rPr>
        <b/>
        <sz val="10"/>
        <rFont val="Arial"/>
        <family val="2"/>
      </rPr>
      <t xml:space="preserve"> in MJ</t>
    </r>
    <r>
      <rPr>
        <b/>
        <vertAlign val="subscript"/>
        <sz val="10"/>
        <rFont val="Arial"/>
        <family val="2"/>
      </rPr>
      <t>f</t>
    </r>
    <r>
      <rPr>
        <b/>
        <sz val="10"/>
        <rFont val="Arial"/>
        <family val="2"/>
      </rPr>
      <t>/100km)</t>
    </r>
  </si>
  <si>
    <r>
      <rPr>
        <b/>
        <sz val="10"/>
        <color rgb="FFFF0000"/>
        <rFont val="Arial"/>
        <family val="2"/>
      </rPr>
      <t>Default</t>
    </r>
    <r>
      <rPr>
        <b/>
        <sz val="10"/>
        <rFont val="Arial"/>
        <family val="2"/>
      </rPr>
      <t xml:space="preserve"> Vehicle Mass VM</t>
    </r>
    <r>
      <rPr>
        <b/>
        <vertAlign val="subscript"/>
        <sz val="10"/>
        <rFont val="Arial"/>
        <family val="2"/>
      </rPr>
      <t>b</t>
    </r>
    <r>
      <rPr>
        <b/>
        <sz val="10"/>
        <rFont val="Arial"/>
        <family val="2"/>
      </rPr>
      <t xml:space="preserve"> in kg</t>
    </r>
  </si>
  <si>
    <r>
      <rPr>
        <b/>
        <sz val="10"/>
        <color rgb="FFFF0000"/>
        <rFont val="Arial"/>
        <family val="2"/>
      </rPr>
      <t>Default</t>
    </r>
    <r>
      <rPr>
        <b/>
        <sz val="10"/>
        <rFont val="Arial"/>
        <family val="2"/>
      </rPr>
      <t xml:space="preserve"> Battery Size BS</t>
    </r>
    <r>
      <rPr>
        <b/>
        <vertAlign val="subscript"/>
        <sz val="10"/>
        <rFont val="Arial"/>
        <family val="2"/>
      </rPr>
      <t>b</t>
    </r>
    <r>
      <rPr>
        <b/>
        <sz val="10"/>
        <rFont val="Arial"/>
        <family val="2"/>
      </rPr>
      <t xml:space="preserve"> in kWh</t>
    </r>
  </si>
  <si>
    <t>Default</t>
  </si>
  <si>
    <t>Unit</t>
  </si>
  <si>
    <t>Steel</t>
  </si>
  <si>
    <t>Aluminum</t>
  </si>
  <si>
    <t>Magnesium</t>
  </si>
  <si>
    <t>Activity Level</t>
  </si>
  <si>
    <t>MJ lifecycle</t>
  </si>
  <si>
    <t>Select China power grid</t>
  </si>
  <si>
    <t>Select coal power</t>
  </si>
  <si>
    <t>Select EU power grid</t>
  </si>
  <si>
    <t>Select India power grid</t>
  </si>
  <si>
    <t>Select Japan power grid</t>
  </si>
  <si>
    <t>Select US power grid</t>
  </si>
  <si>
    <t>Select US "green" power mix</t>
  </si>
  <si>
    <t>Value</t>
  </si>
  <si>
    <t>kg resin produced / kg plastic in vehicle</t>
  </si>
  <si>
    <t>kg formed/kg plastic in vehicle</t>
  </si>
  <si>
    <t>Compr. hydr. production</t>
  </si>
  <si>
    <t>Gasoline production</t>
  </si>
  <si>
    <t>Diesel production</t>
  </si>
  <si>
    <t>Diesel combustion</t>
  </si>
  <si>
    <t>Gasoline combustion</t>
  </si>
  <si>
    <t>Biodiesel combustion</t>
  </si>
  <si>
    <t>Bioethanol combustion</t>
  </si>
  <si>
    <t>Hydrogen use</t>
  </si>
  <si>
    <t>Activity level</t>
  </si>
  <si>
    <t>MJ/unit</t>
  </si>
  <si>
    <t>Volumetric energy content</t>
  </si>
  <si>
    <t>Change in fuel economy ΔFE</t>
  </si>
  <si>
    <t>Bioethanol</t>
  </si>
  <si>
    <t>Selected fuel mix</t>
  </si>
  <si>
    <t>Gasoline/bioethanol mix</t>
  </si>
  <si>
    <t>Diesel/biodiesel mix</t>
  </si>
  <si>
    <t>Selected vehicle type</t>
  </si>
  <si>
    <t>vol%</t>
  </si>
  <si>
    <t>MJ%</t>
  </si>
  <si>
    <t xml:space="preserve">Total fuel consumption </t>
  </si>
  <si>
    <t>Corn ethanol</t>
  </si>
  <si>
    <t>Sugarcane ethanol</t>
  </si>
  <si>
    <t>Cellulosic ethanol</t>
  </si>
  <si>
    <t>Soybean biodiesel</t>
  </si>
  <si>
    <t>Energy content of liquid fuel mix</t>
  </si>
  <si>
    <t>USE</t>
  </si>
  <si>
    <t>EOL RECYCLING</t>
  </si>
  <si>
    <t xml:space="preserve">EOL </t>
  </si>
  <si>
    <t>Prompt</t>
  </si>
  <si>
    <t>PROMPT RECYCLING</t>
  </si>
  <si>
    <t>Baseline Vehicle Mass</t>
  </si>
  <si>
    <r>
      <t xml:space="preserve"> Vehicle mass VM</t>
    </r>
    <r>
      <rPr>
        <vertAlign val="subscript"/>
        <sz val="10"/>
        <rFont val="Arial"/>
        <family val="2"/>
      </rPr>
      <t>b</t>
    </r>
    <r>
      <rPr>
        <sz val="10"/>
        <rFont val="Arial"/>
        <family val="2"/>
      </rPr>
      <t xml:space="preserve"> (in kg)</t>
    </r>
  </si>
  <si>
    <r>
      <t xml:space="preserve"> Vehicle mass VM</t>
    </r>
    <r>
      <rPr>
        <vertAlign val="subscript"/>
        <sz val="10"/>
        <rFont val="Arial"/>
        <family val="2"/>
      </rPr>
      <t>b</t>
    </r>
    <r>
      <rPr>
        <sz val="10"/>
        <rFont val="Arial"/>
        <family val="2"/>
      </rPr>
      <t xml:space="preserve"> (in lbs)</t>
    </r>
  </si>
  <si>
    <r>
      <t xml:space="preserve"> Default VM</t>
    </r>
    <r>
      <rPr>
        <vertAlign val="subscript"/>
        <sz val="10"/>
        <rFont val="Arial"/>
        <family val="2"/>
      </rPr>
      <t>b</t>
    </r>
    <r>
      <rPr>
        <sz val="10"/>
        <rFont val="Arial"/>
        <family val="2"/>
      </rPr>
      <t xml:space="preserve"> (in kg)</t>
    </r>
  </si>
  <si>
    <t>Seconday</t>
  </si>
  <si>
    <t>Shipped Material</t>
  </si>
  <si>
    <t>All in kg</t>
  </si>
  <si>
    <t>PLASTICS PRODUCTION</t>
  </si>
  <si>
    <t>MATERIALS PRODUCTION</t>
  </si>
  <si>
    <t>FLUIDS PRODUCTION</t>
  </si>
  <si>
    <t>ASSEMBLY</t>
  </si>
  <si>
    <t>car</t>
  </si>
  <si>
    <t>MATERIALS FINISHING</t>
  </si>
  <si>
    <t>Aluminum casting</t>
  </si>
  <si>
    <t>Aluminum extrusion</t>
  </si>
  <si>
    <t>aluminum rolling</t>
  </si>
  <si>
    <t>CFRP finishing</t>
  </si>
  <si>
    <t>Copper finishing</t>
  </si>
  <si>
    <t>GFRP finishing</t>
  </si>
  <si>
    <t>Glass finishing</t>
  </si>
  <si>
    <t>Magnesium casting</t>
  </si>
  <si>
    <t>Magnesium rolling</t>
  </si>
  <si>
    <t>Rubber compression molding</t>
  </si>
  <si>
    <t>Rubber injection molding</t>
  </si>
  <si>
    <t>SMC finishing</t>
  </si>
  <si>
    <t>Steel HDG</t>
  </si>
  <si>
    <t>Steel HRC</t>
  </si>
  <si>
    <t>Steel casting</t>
  </si>
  <si>
    <t>Steel long</t>
  </si>
  <si>
    <t>Stainless mill and machining</t>
  </si>
  <si>
    <t>% steel in tires</t>
  </si>
  <si>
    <t>Tires (long steel/rubber molding)</t>
  </si>
  <si>
    <t>PLASTICS FORMING</t>
  </si>
  <si>
    <t>GHG Emissions (in kg CO2 eq)</t>
  </si>
  <si>
    <t>KWh/kg</t>
  </si>
  <si>
    <t>Total MJ</t>
  </si>
  <si>
    <t>Fossil MJ</t>
  </si>
  <si>
    <t>Battery recycling, hydrometallurigical</t>
  </si>
  <si>
    <t>Battery recycling, pyrometallurgical</t>
  </si>
  <si>
    <t>Electricity production, China</t>
  </si>
  <si>
    <t>Electricity production, coal</t>
  </si>
  <si>
    <t>Electricity production, Europe</t>
  </si>
  <si>
    <t>Electricity production, India</t>
  </si>
  <si>
    <t>Electricity production, Japan</t>
  </si>
  <si>
    <t>Electricity production, USA</t>
  </si>
  <si>
    <t>Electricity production USA green mix</t>
  </si>
  <si>
    <t>Biodiesel production, rapeseed (EU)</t>
  </si>
  <si>
    <t>Biodiesel production, soybean (US)</t>
  </si>
  <si>
    <t>Bioethanol production, cellulose (US)</t>
  </si>
  <si>
    <t>Bioethanol production, corn (US)</t>
  </si>
  <si>
    <t>Bioethanol production, sugar (Brazil)</t>
  </si>
  <si>
    <t>Aluminum, secondary ingot</t>
  </si>
  <si>
    <t>CFRP, primary</t>
  </si>
  <si>
    <t>CFRP, secondary</t>
  </si>
  <si>
    <t>GFRP, primary</t>
  </si>
  <si>
    <t>GFRP, secondary</t>
  </si>
  <si>
    <t>Magnesium, electrolytic</t>
  </si>
  <si>
    <t>Magnesium, Pidgeon</t>
  </si>
  <si>
    <t>Magnesium, secondary</t>
  </si>
  <si>
    <t>SMC, primary</t>
  </si>
  <si>
    <t>SMC, secondary</t>
  </si>
  <si>
    <t>Stainless steel, EAF</t>
  </si>
  <si>
    <t>Stainless steel, BF/BOF</t>
  </si>
  <si>
    <t>Steel, BF/BOF slab</t>
  </si>
  <si>
    <t>Steel, EAF slab</t>
  </si>
  <si>
    <t>Tires, rubber</t>
  </si>
  <si>
    <t>Tires, steel</t>
  </si>
  <si>
    <r>
      <t xml:space="preserve">        </t>
    </r>
    <r>
      <rPr>
        <b/>
        <sz val="10"/>
        <rFont val="Verdana"/>
        <family val="2"/>
      </rPr>
      <t xml:space="preserve">Important note 2: </t>
    </r>
    <r>
      <rPr>
        <sz val="10"/>
        <rFont val="Verdana"/>
        <family val="2"/>
      </rPr>
      <t>Don't forget to select the Vehicle Use parameters on the Data Input Spreadsheet.</t>
    </r>
  </si>
  <si>
    <t>Cellulose (US)</t>
  </si>
  <si>
    <t xml:space="preserve"> kgCO2eq/unit</t>
  </si>
  <si>
    <r>
      <t>kg</t>
    </r>
    <r>
      <rPr>
        <vertAlign val="subscript"/>
        <sz val="10"/>
        <rFont val="Arial"/>
        <family val="2"/>
      </rPr>
      <t>in</t>
    </r>
    <r>
      <rPr>
        <sz val="10"/>
        <rFont val="Arial"/>
        <family val="2"/>
      </rPr>
      <t>/kg</t>
    </r>
    <r>
      <rPr>
        <vertAlign val="subscript"/>
        <sz val="10"/>
        <rFont val="Arial"/>
        <family val="2"/>
      </rPr>
      <t>out</t>
    </r>
  </si>
  <si>
    <t>Energy density</t>
  </si>
  <si>
    <t>Energy from electricity</t>
  </si>
  <si>
    <t>China</t>
  </si>
  <si>
    <t>Fraction</t>
  </si>
  <si>
    <t>Lifetime vehicle mileage TM</t>
  </si>
  <si>
    <t>Battery life</t>
  </si>
  <si>
    <t>AHSS  ks</t>
  </si>
  <si>
    <t>FRP kc</t>
  </si>
  <si>
    <t>If yes, only select use phase parameters</t>
  </si>
  <si>
    <t>and then go to BOM Entry spreadsheet.</t>
  </si>
  <si>
    <t>TOTAL</t>
  </si>
  <si>
    <t>Yes</t>
  </si>
  <si>
    <t>Composition of Removed Material</t>
  </si>
  <si>
    <t>Material Composition (in %)</t>
  </si>
  <si>
    <t>Battery (for BEV and PHEV only)</t>
  </si>
  <si>
    <t>For PHEV only</t>
  </si>
  <si>
    <t>Liquid Fuel Densities</t>
  </si>
  <si>
    <t>Fraction of flat steel that is HRC</t>
  </si>
  <si>
    <t>Recycling methodology selection</t>
  </si>
  <si>
    <t>% pyrometallurgically recycled</t>
  </si>
  <si>
    <t>Fluids of Chosen Vehicle Type and Size</t>
  </si>
  <si>
    <t>Change Interval</t>
  </si>
  <si>
    <t>EXPERT DATA INPUT</t>
  </si>
  <si>
    <t>MJ/MJ liquid fuel</t>
  </si>
  <si>
    <t>Malen &amp; Geyer ICEV Powertrain Model 2016</t>
  </si>
  <si>
    <t>Hyzem, NEDC for HEV, FCV</t>
  </si>
  <si>
    <t>WLTP 3b: Compact</t>
  </si>
  <si>
    <t>WLTP 3b: Midsize</t>
  </si>
  <si>
    <t>WLTP 3b: SUV</t>
  </si>
  <si>
    <t>Aluminum, primary ingot, GLO</t>
  </si>
  <si>
    <t>Aluminum, primary ingot, RoW</t>
  </si>
  <si>
    <t>Source</t>
  </si>
  <si>
    <t>RoW: Aluminium ingot mix IAI (2010) IAI</t>
  </si>
  <si>
    <t>GLO: Aluminium Ingot mix IAI 2010</t>
  </si>
  <si>
    <t>EU-27: Aluminium recycling 2010 EAA</t>
  </si>
  <si>
    <t>GLO: Lithium nickel cobalt manganese oxide cell (scaled to 100 kg battery weight) PE &lt;p-agg&gt;</t>
  </si>
  <si>
    <t>DE: Carbon Fiber (CF; from PAN; standard strength) PE</t>
  </si>
  <si>
    <t>EU-27: Copper Wire Mix DKI/ECI</t>
  </si>
  <si>
    <t>RER: Polyamide 6 GF30 (PA 6 GF30) ELCD/PlasticsEurope &lt;p-agg&gt;</t>
  </si>
  <si>
    <t>EU-27: Float flat glass ts</t>
  </si>
  <si>
    <t>NO: MAGNESIUM PIG PE</t>
  </si>
  <si>
    <t>CN: Magnesium ts</t>
  </si>
  <si>
    <t>Version 4</t>
  </si>
  <si>
    <t>DE:Styrene-Butadiene Rubber (SBR) Mix ts</t>
  </si>
  <si>
    <t>DE: Sheet Moulding Compound resin mat (SMC) ts</t>
  </si>
  <si>
    <t>RER: acrylonite-butadiene-styrene granulate (ABS) ELCD/PlasticsEurope</t>
  </si>
  <si>
    <t>DE: PP/EPDM, TPE-O Mix ts</t>
  </si>
  <si>
    <t>Epoxy resin PlasticsEurope</t>
  </si>
  <si>
    <t>EU-27: GPPS Plasticseurope</t>
  </si>
  <si>
    <t>RER: PE-HD Plastics Europe</t>
  </si>
  <si>
    <t>EU-27: HIPS PlasticsEurope</t>
  </si>
  <si>
    <t>RER: PE-LD PlasticsEurope</t>
  </si>
  <si>
    <t>RER: PE-LLD Plastics Europe</t>
  </si>
  <si>
    <t>RER: PA 6 Plastics Europe</t>
  </si>
  <si>
    <t>RER: PA 6.6 Plastcis Europe</t>
  </si>
  <si>
    <t>EU-25: PC Plastics Europe</t>
  </si>
  <si>
    <t>RER: PET amorph Plastics Europe</t>
  </si>
  <si>
    <t>RER: PP PlasticsEurope</t>
  </si>
  <si>
    <t>RER: PU rigid foam Plastics Europe</t>
  </si>
  <si>
    <t>RER: PU flexible foam PlasticsEurope</t>
  </si>
  <si>
    <t>RER: suspension, S-PVC Plastics Europe</t>
  </si>
  <si>
    <t>EU-27: Lubricants at Refinery ts</t>
  </si>
  <si>
    <t>EU-27: Ethylene glycol Plastics Europe and EU-27: Water (deslinated, deionised)</t>
  </si>
  <si>
    <t>EU-27: Ethylene glycol Plastics Europe, DE: Butylglycol PE, and EU-27: Water (deslinated, deionised)</t>
  </si>
  <si>
    <t>DE: Rapeseed methyl ester (RME) ts</t>
  </si>
  <si>
    <t>US: Soy methylester (SME) by-product Glycerine (price, C mass allocated, estimation) PE</t>
  </si>
  <si>
    <t>EU-27: Diesel mix at refinery ts</t>
  </si>
  <si>
    <t>US: Ethanol (from corn) (DDGS) PE &lt;p-agg&gt;</t>
  </si>
  <si>
    <t>BR: Ethanol from sugar cane   PE</t>
  </si>
  <si>
    <t>EU-27: Gasoline mix (regular) at refinery ts</t>
  </si>
  <si>
    <t>EU-27: Hydrogen PE steam reforming - natural gas (uncompressed)</t>
  </si>
  <si>
    <t>CN: Electricity grid mix PE</t>
  </si>
  <si>
    <t>US: Electricity from hard coal ts</t>
  </si>
  <si>
    <t>EU-27: Electricity grid mix ts</t>
  </si>
  <si>
    <t>IN: Electricity grid mix ts</t>
  </si>
  <si>
    <t>JP: Electricity grid mix ts</t>
  </si>
  <si>
    <t>US: Electricity grid mix ts</t>
  </si>
  <si>
    <t>US Green Mix</t>
  </si>
  <si>
    <t>Combustion - BioDiesel &lt;u-so&gt;</t>
  </si>
  <si>
    <t>Combustion - Diesel &lt;u-so&gt;</t>
  </si>
  <si>
    <t>Combustion - Ethanol (as gasoline) &lt;u-so&gt;</t>
  </si>
  <si>
    <t>Combustion - Gasoline &lt;u-so&gt;</t>
  </si>
  <si>
    <t>RER: stainless steel cold rolled coil (430) Eurofer ctg</t>
  </si>
  <si>
    <t>NA</t>
  </si>
  <si>
    <t>Ecoinvent 2.2</t>
  </si>
  <si>
    <t>DE: Aluminium die-cast part ts &lt;u-so&gt;, US: Electricity grid mix ts, US: Thermal energy from natural gas ts</t>
  </si>
  <si>
    <t>EU-27: Aluminium extrusion profile ts &lt;p-agg&gt;</t>
  </si>
  <si>
    <t>EU-27: Aluminium sheet ts &lt;p-agg&gt;</t>
  </si>
  <si>
    <t>DE: Magnesium die-cast part PE &lt;u-so&gt;, US: Electricity grid mix ts (excludes cover gas)</t>
  </si>
  <si>
    <t>GREET 2 2012</t>
  </si>
  <si>
    <t>Fraction of rubber compression molded</t>
  </si>
  <si>
    <t>WSA</t>
  </si>
  <si>
    <t>Version 4 (Farrell et al. 2006a, 2006b, Wang 2005)</t>
  </si>
  <si>
    <t>WSA 2010</t>
  </si>
  <si>
    <t>Final Material Composition</t>
  </si>
  <si>
    <t>BEV, PHEV: FSV A-Class, FSV C-Class</t>
  </si>
  <si>
    <t>miles</t>
  </si>
  <si>
    <t>Secondary Mass savings s</t>
  </si>
  <si>
    <t>Powertrain, Vehicle Class,  &amp; Driving Cycle</t>
  </si>
  <si>
    <t xml:space="preserve"> of Primary Mass Savings</t>
  </si>
  <si>
    <t>Biofuel Content</t>
  </si>
  <si>
    <t>Electricity Source</t>
  </si>
  <si>
    <t xml:space="preserve"> (for BEV and PHEV only):</t>
  </si>
  <si>
    <t xml:space="preserve"> Scenario Recorder</t>
  </si>
  <si>
    <t>Guide to Inputs/Outputs</t>
  </si>
  <si>
    <t>Bill of Materials</t>
  </si>
  <si>
    <t>Rapeseed biodiesel</t>
  </si>
  <si>
    <t>Number</t>
  </si>
  <si>
    <t>ScenarioSettings\EOL_Steel</t>
  </si>
  <si>
    <t>S87</t>
  </si>
  <si>
    <t>ScenarioSettings\EOL_Mg</t>
  </si>
  <si>
    <t>S86</t>
  </si>
  <si>
    <t>ScenarioSettings\EOL_Batt_Pyro</t>
  </si>
  <si>
    <t>S85</t>
  </si>
  <si>
    <t>ScenarioSettings\EOL_Batt_Hydro</t>
  </si>
  <si>
    <t>S84</t>
  </si>
  <si>
    <t>ScenarioSettings\EOL_Alum</t>
  </si>
  <si>
    <t>S83</t>
  </si>
  <si>
    <t>ScenarioSettings\USGreen</t>
  </si>
  <si>
    <t>S82</t>
  </si>
  <si>
    <t>ScenarioSettings\US</t>
  </si>
  <si>
    <t>S81</t>
  </si>
  <si>
    <t>ScenarioSettings\JP</t>
  </si>
  <si>
    <t>S80</t>
  </si>
  <si>
    <t>ScenarioSettings\IN</t>
  </si>
  <si>
    <t>S79</t>
  </si>
  <si>
    <t>ScenarioSettings\EU</t>
  </si>
  <si>
    <t>S78</t>
  </si>
  <si>
    <t>ScenarioSettings\Coal</t>
  </si>
  <si>
    <t>S77</t>
  </si>
  <si>
    <t>ScenarioSettings\CN</t>
  </si>
  <si>
    <t>S76</t>
  </si>
  <si>
    <t>ScenarioSettings\H2</t>
  </si>
  <si>
    <t>S75</t>
  </si>
  <si>
    <t>ScenarioSettings\Gasol</t>
  </si>
  <si>
    <t>S74</t>
  </si>
  <si>
    <t>ScenarioSettings\Et_Sug</t>
  </si>
  <si>
    <t>S73</t>
  </si>
  <si>
    <t>ScenarioSettings\Et_Corn</t>
  </si>
  <si>
    <t>S72</t>
  </si>
  <si>
    <t>ScenarioSettings\Et_Cel</t>
  </si>
  <si>
    <t>S71</t>
  </si>
  <si>
    <t>ScenarioSettings\Diesel</t>
  </si>
  <si>
    <t>S70</t>
  </si>
  <si>
    <t>ScenarioSettings\BD_Soy</t>
  </si>
  <si>
    <t>S69</t>
  </si>
  <si>
    <t>ScenarioSettings\BD_RS</t>
  </si>
  <si>
    <t>S68</t>
  </si>
  <si>
    <t>ScenarioSettings\Prompt_Steel</t>
  </si>
  <si>
    <t>S67</t>
  </si>
  <si>
    <t>ScenarioSettings\Prompt_Mg</t>
  </si>
  <si>
    <t>S66</t>
  </si>
  <si>
    <t>ScenarioSettings\Prompt_Batt_Pyro</t>
  </si>
  <si>
    <t>S65</t>
  </si>
  <si>
    <t>ScenarioSettings\Prompt_Batt_Hydro</t>
  </si>
  <si>
    <t>S64</t>
  </si>
  <si>
    <t>ScenarioSettings\Prompt_Alum</t>
  </si>
  <si>
    <t>S63</t>
  </si>
  <si>
    <t>ScenarioSettings\INJPVC</t>
  </si>
  <si>
    <t>S62</t>
  </si>
  <si>
    <t>ScenarioSettings\INJPP</t>
  </si>
  <si>
    <t>S61</t>
  </si>
  <si>
    <t>ScenarioSettings\INJHDPE</t>
  </si>
  <si>
    <t>S60</t>
  </si>
  <si>
    <t>ScenarioSettings\EXTPVC</t>
  </si>
  <si>
    <t>S59</t>
  </si>
  <si>
    <t>ScenarioSettings\EXTPP</t>
  </si>
  <si>
    <t>S58</t>
  </si>
  <si>
    <t>ScenarioSettings\EXTHDPE</t>
  </si>
  <si>
    <t>S57</t>
  </si>
  <si>
    <t>ScenarioSettings\CM</t>
  </si>
  <si>
    <t>S56</t>
  </si>
  <si>
    <t>ScenarioSettings\CAL</t>
  </si>
  <si>
    <t>S55</t>
  </si>
  <si>
    <t>ScenarioSettings\BM</t>
  </si>
  <si>
    <t>S54</t>
  </si>
  <si>
    <t>ScenarioSettings\Steel_Long</t>
  </si>
  <si>
    <t>S53</t>
  </si>
  <si>
    <t>ScenarioSettings\Steel_HRC</t>
  </si>
  <si>
    <t>S52</t>
  </si>
  <si>
    <t>ScenarioSettings\Steel_HDG</t>
  </si>
  <si>
    <t>S51</t>
  </si>
  <si>
    <t>ScenarioSettings\Steel_Cast</t>
  </si>
  <si>
    <t>S50</t>
  </si>
  <si>
    <t>ScenarioSettings\Stainless</t>
  </si>
  <si>
    <t>S49</t>
  </si>
  <si>
    <t>ScenarioSettings\SMC</t>
  </si>
  <si>
    <t>S48</t>
  </si>
  <si>
    <t>ScenarioSettings\Rubber_Inj</t>
  </si>
  <si>
    <t>S47</t>
  </si>
  <si>
    <t>ScenarioSettings\Rubber_Comp</t>
  </si>
  <si>
    <t>S46</t>
  </si>
  <si>
    <t>ScenarioSettings\Mg_Rolled</t>
  </si>
  <si>
    <t>S45</t>
  </si>
  <si>
    <t>ScenarioSettings\Mg_Cast</t>
  </si>
  <si>
    <t>S44</t>
  </si>
  <si>
    <t>ScenarioSettings\Glass_finishing</t>
  </si>
  <si>
    <t>S43</t>
  </si>
  <si>
    <t>ScenarioSettings\GFRP</t>
  </si>
  <si>
    <t>S42</t>
  </si>
  <si>
    <t>ScenarioSettings\Cu_finishing</t>
  </si>
  <si>
    <t>S41</t>
  </si>
  <si>
    <t>ScenarioSettings\CFRP</t>
  </si>
  <si>
    <t>S40</t>
  </si>
  <si>
    <t>ScenarioSettings\Al_Rolled</t>
  </si>
  <si>
    <t>S39</t>
  </si>
  <si>
    <t>ScenarioSettings\Al_Extruded</t>
  </si>
  <si>
    <t>S38</t>
  </si>
  <si>
    <t>ScenarioSettings\Al_Cast</t>
  </si>
  <si>
    <t>S37</t>
  </si>
  <si>
    <t>ScenarioSettings\PVC</t>
  </si>
  <si>
    <t>S36</t>
  </si>
  <si>
    <t>ScenarioSettings\PUR_Rigid</t>
  </si>
  <si>
    <t>S35</t>
  </si>
  <si>
    <t>ScenarioSettings\PUR_Flex</t>
  </si>
  <si>
    <t>S34</t>
  </si>
  <si>
    <t>ScenarioSettings\PP</t>
  </si>
  <si>
    <t>S33</t>
  </si>
  <si>
    <t>ScenarioSettings\PET</t>
  </si>
  <si>
    <t>S32</t>
  </si>
  <si>
    <t>ScenarioSettings\PC</t>
  </si>
  <si>
    <t>S31</t>
  </si>
  <si>
    <t>ScenarioSettings\Nylon_66</t>
  </si>
  <si>
    <t>S30</t>
  </si>
  <si>
    <t>ScenarioSettings\Nylon_6</t>
  </si>
  <si>
    <t>S29</t>
  </si>
  <si>
    <t>ScenarioSettings\LLDPE</t>
  </si>
  <si>
    <t>S28</t>
  </si>
  <si>
    <t>ScenarioSettings\LDPE</t>
  </si>
  <si>
    <t>S27</t>
  </si>
  <si>
    <t>ScenarioSettings\HIPS</t>
  </si>
  <si>
    <t>S26</t>
  </si>
  <si>
    <t>ScenarioSettings\HDPE</t>
  </si>
  <si>
    <t>S25</t>
  </si>
  <si>
    <t>ScenarioSettings\GPPS</t>
  </si>
  <si>
    <t>S24</t>
  </si>
  <si>
    <t>ScenarioSettings\Epoxy</t>
  </si>
  <si>
    <t>S23</t>
  </si>
  <si>
    <t>ScenarioSettings\EPDM</t>
  </si>
  <si>
    <t>S22</t>
  </si>
  <si>
    <t>ScenarioSettings\ABS</t>
  </si>
  <si>
    <t>S21</t>
  </si>
  <si>
    <t>ScenarioSettings\Tires</t>
  </si>
  <si>
    <t>S20</t>
  </si>
  <si>
    <t>ScenarioSettings\Steel_S</t>
  </si>
  <si>
    <t>S19</t>
  </si>
  <si>
    <t>ScenarioSettings\Steel_P</t>
  </si>
  <si>
    <t>S18</t>
  </si>
  <si>
    <t>ScenarioSettings\Stainless_S</t>
  </si>
  <si>
    <t>S17</t>
  </si>
  <si>
    <t>ScenarioSettings\Stainless_P</t>
  </si>
  <si>
    <t>S16</t>
  </si>
  <si>
    <t>ScenarioSettings\SMC_S</t>
  </si>
  <si>
    <t>S15</t>
  </si>
  <si>
    <t>ScenarioSettings\SMC_P</t>
  </si>
  <si>
    <t>S14</t>
  </si>
  <si>
    <t>ScenarioSettings\Rubber</t>
  </si>
  <si>
    <t>S13</t>
  </si>
  <si>
    <t>ScenarioSettings\Mg_S</t>
  </si>
  <si>
    <t>S12</t>
  </si>
  <si>
    <t>ScenarioSettings\Mg_Pigeon</t>
  </si>
  <si>
    <t>S11</t>
  </si>
  <si>
    <t>ScenarioSettings\Mg_Elec</t>
  </si>
  <si>
    <t>S10</t>
  </si>
  <si>
    <t>ScenarioSettings\Glass</t>
  </si>
  <si>
    <t>S9</t>
  </si>
  <si>
    <t>ScenarioSettings\GFRP_S</t>
  </si>
  <si>
    <t>S8</t>
  </si>
  <si>
    <t>ScenarioSettings\GFRP_P</t>
  </si>
  <si>
    <t>S7</t>
  </si>
  <si>
    <t>ScenarioSettings\Cu</t>
  </si>
  <si>
    <t>S6</t>
  </si>
  <si>
    <t>ScenarioSettings\CFRP_S</t>
  </si>
  <si>
    <t>S5</t>
  </si>
  <si>
    <t>ScenarioSettings\CFRP_P</t>
  </si>
  <si>
    <t>S4</t>
  </si>
  <si>
    <t>ScenarioSettings\Batt</t>
  </si>
  <si>
    <t>S3</t>
  </si>
  <si>
    <t>ScenarioSettings\Al_S</t>
  </si>
  <si>
    <t>S2</t>
  </si>
  <si>
    <t>ScenarioSettings\Al_P</t>
  </si>
  <si>
    <t>S1</t>
  </si>
  <si>
    <t>Comment</t>
  </si>
  <si>
    <t>Range of values</t>
  </si>
  <si>
    <t>Type</t>
  </si>
  <si>
    <t>Scenario Setting</t>
  </si>
  <si>
    <t>Text Input Fields</t>
  </si>
  <si>
    <t>Choose drive cycle: 1=Hyzem 2=NEDC 3=SAE</t>
  </si>
  <si>
    <t>GlobalSettings\Cycle</t>
  </si>
  <si>
    <t>G6</t>
  </si>
  <si>
    <t>GlobalSettings\Windshield</t>
  </si>
  <si>
    <t>G5</t>
  </si>
  <si>
    <t>GlobalSettings\Trans</t>
  </si>
  <si>
    <t>G4</t>
  </si>
  <si>
    <t>GlobalSettings\Oil</t>
  </si>
  <si>
    <t>G3</t>
  </si>
  <si>
    <t>GlobalSettings\Coolant</t>
  </si>
  <si>
    <t>G2</t>
  </si>
  <si>
    <t>GlobalSettings\Brake</t>
  </si>
  <si>
    <t>G1</t>
  </si>
  <si>
    <t>Global Settings</t>
  </si>
  <si>
    <t>2.0</t>
  </si>
  <si>
    <t>Format version:</t>
  </si>
  <si>
    <t>Scenario Settings: Those parameter settings can be specified for the individual scenarios.</t>
  </si>
  <si>
    <t>You can create links to other datasheets
and define/calculate the values of each parameter listed below on other Excel worksheets.</t>
  </si>
  <si>
    <t>Text input fields: You can enter free text here.</t>
  </si>
  <si>
    <t>The comment field indicates a range of values,  if defined,  or multiple predefined choices.</t>
  </si>
  <si>
    <t>Global Settings: Those parameter settings apply to all Scenarios simultaniously.</t>
  </si>
  <si>
    <t>Type in the parameter values directly here. You can enter numbers or predefined text choices.</t>
  </si>
  <si>
    <t>Primary aluminum source</t>
  </si>
  <si>
    <t>Fraction of Mg by Pidgeon process</t>
  </si>
  <si>
    <t>WLTP 3b: FSV A-Class</t>
  </si>
  <si>
    <t>WLTP 3b: FSV C-Class</t>
  </si>
  <si>
    <t xml:space="preserve">Select impact category to display on charts: </t>
  </si>
  <si>
    <t>ILCD/PEF Recommended - All Scenarios</t>
  </si>
  <si>
    <t>EOL</t>
  </si>
  <si>
    <t>Primary energy demand from ren. and non ren. resources (net cal. value) [MJ]</t>
  </si>
  <si>
    <t>Primary energy from non renewable resources (net cal. value) [MJ]</t>
  </si>
  <si>
    <t>Primary energy from renewable resources (net cal. value) [MJ]</t>
  </si>
  <si>
    <r>
      <t xml:space="preserve">ILCD/PEF Recommended - </t>
    </r>
    <r>
      <rPr>
        <b/>
        <sz val="12"/>
        <color rgb="FF00AAE7"/>
        <rFont val="Arial"/>
        <family val="2"/>
      </rPr>
      <t>Baseline</t>
    </r>
  </si>
  <si>
    <t>Vehicle Production</t>
  </si>
  <si>
    <t>Use Phase</t>
  </si>
  <si>
    <t>Vehicle EoL</t>
  </si>
  <si>
    <r>
      <t xml:space="preserve">ILCD/PEF Recommended - </t>
    </r>
    <r>
      <rPr>
        <b/>
        <sz val="12"/>
        <color rgb="FFF4C000"/>
        <rFont val="Arial"/>
        <family val="2"/>
      </rPr>
      <t>Contender 1</t>
    </r>
  </si>
  <si>
    <r>
      <t xml:space="preserve">ILCD/PEF Recommended - </t>
    </r>
    <r>
      <rPr>
        <b/>
        <sz val="12"/>
        <color rgb="FF841C80"/>
        <rFont val="Arial"/>
        <family val="2"/>
      </rPr>
      <t>Contender 2</t>
    </r>
  </si>
  <si>
    <t>TRACI 2.1 - All Scenarios</t>
  </si>
  <si>
    <t>TRACI 2.1, Global Warming Air, incl. biogenic carbon [kg CO2-Equiv.]</t>
  </si>
  <si>
    <t>TRACI 2.1, Global Warming Air, excl. biogenic carbon [kg CO2-Equiv.]</t>
  </si>
  <si>
    <t>TRACI 2.1, Acidification [kg SO2-Equiv.]</t>
  </si>
  <si>
    <t>TRACI 2.1, Ecotoxicity (recommended) [CTUe]</t>
  </si>
  <si>
    <t>TRACI 2.1, Eutrophication [kg N-Equiv.]</t>
  </si>
  <si>
    <t>TRACI 2.1, Human Health Particulate Air [kg PM2,5-Equiv.]</t>
  </si>
  <si>
    <t>TRACI 2.1, Human toxicity, cancer (recommended) [CTUh]</t>
  </si>
  <si>
    <t>TRACI 2.1, Human toxicity, non-canc. (recommended) [CTUh]</t>
  </si>
  <si>
    <t>TRACI 2.1, Ozone Depletion Air [kg CFC 11-Equiv.]</t>
  </si>
  <si>
    <t>TRACI 2.1, Resources, Fossil fuels [MJ surplus energy]</t>
  </si>
  <si>
    <t>TRACI 2.1, Smog Air [kg O3-Equiv.]</t>
  </si>
  <si>
    <r>
      <t xml:space="preserve">TRACI 2.1 - </t>
    </r>
    <r>
      <rPr>
        <b/>
        <sz val="12"/>
        <color rgb="FF00AAE7"/>
        <rFont val="Arial"/>
        <family val="2"/>
      </rPr>
      <t>Baseline</t>
    </r>
  </si>
  <si>
    <r>
      <t xml:space="preserve">TRACI 2.1 - </t>
    </r>
    <r>
      <rPr>
        <b/>
        <sz val="12"/>
        <color rgb="FFF4C000"/>
        <rFont val="Arial"/>
        <family val="2"/>
      </rPr>
      <t>Contender 1</t>
    </r>
  </si>
  <si>
    <r>
      <t xml:space="preserve">TRACI 2.1 - </t>
    </r>
    <r>
      <rPr>
        <b/>
        <sz val="12"/>
        <color rgb="FF841C80"/>
        <rFont val="Arial"/>
        <family val="2"/>
      </rPr>
      <t>Contender 2</t>
    </r>
  </si>
  <si>
    <t>Normalization and Weighting</t>
  </si>
  <si>
    <t>ILCD/PEF Recommended - Normalized</t>
  </si>
  <si>
    <t>ILCD/PEF Recommended - Weighted</t>
  </si>
  <si>
    <t>TRACI 2.1 - Normalized</t>
  </si>
  <si>
    <t>TRACI 2.1, Global Warming Air, incl. biogenic carbon</t>
  </si>
  <si>
    <t>TRACI 2.1, Acidification</t>
  </si>
  <si>
    <t>TRACI 2.1, Ecotoxicity (recommended)</t>
  </si>
  <si>
    <t>TRACI 2.1, Eutrophication</t>
  </si>
  <si>
    <t>TRACI 2.1, Human Health Particulate Air</t>
  </si>
  <si>
    <t>TRACI 2.1, Human toxicity, cancer (recommended)</t>
  </si>
  <si>
    <t>TRACI 2.1, Human toxicity, non-canc. (recommended)</t>
  </si>
  <si>
    <t>TRACI 2.1, Ozone Depletion Air</t>
  </si>
  <si>
    <t>TRACI 2.1, Resources, Fossil fuels</t>
  </si>
  <si>
    <t>TRACI 2.1, Smog Air</t>
  </si>
  <si>
    <t>TRACI 2.1 - Weighted</t>
  </si>
  <si>
    <t>0=Global 1=RoW</t>
  </si>
  <si>
    <t>Global</t>
  </si>
  <si>
    <t>Climate change midpoint, incl biogenic carbon (v1.09)</t>
  </si>
  <si>
    <t>Acidification midpoint (v1.09)</t>
  </si>
  <si>
    <t>Ecotoxicity freshwater midpoint (v1.09)</t>
  </si>
  <si>
    <t>Eutrophication freshwater midpoint (v1.09)</t>
  </si>
  <si>
    <t>Eutrophication marine midpoint (v1.09)</t>
  </si>
  <si>
    <t>Eutrophication terrestrial midpoint (v1.09)</t>
  </si>
  <si>
    <t>Human toxicity midpoint, cancer effects (v1.09)</t>
  </si>
  <si>
    <t>Human toxicity midpoint, non-cancer effects (v1.09)</t>
  </si>
  <si>
    <t>Ionizing radiation midpoint, human health (v1.09)</t>
  </si>
  <si>
    <t>Ozone depletion midpoint (v1.09)</t>
  </si>
  <si>
    <t>Particulate matter/Respiratory inorganics midpoint (v1.09)</t>
  </si>
  <si>
    <t>Photochemical ozone formation midpoint, human health (v1.09)</t>
  </si>
  <si>
    <t>Resource depletion water, midpoint (v1.09)</t>
  </si>
  <si>
    <t>Resource depletion, mineral, fossils and renewables, midpoint (v1.09)</t>
  </si>
  <si>
    <t>Climate change midpoint, excl biogenic carbon (v1.09) [kg CO2-Equiv.]</t>
  </si>
  <si>
    <t>Climate change midpoint, incl biogenic carbon (v1.09) [kg CO2-Equiv.]</t>
  </si>
  <si>
    <t>Acidification midpoint (v1.09) [Mole of H+ eq.]</t>
  </si>
  <si>
    <t>Ecotoxicity freshwater midpoint (v1.09) [CTUe]</t>
  </si>
  <si>
    <t>Eutrophication freshwater midpoint (v1.09) [kg P eq]</t>
  </si>
  <si>
    <t>Eutrophication marine midpoint (v1.09) [kg N-Equiv.]</t>
  </si>
  <si>
    <t>Eutrophication terrestrial midpoint (v1.09) [Mole of N eq.]</t>
  </si>
  <si>
    <t>Human toxicity midpoint, cancer effects (v1.09) [CTUh]</t>
  </si>
  <si>
    <t>Human toxicity midpoint, non-cancer effects (v1.09) [CTUh]</t>
  </si>
  <si>
    <t>Ionizing radiation midpoint, human health (v1.09) [kBq U235 eq]</t>
  </si>
  <si>
    <t>Ozone depletion midpoint (v1.09) [kg CFC-11 eq]</t>
  </si>
  <si>
    <t>Particulate matter/Respiratory inorganics midpoint (v1.09) [kg PM2,5-Equiv.]</t>
  </si>
  <si>
    <t>Photochemical ozone formation midpoint, human health (v1.09) [kg NMVOC]</t>
  </si>
  <si>
    <t>Resource depletion water, midpoint (v1.09) [m³ eq.]</t>
  </si>
  <si>
    <t>Resource depletion, mineral, fossils and renewables, midpoint (v1.09) [kg Sb-Equiv.]</t>
  </si>
  <si>
    <t>GlobalSettings\Al_source</t>
  </si>
  <si>
    <t>G7</t>
  </si>
  <si>
    <r>
      <t xml:space="preserve"> Default VM</t>
    </r>
    <r>
      <rPr>
        <vertAlign val="subscript"/>
        <sz val="10"/>
        <rFont val="Arial"/>
        <family val="2"/>
      </rPr>
      <t>b</t>
    </r>
    <r>
      <rPr>
        <sz val="10"/>
        <rFont val="Arial"/>
        <family val="2"/>
      </rPr>
      <t xml:space="preserve"> (in lbs)</t>
    </r>
  </si>
  <si>
    <r>
      <t xml:space="preserve">displacement rate </t>
    </r>
    <r>
      <rPr>
        <sz val="10"/>
        <rFont val="Calibri"/>
        <family val="2"/>
      </rPr>
      <t>δ</t>
    </r>
  </si>
  <si>
    <t xml:space="preserve"> on external scrap collection and recycling</t>
  </si>
  <si>
    <r>
      <t>1 = external scrap collection is completely inelastic (</t>
    </r>
    <r>
      <rPr>
        <b/>
        <sz val="8"/>
        <rFont val="Arial"/>
        <family val="2"/>
      </rPr>
      <t>avoided burden</t>
    </r>
    <r>
      <rPr>
        <sz val="8"/>
        <rFont val="Arial"/>
        <family val="2"/>
      </rPr>
      <t>)</t>
    </r>
  </si>
  <si>
    <r>
      <t>0 = external recycling is completely inelastic (</t>
    </r>
    <r>
      <rPr>
        <b/>
        <sz val="8"/>
        <rFont val="Arial"/>
        <family val="2"/>
      </rPr>
      <t>recycled content</t>
    </r>
    <r>
      <rPr>
        <sz val="8"/>
        <rFont val="Arial"/>
        <family val="2"/>
      </rPr>
      <t>)</t>
    </r>
  </si>
  <si>
    <t>Hyzem, NEDC, SAE J1711, WLTP 3b for ICEV-G, ICEV-D, PHEV20, PHEV40, BEV</t>
  </si>
  <si>
    <t>UDDS/HFEDS for HEV,FCV</t>
  </si>
  <si>
    <t>UCSB Automotive Energy and Greenhouse Gas Model</t>
  </si>
  <si>
    <t>Version 5.0 - Release Date 6 March 2017</t>
  </si>
  <si>
    <t>Fuel Reduction Value (l/100km/100kg)</t>
  </si>
  <si>
    <r>
      <t>GHG Reduction Value (gCO</t>
    </r>
    <r>
      <rPr>
        <b/>
        <vertAlign val="subscript"/>
        <sz val="10"/>
        <rFont val="Arial"/>
        <family val="2"/>
      </rPr>
      <t>2</t>
    </r>
    <r>
      <rPr>
        <b/>
        <sz val="10"/>
        <rFont val="Arial"/>
        <family val="2"/>
      </rPr>
      <t>e/km/100kg)</t>
    </r>
  </si>
  <si>
    <t>No Powertrain Resizing</t>
  </si>
  <si>
    <t>With Powertrain Resizing</t>
  </si>
  <si>
    <t>Energy Savings (MJ/100km/100kg)</t>
  </si>
  <si>
    <t>US Combined: Compact</t>
  </si>
  <si>
    <t>US Combined: Midsize</t>
  </si>
  <si>
    <t>US Combined: SUV</t>
  </si>
  <si>
    <t>US Combined: Compact / A</t>
  </si>
  <si>
    <t>US Combined: Midsize / C</t>
  </si>
  <si>
    <t>WSA 2018</t>
  </si>
  <si>
    <t>Hyzem=0, NEDC=1, US Combined=2, WLTP 3b=3</t>
  </si>
  <si>
    <t>WLTP 3b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</si>
</sst>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3" formatCode="_(* #,##0.00_);_(* \(#,##0.00\);_(* &quot;-&quot;??_);_(@_)"/>
    <numFmt numFmtId="164" formatCode="0.0"/>
    <numFmt numFmtId="165" formatCode="0.0%"/>
    <numFmt numFmtId="166" formatCode="0.000"/>
    <numFmt numFmtId="167" formatCode="0.0000"/>
    <numFmt numFmtId="168" formatCode="#,##0.000"/>
    <numFmt numFmtId="169" formatCode="0_)"/>
    <numFmt numFmtId="170" formatCode="#,##0.0000"/>
    <numFmt numFmtId="171" formatCode="#,##0.0"/>
    <numFmt numFmtId="172" formatCode="0.00000"/>
  </numFmts>
  <fonts count="93" x14ac:knownFonts="1">
    <font>
      <sz val="10"/>
      <name val="Verdana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Verdana"/>
      <family val="2"/>
    </font>
    <font>
      <b/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sz val="8"/>
      <name val="Verdana"/>
      <family val="2"/>
    </font>
    <font>
      <b/>
      <sz val="10"/>
      <color indexed="62"/>
      <name val="Arial"/>
      <family val="2"/>
    </font>
    <font>
      <sz val="10"/>
      <name val="Arial"/>
      <family val="2"/>
    </font>
    <font>
      <b/>
      <sz val="10"/>
      <color indexed="10"/>
      <name val="Arial"/>
      <family val="2"/>
    </font>
    <font>
      <b/>
      <sz val="8"/>
      <name val="Arial"/>
      <family val="2"/>
    </font>
    <font>
      <b/>
      <sz val="12"/>
      <name val="Arial"/>
      <family val="2"/>
    </font>
    <font>
      <vertAlign val="subscript"/>
      <sz val="10"/>
      <name val="Arial"/>
      <family val="2"/>
    </font>
    <font>
      <sz val="10"/>
      <name val="Arial"/>
      <family val="2"/>
    </font>
    <font>
      <sz val="9"/>
      <name val="Arial"/>
      <family val="2"/>
    </font>
    <font>
      <sz val="8"/>
      <name val="Arial"/>
      <family val="2"/>
    </font>
    <font>
      <sz val="10"/>
      <color indexed="9"/>
      <name val="Arial"/>
      <family val="2"/>
    </font>
    <font>
      <b/>
      <sz val="9"/>
      <name val="Arial"/>
      <family val="2"/>
    </font>
    <font>
      <b/>
      <sz val="12"/>
      <color indexed="10"/>
      <name val="Arial"/>
      <family val="2"/>
    </font>
    <font>
      <sz val="10"/>
      <color indexed="8"/>
      <name val="Arial"/>
      <family val="2"/>
    </font>
    <font>
      <b/>
      <sz val="14"/>
      <name val="Arial"/>
      <family val="2"/>
    </font>
    <font>
      <b/>
      <sz val="12"/>
      <color indexed="62"/>
      <name val="Arial"/>
      <family val="2"/>
    </font>
    <font>
      <sz val="10"/>
      <color indexed="62"/>
      <name val="Arial"/>
      <family val="2"/>
    </font>
    <font>
      <b/>
      <vertAlign val="subscript"/>
      <sz val="10"/>
      <name val="Arial"/>
      <family val="2"/>
    </font>
    <font>
      <sz val="10"/>
      <color indexed="10"/>
      <name val="Arial"/>
      <family val="2"/>
    </font>
    <font>
      <b/>
      <i/>
      <sz val="10"/>
      <name val="Arial"/>
      <family val="2"/>
    </font>
    <font>
      <b/>
      <i/>
      <vertAlign val="superscript"/>
      <sz val="10"/>
      <name val="Arial"/>
      <family val="2"/>
    </font>
    <font>
      <i/>
      <sz val="10"/>
      <name val="Arial"/>
      <family val="2"/>
    </font>
    <font>
      <i/>
      <vertAlign val="superscript"/>
      <sz val="10"/>
      <name val="Arial"/>
      <family val="2"/>
    </font>
    <font>
      <b/>
      <vertAlign val="superscript"/>
      <sz val="10"/>
      <name val="Arial"/>
      <family val="2"/>
    </font>
    <font>
      <vertAlign val="superscript"/>
      <sz val="10"/>
      <name val="Arial"/>
      <family val="2"/>
    </font>
    <font>
      <sz val="10"/>
      <name val="Arial"/>
      <family val="2"/>
    </font>
    <font>
      <b/>
      <sz val="10"/>
      <name val="Verdana"/>
      <family val="2"/>
    </font>
    <font>
      <sz val="10"/>
      <color indexed="9"/>
      <name val="Arial"/>
      <family val="2"/>
    </font>
    <font>
      <sz val="10"/>
      <color indexed="50"/>
      <name val="Arial"/>
      <family val="2"/>
    </font>
    <font>
      <sz val="10"/>
      <color indexed="14"/>
      <name val="Arial"/>
      <family val="2"/>
    </font>
    <font>
      <sz val="10"/>
      <color indexed="9"/>
      <name val="Verdana"/>
      <family val="2"/>
    </font>
    <font>
      <u/>
      <sz val="10"/>
      <color indexed="12"/>
      <name val="Arial"/>
      <family val="2"/>
    </font>
    <font>
      <b/>
      <sz val="12"/>
      <name val="Times New Roman"/>
      <family val="1"/>
    </font>
    <font>
      <sz val="10"/>
      <name val="Helv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sz val="11"/>
      <color indexed="62"/>
      <name val="Calibri"/>
      <family val="2"/>
    </font>
    <font>
      <sz val="11"/>
      <color indexed="10"/>
      <name val="Calibri"/>
      <family val="2"/>
    </font>
    <font>
      <b/>
      <sz val="11"/>
      <color indexed="63"/>
      <name val="Calibri"/>
      <family val="2"/>
    </font>
    <font>
      <b/>
      <sz val="11"/>
      <color indexed="8"/>
      <name val="Calibri"/>
      <family val="2"/>
    </font>
    <font>
      <sz val="12"/>
      <name val="Times"/>
      <family val="1"/>
    </font>
    <font>
      <sz val="10"/>
      <color indexed="8"/>
      <name val="Times New Roman"/>
      <family val="1"/>
    </font>
    <font>
      <b/>
      <sz val="11"/>
      <color indexed="52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u/>
      <sz val="7.5"/>
      <color indexed="12"/>
      <name val="Arial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8"/>
      <color indexed="56"/>
      <name val="Cambria"/>
      <family val="1"/>
    </font>
    <font>
      <sz val="9"/>
      <name val="Times New Roman"/>
      <family val="1"/>
    </font>
    <font>
      <b/>
      <sz val="9"/>
      <name val="Times New Roman"/>
      <family val="1"/>
    </font>
    <font>
      <sz val="8"/>
      <name val="Helvetica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b/>
      <sz val="18"/>
      <color indexed="62"/>
      <name val="Cambria"/>
      <family val="1"/>
    </font>
    <font>
      <b/>
      <sz val="11"/>
      <color indexed="10"/>
      <name val="Calibri"/>
      <family val="2"/>
    </font>
    <font>
      <sz val="11"/>
      <color indexed="19"/>
      <name val="Calibri"/>
      <family val="2"/>
    </font>
    <font>
      <sz val="10"/>
      <color theme="0"/>
      <name val="Arial"/>
      <family val="2"/>
    </font>
    <font>
      <sz val="12"/>
      <name val="Times"/>
      <family val="1"/>
    </font>
    <font>
      <sz val="8"/>
      <name val="Helvetica"/>
      <family val="2"/>
    </font>
    <font>
      <sz val="10"/>
      <color rgb="FF000000"/>
      <name val="Verdana"/>
      <family val="2"/>
    </font>
    <font>
      <b/>
      <sz val="10"/>
      <color theme="0"/>
      <name val="Arial"/>
      <family val="2"/>
    </font>
    <font>
      <sz val="9"/>
      <color theme="0"/>
      <name val="Arial"/>
      <family val="2"/>
    </font>
    <font>
      <b/>
      <sz val="11"/>
      <color theme="0"/>
      <name val="Arial"/>
      <family val="2"/>
    </font>
    <font>
      <sz val="10"/>
      <color rgb="FFFF0000"/>
      <name val="Verdana"/>
      <family val="2"/>
    </font>
    <font>
      <b/>
      <sz val="10"/>
      <color rgb="FF00AAE7"/>
      <name val="Arial"/>
      <family val="2"/>
    </font>
    <font>
      <b/>
      <sz val="10"/>
      <color rgb="FFF4C000"/>
      <name val="Arial"/>
      <family val="2"/>
    </font>
    <font>
      <b/>
      <sz val="10"/>
      <color rgb="FF841C80"/>
      <name val="Arial"/>
      <family val="2"/>
    </font>
    <font>
      <b/>
      <sz val="10"/>
      <color rgb="FFFF0000"/>
      <name val="Arial"/>
      <family val="2"/>
    </font>
    <font>
      <b/>
      <sz val="11"/>
      <color rgb="FFFF0000"/>
      <name val="Arial"/>
      <family val="2"/>
    </font>
    <font>
      <sz val="10"/>
      <color rgb="FFFF0000"/>
      <name val="Arial"/>
      <family val="2"/>
    </font>
    <font>
      <sz val="10"/>
      <color theme="0"/>
      <name val="Verdana"/>
      <family val="2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rgb="FF00AAE7"/>
      <name val="Arial"/>
      <family val="2"/>
    </font>
    <font>
      <b/>
      <sz val="12"/>
      <color rgb="FFF4C000"/>
      <name val="Arial"/>
      <family val="2"/>
    </font>
    <font>
      <b/>
      <sz val="12"/>
      <color rgb="FF841C80"/>
      <name val="Arial"/>
      <family val="2"/>
    </font>
    <font>
      <sz val="10"/>
      <color rgb="FFEEF1F4"/>
      <name val="Arial"/>
      <family val="2"/>
    </font>
    <font>
      <sz val="10"/>
      <name val="Calibri"/>
      <family val="2"/>
    </font>
  </fonts>
  <fills count="4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indexed="44"/>
      </patternFill>
    </fill>
    <fill>
      <patternFill patternType="solid">
        <fgColor indexed="31"/>
      </patternFill>
    </fill>
    <fill>
      <patternFill patternType="solid">
        <fgColor indexed="29"/>
      </patternFill>
    </fill>
    <fill>
      <patternFill patternType="solid">
        <fgColor indexed="45"/>
      </patternFill>
    </fill>
    <fill>
      <patternFill patternType="solid">
        <fgColor indexed="26"/>
      </patternFill>
    </fill>
    <fill>
      <patternFill patternType="solid">
        <fgColor indexed="42"/>
      </patternFill>
    </fill>
    <fill>
      <patternFill patternType="solid">
        <fgColor indexed="47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53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6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2"/>
        <bgColor indexed="64"/>
      </patternFill>
    </fill>
    <fill>
      <patternFill patternType="darkTrellis"/>
    </fill>
    <fill>
      <patternFill patternType="solid">
        <fgColor rgb="FF00ABEA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indexed="15"/>
        <bgColor indexed="45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EEF1F4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99CCFF"/>
        <bgColor rgb="FF000000"/>
      </patternFill>
    </fill>
  </fills>
  <borders count="11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2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10"/>
      </left>
      <right/>
      <top/>
      <bottom/>
      <diagonal/>
    </border>
    <border>
      <left style="medium">
        <color indexed="10"/>
      </left>
      <right/>
      <top/>
      <bottom style="medium">
        <color indexed="10"/>
      </bottom>
      <diagonal/>
    </border>
    <border>
      <left/>
      <right/>
      <top/>
      <bottom style="medium">
        <color indexed="10"/>
      </bottom>
      <diagonal/>
    </border>
    <border>
      <left/>
      <right style="medium">
        <color indexed="10"/>
      </right>
      <top/>
      <bottom/>
      <diagonal/>
    </border>
    <border>
      <left/>
      <right style="medium">
        <color indexed="10"/>
      </right>
      <top/>
      <bottom style="medium">
        <color indexed="10"/>
      </bottom>
      <diagonal/>
    </border>
    <border>
      <left style="medium">
        <color indexed="10"/>
      </left>
      <right/>
      <top style="medium">
        <color indexed="10"/>
      </top>
      <bottom style="medium">
        <color indexed="10"/>
      </bottom>
      <diagonal/>
    </border>
    <border>
      <left/>
      <right/>
      <top style="medium">
        <color indexed="10"/>
      </top>
      <bottom style="medium">
        <color indexed="10"/>
      </bottom>
      <diagonal/>
    </border>
    <border>
      <left/>
      <right style="medium">
        <color indexed="10"/>
      </right>
      <top style="medium">
        <color indexed="10"/>
      </top>
      <bottom style="medium">
        <color indexed="10"/>
      </bottom>
      <diagonal/>
    </border>
    <border>
      <left style="medium">
        <color indexed="10"/>
      </left>
      <right/>
      <top style="medium">
        <color indexed="10"/>
      </top>
      <bottom/>
      <diagonal/>
    </border>
    <border>
      <left/>
      <right/>
      <top style="medium">
        <color indexed="10"/>
      </top>
      <bottom/>
      <diagonal/>
    </border>
    <border>
      <left/>
      <right style="medium">
        <color indexed="10"/>
      </right>
      <top style="medium">
        <color indexed="10"/>
      </top>
      <bottom/>
      <diagonal/>
    </border>
    <border>
      <left style="medium">
        <color indexed="10"/>
      </left>
      <right style="medium">
        <color indexed="10"/>
      </right>
      <top style="medium">
        <color indexed="10"/>
      </top>
      <bottom/>
      <diagonal/>
    </border>
    <border>
      <left style="medium">
        <color indexed="10"/>
      </left>
      <right style="medium">
        <color indexed="10"/>
      </right>
      <top/>
      <bottom style="medium">
        <color indexed="10"/>
      </bottom>
      <diagonal/>
    </border>
    <border>
      <left style="medium">
        <color indexed="10"/>
      </left>
      <right style="medium">
        <color indexed="10"/>
      </right>
      <top style="thin">
        <color indexed="10"/>
      </top>
      <bottom style="thin">
        <color indexed="10"/>
      </bottom>
      <diagonal/>
    </border>
    <border>
      <left style="medium">
        <color indexed="10"/>
      </left>
      <right/>
      <top style="thin">
        <color indexed="10"/>
      </top>
      <bottom style="thin">
        <color indexed="10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1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/>
      <top style="medium">
        <color rgb="FF000000"/>
      </top>
      <bottom/>
      <diagonal/>
    </border>
    <border>
      <left/>
      <right style="thick">
        <color rgb="FF808080"/>
      </right>
      <top/>
      <bottom style="thick">
        <color rgb="FF808080"/>
      </bottom>
      <diagonal/>
    </border>
    <border>
      <left style="thick">
        <color rgb="FF808080"/>
      </left>
      <right/>
      <top/>
      <bottom style="thick">
        <color rgb="FF808080"/>
      </bottom>
      <diagonal/>
    </border>
    <border>
      <left/>
      <right/>
      <top/>
      <bottom style="thick">
        <color rgb="FF808080"/>
      </bottom>
      <diagonal/>
    </border>
    <border>
      <left/>
      <right style="thick">
        <color rgb="FF808080"/>
      </right>
      <top/>
      <bottom/>
      <diagonal/>
    </border>
    <border>
      <left style="thick">
        <color rgb="FF808080"/>
      </left>
      <right/>
      <top/>
      <bottom/>
      <diagonal/>
    </border>
    <border>
      <left/>
      <right style="thick">
        <color rgb="FF808080"/>
      </right>
      <top style="thick">
        <color rgb="FF808080"/>
      </top>
      <bottom style="thick">
        <color rgb="FF808080"/>
      </bottom>
      <diagonal/>
    </border>
    <border>
      <left/>
      <right/>
      <top style="thick">
        <color rgb="FF808080"/>
      </top>
      <bottom style="thick">
        <color rgb="FF808080"/>
      </bottom>
      <diagonal/>
    </border>
    <border>
      <left style="thick">
        <color rgb="FF808080"/>
      </left>
      <right/>
      <top style="thick">
        <color rgb="FF808080"/>
      </top>
      <bottom style="thick">
        <color rgb="FF808080"/>
      </bottom>
      <diagonal/>
    </border>
    <border>
      <left/>
      <right style="thick">
        <color rgb="FF808080"/>
      </right>
      <top style="thick">
        <color rgb="FF808080"/>
      </top>
      <bottom/>
      <diagonal/>
    </border>
    <border>
      <left style="thick">
        <color rgb="FF808080"/>
      </left>
      <right/>
      <top style="thick">
        <color rgb="FF80808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theme="0" tint="-0.14996795556505021"/>
      </bottom>
      <diagonal/>
    </border>
    <border>
      <left style="medium">
        <color indexed="64"/>
      </left>
      <right style="medium">
        <color indexed="64"/>
      </right>
      <top style="thin">
        <color theme="0" tint="-0.14996795556505021"/>
      </top>
      <bottom style="thin">
        <color theme="0" tint="-0.14996795556505021"/>
      </bottom>
      <diagonal/>
    </border>
    <border>
      <left style="medium">
        <color indexed="64"/>
      </left>
      <right style="medium">
        <color indexed="64"/>
      </right>
      <top style="thin">
        <color theme="0" tint="-0.14996795556505021"/>
      </top>
      <bottom style="medium">
        <color indexed="64"/>
      </bottom>
      <diagonal/>
    </border>
    <border>
      <left style="thick">
        <color rgb="FF5C7F92"/>
      </left>
      <right/>
      <top style="thick">
        <color rgb="FF5C7F92"/>
      </top>
      <bottom/>
      <diagonal/>
    </border>
    <border>
      <left/>
      <right/>
      <top style="thick">
        <color rgb="FF5C7F92"/>
      </top>
      <bottom/>
      <diagonal/>
    </border>
    <border>
      <left/>
      <right style="thick">
        <color rgb="FF5C7F92"/>
      </right>
      <top style="thick">
        <color rgb="FF5C7F92"/>
      </top>
      <bottom/>
      <diagonal/>
    </border>
    <border>
      <left style="thick">
        <color rgb="FF5C7F92"/>
      </left>
      <right/>
      <top/>
      <bottom/>
      <diagonal/>
    </border>
    <border>
      <left/>
      <right style="thick">
        <color rgb="FF5C7F92"/>
      </right>
      <top/>
      <bottom/>
      <diagonal/>
    </border>
    <border>
      <left style="medium">
        <color rgb="FF5C7F92"/>
      </left>
      <right/>
      <top style="medium">
        <color rgb="FF5C7F92"/>
      </top>
      <bottom style="medium">
        <color rgb="FF5C7F92"/>
      </bottom>
      <diagonal/>
    </border>
    <border>
      <left style="medium">
        <color rgb="FF5C7F92"/>
      </left>
      <right style="medium">
        <color rgb="FF5C7F92"/>
      </right>
      <top style="medium">
        <color rgb="FF5C7F92"/>
      </top>
      <bottom style="medium">
        <color rgb="FF5C7F92"/>
      </bottom>
      <diagonal/>
    </border>
    <border>
      <left/>
      <right style="medium">
        <color rgb="FF5C7F92"/>
      </right>
      <top style="medium">
        <color rgb="FF5C7F92"/>
      </top>
      <bottom style="medium">
        <color rgb="FF5C7F92"/>
      </bottom>
      <diagonal/>
    </border>
    <border>
      <left style="medium">
        <color rgb="FF5C7F92"/>
      </left>
      <right/>
      <top/>
      <bottom style="thin">
        <color rgb="FF5C7F92"/>
      </bottom>
      <diagonal/>
    </border>
    <border>
      <left style="medium">
        <color rgb="FF5C7F92"/>
      </left>
      <right style="medium">
        <color rgb="FF5C7F92"/>
      </right>
      <top/>
      <bottom style="thin">
        <color rgb="FF5C7F92"/>
      </bottom>
      <diagonal/>
    </border>
    <border>
      <left/>
      <right style="medium">
        <color rgb="FF5C7F92"/>
      </right>
      <top/>
      <bottom style="thin">
        <color rgb="FF5C7F92"/>
      </bottom>
      <diagonal/>
    </border>
    <border>
      <left style="medium">
        <color rgb="FF5C7F92"/>
      </left>
      <right/>
      <top style="thin">
        <color rgb="FF5C7F92"/>
      </top>
      <bottom style="thin">
        <color rgb="FF5C7F92"/>
      </bottom>
      <diagonal/>
    </border>
    <border>
      <left style="medium">
        <color rgb="FF5C7F92"/>
      </left>
      <right style="medium">
        <color rgb="FF5C7F92"/>
      </right>
      <top style="thin">
        <color rgb="FF5C7F92"/>
      </top>
      <bottom style="thin">
        <color rgb="FF5C7F92"/>
      </bottom>
      <diagonal/>
    </border>
    <border>
      <left/>
      <right style="medium">
        <color rgb="FF5C7F92"/>
      </right>
      <top style="thin">
        <color rgb="FF5C7F92"/>
      </top>
      <bottom style="thin">
        <color rgb="FF5C7F92"/>
      </bottom>
      <diagonal/>
    </border>
    <border>
      <left style="thick">
        <color rgb="FF5C7F92"/>
      </left>
      <right/>
      <top/>
      <bottom style="thick">
        <color rgb="FF5C7F92"/>
      </bottom>
      <diagonal/>
    </border>
    <border>
      <left/>
      <right/>
      <top/>
      <bottom style="thick">
        <color rgb="FF5C7F92"/>
      </bottom>
      <diagonal/>
    </border>
    <border>
      <left/>
      <right style="thick">
        <color rgb="FF5C7F92"/>
      </right>
      <top/>
      <bottom style="thick">
        <color rgb="FF5C7F9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rgb="FF000000"/>
      </right>
      <top/>
      <bottom/>
      <diagonal/>
    </border>
    <border>
      <left/>
      <right style="medium">
        <color rgb="FFD9D9D9"/>
      </right>
      <top/>
      <bottom/>
      <diagonal/>
    </border>
    <border>
      <left/>
      <right style="medium">
        <color rgb="FFD9D9D9"/>
      </right>
      <top/>
      <bottom style="medium">
        <color rgb="FFD9D9D9"/>
      </bottom>
      <diagonal/>
    </border>
    <border>
      <left style="medium">
        <color rgb="FFD9D9D9"/>
      </left>
      <right/>
      <top/>
      <bottom/>
      <diagonal/>
    </border>
    <border>
      <left style="medium">
        <color rgb="FFDD0806"/>
      </left>
      <right/>
      <top style="medium">
        <color rgb="FFDD0806"/>
      </top>
      <bottom/>
      <diagonal/>
    </border>
    <border>
      <left/>
      <right/>
      <top style="medium">
        <color rgb="FFDD0806"/>
      </top>
      <bottom/>
      <diagonal/>
    </border>
    <border>
      <left/>
      <right style="medium">
        <color rgb="FFDD0806"/>
      </right>
      <top style="medium">
        <color rgb="FFDD0806"/>
      </top>
      <bottom/>
      <diagonal/>
    </border>
    <border>
      <left style="medium">
        <color rgb="FFDD0806"/>
      </left>
      <right/>
      <top/>
      <bottom/>
      <diagonal/>
    </border>
    <border>
      <left/>
      <right style="medium">
        <color rgb="FFDD0806"/>
      </right>
      <top/>
      <bottom/>
      <diagonal/>
    </border>
    <border>
      <left style="medium">
        <color rgb="FFDD0806"/>
      </left>
      <right/>
      <top/>
      <bottom style="medium">
        <color rgb="FFDD0806"/>
      </bottom>
      <diagonal/>
    </border>
    <border>
      <left/>
      <right/>
      <top/>
      <bottom style="medium">
        <color rgb="FFDD0806"/>
      </bottom>
      <diagonal/>
    </border>
    <border>
      <left/>
      <right style="medium">
        <color rgb="FFDD0806"/>
      </right>
      <top/>
      <bottom style="medium">
        <color rgb="FFDD0806"/>
      </bottom>
      <diagonal/>
    </border>
  </borders>
  <cellStyleXfs count="932">
    <xf numFmtId="0" fontId="0" fillId="0" borderId="0"/>
    <xf numFmtId="43" fontId="4" fillId="0" borderId="0" applyFont="0" applyFill="0" applyBorder="0" applyAlignment="0" applyProtection="0"/>
    <xf numFmtId="0" fontId="7" fillId="0" borderId="0"/>
    <xf numFmtId="0" fontId="7" fillId="0" borderId="0"/>
    <xf numFmtId="9" fontId="4" fillId="0" borderId="0" applyFont="0" applyFill="0" applyBorder="0" applyAlignment="0" applyProtection="0"/>
    <xf numFmtId="0" fontId="7" fillId="0" borderId="0"/>
    <xf numFmtId="0" fontId="42" fillId="12" borderId="0" applyNumberFormat="0" applyBorder="0" applyAlignment="0" applyProtection="0"/>
    <xf numFmtId="0" fontId="42" fillId="13" borderId="0" applyNumberFormat="0" applyBorder="0" applyAlignment="0" applyProtection="0"/>
    <xf numFmtId="0" fontId="42" fillId="13" borderId="0" applyNumberFormat="0" applyBorder="0" applyAlignment="0" applyProtection="0"/>
    <xf numFmtId="0" fontId="42" fillId="13" borderId="0" applyNumberFormat="0" applyBorder="0" applyAlignment="0" applyProtection="0"/>
    <xf numFmtId="0" fontId="42" fillId="13" borderId="0" applyNumberFormat="0" applyBorder="0" applyAlignment="0" applyProtection="0"/>
    <xf numFmtId="0" fontId="42" fillId="13" borderId="0" applyNumberFormat="0" applyBorder="0" applyAlignment="0" applyProtection="0"/>
    <xf numFmtId="0" fontId="42" fillId="13" borderId="0" applyNumberFormat="0" applyBorder="0" applyAlignment="0" applyProtection="0"/>
    <xf numFmtId="0" fontId="42" fillId="13" borderId="0" applyNumberFormat="0" applyBorder="0" applyAlignment="0" applyProtection="0"/>
    <xf numFmtId="0" fontId="42" fillId="13" borderId="0" applyNumberFormat="0" applyBorder="0" applyAlignment="0" applyProtection="0"/>
    <xf numFmtId="0" fontId="42" fillId="13" borderId="0" applyNumberFormat="0" applyBorder="0" applyAlignment="0" applyProtection="0"/>
    <xf numFmtId="0" fontId="42" fillId="13" borderId="0" applyNumberFormat="0" applyBorder="0" applyAlignment="0" applyProtection="0"/>
    <xf numFmtId="0" fontId="42" fillId="13" borderId="0" applyNumberFormat="0" applyBorder="0" applyAlignment="0" applyProtection="0"/>
    <xf numFmtId="0" fontId="42" fillId="13" borderId="0" applyNumberFormat="0" applyBorder="0" applyAlignment="0" applyProtection="0"/>
    <xf numFmtId="0" fontId="42" fillId="13" borderId="0" applyNumberFormat="0" applyBorder="0" applyAlignment="0" applyProtection="0"/>
    <xf numFmtId="0" fontId="42" fillId="13" borderId="0" applyNumberFormat="0" applyBorder="0" applyAlignment="0" applyProtection="0"/>
    <xf numFmtId="0" fontId="42" fillId="13" borderId="0" applyNumberFormat="0" applyBorder="0" applyAlignment="0" applyProtection="0"/>
    <xf numFmtId="0" fontId="42" fillId="13" borderId="0" applyNumberFormat="0" applyBorder="0" applyAlignment="0" applyProtection="0"/>
    <xf numFmtId="0" fontId="42" fillId="13" borderId="0" applyNumberFormat="0" applyBorder="0" applyAlignment="0" applyProtection="0"/>
    <xf numFmtId="0" fontId="42" fillId="13" borderId="0" applyNumberFormat="0" applyBorder="0" applyAlignment="0" applyProtection="0"/>
    <xf numFmtId="0" fontId="42" fillId="13" borderId="0" applyNumberFormat="0" applyBorder="0" applyAlignment="0" applyProtection="0"/>
    <xf numFmtId="0" fontId="42" fillId="13" borderId="0" applyNumberFormat="0" applyBorder="0" applyAlignment="0" applyProtection="0"/>
    <xf numFmtId="0" fontId="42" fillId="13" borderId="0" applyNumberFormat="0" applyBorder="0" applyAlignment="0" applyProtection="0"/>
    <xf numFmtId="0" fontId="42" fillId="13" borderId="0" applyNumberFormat="0" applyBorder="0" applyAlignment="0" applyProtection="0"/>
    <xf numFmtId="0" fontId="42" fillId="13" borderId="0" applyNumberFormat="0" applyBorder="0" applyAlignment="0" applyProtection="0"/>
    <xf numFmtId="0" fontId="42" fillId="13" borderId="0" applyNumberFormat="0" applyBorder="0" applyAlignment="0" applyProtection="0"/>
    <xf numFmtId="0" fontId="42" fillId="13" borderId="0" applyNumberFormat="0" applyBorder="0" applyAlignment="0" applyProtection="0"/>
    <xf numFmtId="0" fontId="42" fillId="13" borderId="0" applyNumberFormat="0" applyBorder="0" applyAlignment="0" applyProtection="0"/>
    <xf numFmtId="0" fontId="42" fillId="13" borderId="0" applyNumberFormat="0" applyBorder="0" applyAlignment="0" applyProtection="0"/>
    <xf numFmtId="0" fontId="42" fillId="13" borderId="0" applyNumberFormat="0" applyBorder="0" applyAlignment="0" applyProtection="0"/>
    <xf numFmtId="0" fontId="42" fillId="14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6" borderId="0" applyNumberFormat="0" applyBorder="0" applyAlignment="0" applyProtection="0"/>
    <xf numFmtId="0" fontId="42" fillId="17" borderId="0" applyNumberFormat="0" applyBorder="0" applyAlignment="0" applyProtection="0"/>
    <xf numFmtId="0" fontId="42" fillId="17" borderId="0" applyNumberFormat="0" applyBorder="0" applyAlignment="0" applyProtection="0"/>
    <xf numFmtId="0" fontId="42" fillId="17" borderId="0" applyNumberFormat="0" applyBorder="0" applyAlignment="0" applyProtection="0"/>
    <xf numFmtId="0" fontId="42" fillId="17" borderId="0" applyNumberFormat="0" applyBorder="0" applyAlignment="0" applyProtection="0"/>
    <xf numFmtId="0" fontId="42" fillId="17" borderId="0" applyNumberFormat="0" applyBorder="0" applyAlignment="0" applyProtection="0"/>
    <xf numFmtId="0" fontId="42" fillId="17" borderId="0" applyNumberFormat="0" applyBorder="0" applyAlignment="0" applyProtection="0"/>
    <xf numFmtId="0" fontId="42" fillId="17" borderId="0" applyNumberFormat="0" applyBorder="0" applyAlignment="0" applyProtection="0"/>
    <xf numFmtId="0" fontId="42" fillId="17" borderId="0" applyNumberFormat="0" applyBorder="0" applyAlignment="0" applyProtection="0"/>
    <xf numFmtId="0" fontId="42" fillId="17" borderId="0" applyNumberFormat="0" applyBorder="0" applyAlignment="0" applyProtection="0"/>
    <xf numFmtId="0" fontId="42" fillId="17" borderId="0" applyNumberFormat="0" applyBorder="0" applyAlignment="0" applyProtection="0"/>
    <xf numFmtId="0" fontId="42" fillId="17" borderId="0" applyNumberFormat="0" applyBorder="0" applyAlignment="0" applyProtection="0"/>
    <xf numFmtId="0" fontId="42" fillId="17" borderId="0" applyNumberFormat="0" applyBorder="0" applyAlignment="0" applyProtection="0"/>
    <xf numFmtId="0" fontId="42" fillId="17" borderId="0" applyNumberFormat="0" applyBorder="0" applyAlignment="0" applyProtection="0"/>
    <xf numFmtId="0" fontId="42" fillId="17" borderId="0" applyNumberFormat="0" applyBorder="0" applyAlignment="0" applyProtection="0"/>
    <xf numFmtId="0" fontId="42" fillId="17" borderId="0" applyNumberFormat="0" applyBorder="0" applyAlignment="0" applyProtection="0"/>
    <xf numFmtId="0" fontId="42" fillId="17" borderId="0" applyNumberFormat="0" applyBorder="0" applyAlignment="0" applyProtection="0"/>
    <xf numFmtId="0" fontId="42" fillId="17" borderId="0" applyNumberFormat="0" applyBorder="0" applyAlignment="0" applyProtection="0"/>
    <xf numFmtId="0" fontId="42" fillId="17" borderId="0" applyNumberFormat="0" applyBorder="0" applyAlignment="0" applyProtection="0"/>
    <xf numFmtId="0" fontId="42" fillId="17" borderId="0" applyNumberFormat="0" applyBorder="0" applyAlignment="0" applyProtection="0"/>
    <xf numFmtId="0" fontId="42" fillId="17" borderId="0" applyNumberFormat="0" applyBorder="0" applyAlignment="0" applyProtection="0"/>
    <xf numFmtId="0" fontId="42" fillId="17" borderId="0" applyNumberFormat="0" applyBorder="0" applyAlignment="0" applyProtection="0"/>
    <xf numFmtId="0" fontId="42" fillId="17" borderId="0" applyNumberFormat="0" applyBorder="0" applyAlignment="0" applyProtection="0"/>
    <xf numFmtId="0" fontId="42" fillId="17" borderId="0" applyNumberFormat="0" applyBorder="0" applyAlignment="0" applyProtection="0"/>
    <xf numFmtId="0" fontId="42" fillId="17" borderId="0" applyNumberFormat="0" applyBorder="0" applyAlignment="0" applyProtection="0"/>
    <xf numFmtId="0" fontId="42" fillId="17" borderId="0" applyNumberFormat="0" applyBorder="0" applyAlignment="0" applyProtection="0"/>
    <xf numFmtId="0" fontId="42" fillId="17" borderId="0" applyNumberFormat="0" applyBorder="0" applyAlignment="0" applyProtection="0"/>
    <xf numFmtId="0" fontId="42" fillId="17" borderId="0" applyNumberFormat="0" applyBorder="0" applyAlignment="0" applyProtection="0"/>
    <xf numFmtId="0" fontId="42" fillId="17" borderId="0" applyNumberFormat="0" applyBorder="0" applyAlignment="0" applyProtection="0"/>
    <xf numFmtId="0" fontId="42" fillId="18" borderId="0" applyNumberFormat="0" applyBorder="0" applyAlignment="0" applyProtection="0"/>
    <xf numFmtId="0" fontId="42" fillId="19" borderId="0" applyNumberFormat="0" applyBorder="0" applyAlignment="0" applyProtection="0"/>
    <xf numFmtId="0" fontId="42" fillId="19" borderId="0" applyNumberFormat="0" applyBorder="0" applyAlignment="0" applyProtection="0"/>
    <xf numFmtId="0" fontId="42" fillId="19" borderId="0" applyNumberFormat="0" applyBorder="0" applyAlignment="0" applyProtection="0"/>
    <xf numFmtId="0" fontId="42" fillId="19" borderId="0" applyNumberFormat="0" applyBorder="0" applyAlignment="0" applyProtection="0"/>
    <xf numFmtId="0" fontId="42" fillId="19" borderId="0" applyNumberFormat="0" applyBorder="0" applyAlignment="0" applyProtection="0"/>
    <xf numFmtId="0" fontId="42" fillId="19" borderId="0" applyNumberFormat="0" applyBorder="0" applyAlignment="0" applyProtection="0"/>
    <xf numFmtId="0" fontId="42" fillId="19" borderId="0" applyNumberFormat="0" applyBorder="0" applyAlignment="0" applyProtection="0"/>
    <xf numFmtId="0" fontId="42" fillId="19" borderId="0" applyNumberFormat="0" applyBorder="0" applyAlignment="0" applyProtection="0"/>
    <xf numFmtId="0" fontId="42" fillId="19" borderId="0" applyNumberFormat="0" applyBorder="0" applyAlignment="0" applyProtection="0"/>
    <xf numFmtId="0" fontId="42" fillId="19" borderId="0" applyNumberFormat="0" applyBorder="0" applyAlignment="0" applyProtection="0"/>
    <xf numFmtId="0" fontId="42" fillId="19" borderId="0" applyNumberFormat="0" applyBorder="0" applyAlignment="0" applyProtection="0"/>
    <xf numFmtId="0" fontId="42" fillId="19" borderId="0" applyNumberFormat="0" applyBorder="0" applyAlignment="0" applyProtection="0"/>
    <xf numFmtId="0" fontId="42" fillId="19" borderId="0" applyNumberFormat="0" applyBorder="0" applyAlignment="0" applyProtection="0"/>
    <xf numFmtId="0" fontId="42" fillId="19" borderId="0" applyNumberFormat="0" applyBorder="0" applyAlignment="0" applyProtection="0"/>
    <xf numFmtId="0" fontId="42" fillId="19" borderId="0" applyNumberFormat="0" applyBorder="0" applyAlignment="0" applyProtection="0"/>
    <xf numFmtId="0" fontId="42" fillId="19" borderId="0" applyNumberFormat="0" applyBorder="0" applyAlignment="0" applyProtection="0"/>
    <xf numFmtId="0" fontId="42" fillId="19" borderId="0" applyNumberFormat="0" applyBorder="0" applyAlignment="0" applyProtection="0"/>
    <xf numFmtId="0" fontId="42" fillId="19" borderId="0" applyNumberFormat="0" applyBorder="0" applyAlignment="0" applyProtection="0"/>
    <xf numFmtId="0" fontId="42" fillId="19" borderId="0" applyNumberFormat="0" applyBorder="0" applyAlignment="0" applyProtection="0"/>
    <xf numFmtId="0" fontId="42" fillId="19" borderId="0" applyNumberFormat="0" applyBorder="0" applyAlignment="0" applyProtection="0"/>
    <xf numFmtId="0" fontId="42" fillId="19" borderId="0" applyNumberFormat="0" applyBorder="0" applyAlignment="0" applyProtection="0"/>
    <xf numFmtId="0" fontId="42" fillId="19" borderId="0" applyNumberFormat="0" applyBorder="0" applyAlignment="0" applyProtection="0"/>
    <xf numFmtId="0" fontId="42" fillId="19" borderId="0" applyNumberFormat="0" applyBorder="0" applyAlignment="0" applyProtection="0"/>
    <xf numFmtId="0" fontId="42" fillId="19" borderId="0" applyNumberFormat="0" applyBorder="0" applyAlignment="0" applyProtection="0"/>
    <xf numFmtId="0" fontId="42" fillId="19" borderId="0" applyNumberFormat="0" applyBorder="0" applyAlignment="0" applyProtection="0"/>
    <xf numFmtId="0" fontId="42" fillId="19" borderId="0" applyNumberFormat="0" applyBorder="0" applyAlignment="0" applyProtection="0"/>
    <xf numFmtId="0" fontId="42" fillId="19" borderId="0" applyNumberFormat="0" applyBorder="0" applyAlignment="0" applyProtection="0"/>
    <xf numFmtId="0" fontId="42" fillId="19" borderId="0" applyNumberFormat="0" applyBorder="0" applyAlignment="0" applyProtection="0"/>
    <xf numFmtId="0" fontId="42" fillId="20" borderId="0" applyNumberFormat="0" applyBorder="0" applyAlignment="0" applyProtection="0"/>
    <xf numFmtId="0" fontId="42" fillId="20" borderId="0" applyNumberFormat="0" applyBorder="0" applyAlignment="0" applyProtection="0"/>
    <xf numFmtId="0" fontId="42" fillId="20" borderId="0" applyNumberFormat="0" applyBorder="0" applyAlignment="0" applyProtection="0"/>
    <xf numFmtId="0" fontId="42" fillId="20" borderId="0" applyNumberFormat="0" applyBorder="0" applyAlignment="0" applyProtection="0"/>
    <xf numFmtId="0" fontId="42" fillId="20" borderId="0" applyNumberFormat="0" applyBorder="0" applyAlignment="0" applyProtection="0"/>
    <xf numFmtId="0" fontId="42" fillId="20" borderId="0" applyNumberFormat="0" applyBorder="0" applyAlignment="0" applyProtection="0"/>
    <xf numFmtId="0" fontId="42" fillId="20" borderId="0" applyNumberFormat="0" applyBorder="0" applyAlignment="0" applyProtection="0"/>
    <xf numFmtId="0" fontId="42" fillId="20" borderId="0" applyNumberFormat="0" applyBorder="0" applyAlignment="0" applyProtection="0"/>
    <xf numFmtId="0" fontId="42" fillId="20" borderId="0" applyNumberFormat="0" applyBorder="0" applyAlignment="0" applyProtection="0"/>
    <xf numFmtId="0" fontId="42" fillId="20" borderId="0" applyNumberFormat="0" applyBorder="0" applyAlignment="0" applyProtection="0"/>
    <xf numFmtId="0" fontId="42" fillId="20" borderId="0" applyNumberFormat="0" applyBorder="0" applyAlignment="0" applyProtection="0"/>
    <xf numFmtId="0" fontId="42" fillId="20" borderId="0" applyNumberFormat="0" applyBorder="0" applyAlignment="0" applyProtection="0"/>
    <xf numFmtId="0" fontId="42" fillId="20" borderId="0" applyNumberFormat="0" applyBorder="0" applyAlignment="0" applyProtection="0"/>
    <xf numFmtId="0" fontId="42" fillId="20" borderId="0" applyNumberFormat="0" applyBorder="0" applyAlignment="0" applyProtection="0"/>
    <xf numFmtId="0" fontId="42" fillId="20" borderId="0" applyNumberFormat="0" applyBorder="0" applyAlignment="0" applyProtection="0"/>
    <xf numFmtId="0" fontId="42" fillId="20" borderId="0" applyNumberFormat="0" applyBorder="0" applyAlignment="0" applyProtection="0"/>
    <xf numFmtId="0" fontId="42" fillId="20" borderId="0" applyNumberFormat="0" applyBorder="0" applyAlignment="0" applyProtection="0"/>
    <xf numFmtId="0" fontId="42" fillId="20" borderId="0" applyNumberFormat="0" applyBorder="0" applyAlignment="0" applyProtection="0"/>
    <xf numFmtId="0" fontId="42" fillId="20" borderId="0" applyNumberFormat="0" applyBorder="0" applyAlignment="0" applyProtection="0"/>
    <xf numFmtId="0" fontId="42" fillId="20" borderId="0" applyNumberFormat="0" applyBorder="0" applyAlignment="0" applyProtection="0"/>
    <xf numFmtId="0" fontId="42" fillId="20" borderId="0" applyNumberFormat="0" applyBorder="0" applyAlignment="0" applyProtection="0"/>
    <xf numFmtId="0" fontId="42" fillId="20" borderId="0" applyNumberFormat="0" applyBorder="0" applyAlignment="0" applyProtection="0"/>
    <xf numFmtId="0" fontId="42" fillId="20" borderId="0" applyNumberFormat="0" applyBorder="0" applyAlignment="0" applyProtection="0"/>
    <xf numFmtId="0" fontId="42" fillId="20" borderId="0" applyNumberFormat="0" applyBorder="0" applyAlignment="0" applyProtection="0"/>
    <xf numFmtId="0" fontId="42" fillId="20" borderId="0" applyNumberFormat="0" applyBorder="0" applyAlignment="0" applyProtection="0"/>
    <xf numFmtId="0" fontId="42" fillId="20" borderId="0" applyNumberFormat="0" applyBorder="0" applyAlignment="0" applyProtection="0"/>
    <xf numFmtId="0" fontId="42" fillId="20" borderId="0" applyNumberFormat="0" applyBorder="0" applyAlignment="0" applyProtection="0"/>
    <xf numFmtId="0" fontId="42" fillId="20" borderId="0" applyNumberFormat="0" applyBorder="0" applyAlignment="0" applyProtection="0"/>
    <xf numFmtId="0" fontId="42" fillId="20" borderId="0" applyNumberFormat="0" applyBorder="0" applyAlignment="0" applyProtection="0"/>
    <xf numFmtId="0" fontId="42" fillId="16" borderId="0" applyNumberFormat="0" applyBorder="0" applyAlignment="0" applyProtection="0"/>
    <xf numFmtId="0" fontId="42" fillId="18" borderId="0" applyNumberFormat="0" applyBorder="0" applyAlignment="0" applyProtection="0"/>
    <xf numFmtId="0" fontId="42" fillId="18" borderId="0" applyNumberFormat="0" applyBorder="0" applyAlignment="0" applyProtection="0"/>
    <xf numFmtId="0" fontId="42" fillId="18" borderId="0" applyNumberFormat="0" applyBorder="0" applyAlignment="0" applyProtection="0"/>
    <xf numFmtId="0" fontId="42" fillId="18" borderId="0" applyNumberFormat="0" applyBorder="0" applyAlignment="0" applyProtection="0"/>
    <xf numFmtId="0" fontId="42" fillId="18" borderId="0" applyNumberFormat="0" applyBorder="0" applyAlignment="0" applyProtection="0"/>
    <xf numFmtId="0" fontId="42" fillId="18" borderId="0" applyNumberFormat="0" applyBorder="0" applyAlignment="0" applyProtection="0"/>
    <xf numFmtId="0" fontId="42" fillId="18" borderId="0" applyNumberFormat="0" applyBorder="0" applyAlignment="0" applyProtection="0"/>
    <xf numFmtId="0" fontId="42" fillId="18" borderId="0" applyNumberFormat="0" applyBorder="0" applyAlignment="0" applyProtection="0"/>
    <xf numFmtId="0" fontId="42" fillId="18" borderId="0" applyNumberFormat="0" applyBorder="0" applyAlignment="0" applyProtection="0"/>
    <xf numFmtId="0" fontId="42" fillId="18" borderId="0" applyNumberFormat="0" applyBorder="0" applyAlignment="0" applyProtection="0"/>
    <xf numFmtId="0" fontId="42" fillId="18" borderId="0" applyNumberFormat="0" applyBorder="0" applyAlignment="0" applyProtection="0"/>
    <xf numFmtId="0" fontId="42" fillId="18" borderId="0" applyNumberFormat="0" applyBorder="0" applyAlignment="0" applyProtection="0"/>
    <xf numFmtId="0" fontId="42" fillId="18" borderId="0" applyNumberFormat="0" applyBorder="0" applyAlignment="0" applyProtection="0"/>
    <xf numFmtId="0" fontId="42" fillId="18" borderId="0" applyNumberFormat="0" applyBorder="0" applyAlignment="0" applyProtection="0"/>
    <xf numFmtId="0" fontId="42" fillId="18" borderId="0" applyNumberFormat="0" applyBorder="0" applyAlignment="0" applyProtection="0"/>
    <xf numFmtId="0" fontId="42" fillId="18" borderId="0" applyNumberFormat="0" applyBorder="0" applyAlignment="0" applyProtection="0"/>
    <xf numFmtId="0" fontId="42" fillId="18" borderId="0" applyNumberFormat="0" applyBorder="0" applyAlignment="0" applyProtection="0"/>
    <xf numFmtId="0" fontId="42" fillId="18" borderId="0" applyNumberFormat="0" applyBorder="0" applyAlignment="0" applyProtection="0"/>
    <xf numFmtId="0" fontId="42" fillId="18" borderId="0" applyNumberFormat="0" applyBorder="0" applyAlignment="0" applyProtection="0"/>
    <xf numFmtId="0" fontId="42" fillId="18" borderId="0" applyNumberFormat="0" applyBorder="0" applyAlignment="0" applyProtection="0"/>
    <xf numFmtId="0" fontId="42" fillId="18" borderId="0" applyNumberFormat="0" applyBorder="0" applyAlignment="0" applyProtection="0"/>
    <xf numFmtId="0" fontId="42" fillId="18" borderId="0" applyNumberFormat="0" applyBorder="0" applyAlignment="0" applyProtection="0"/>
    <xf numFmtId="0" fontId="42" fillId="18" borderId="0" applyNumberFormat="0" applyBorder="0" applyAlignment="0" applyProtection="0"/>
    <xf numFmtId="0" fontId="42" fillId="18" borderId="0" applyNumberFormat="0" applyBorder="0" applyAlignment="0" applyProtection="0"/>
    <xf numFmtId="0" fontId="42" fillId="18" borderId="0" applyNumberFormat="0" applyBorder="0" applyAlignment="0" applyProtection="0"/>
    <xf numFmtId="0" fontId="42" fillId="18" borderId="0" applyNumberFormat="0" applyBorder="0" applyAlignment="0" applyProtection="0"/>
    <xf numFmtId="0" fontId="42" fillId="18" borderId="0" applyNumberFormat="0" applyBorder="0" applyAlignment="0" applyProtection="0"/>
    <xf numFmtId="0" fontId="42" fillId="18" borderId="0" applyNumberFormat="0" applyBorder="0" applyAlignment="0" applyProtection="0"/>
    <xf numFmtId="49" fontId="62" fillId="0" borderId="13" applyNumberFormat="0" applyFont="0" applyFill="0" applyBorder="0" applyProtection="0">
      <alignment horizontal="left" vertical="center" indent="2"/>
    </xf>
    <xf numFmtId="0" fontId="42" fillId="20" borderId="0" applyNumberFormat="0" applyBorder="0" applyAlignment="0" applyProtection="0"/>
    <xf numFmtId="0" fontId="42" fillId="12" borderId="0" applyNumberFormat="0" applyBorder="0" applyAlignment="0" applyProtection="0"/>
    <xf numFmtId="0" fontId="42" fillId="12" borderId="0" applyNumberFormat="0" applyBorder="0" applyAlignment="0" applyProtection="0"/>
    <xf numFmtId="0" fontId="42" fillId="12" borderId="0" applyNumberFormat="0" applyBorder="0" applyAlignment="0" applyProtection="0"/>
    <xf numFmtId="0" fontId="42" fillId="12" borderId="0" applyNumberFormat="0" applyBorder="0" applyAlignment="0" applyProtection="0"/>
    <xf numFmtId="0" fontId="42" fillId="12" borderId="0" applyNumberFormat="0" applyBorder="0" applyAlignment="0" applyProtection="0"/>
    <xf numFmtId="0" fontId="42" fillId="12" borderId="0" applyNumberFormat="0" applyBorder="0" applyAlignment="0" applyProtection="0"/>
    <xf numFmtId="0" fontId="42" fillId="12" borderId="0" applyNumberFormat="0" applyBorder="0" applyAlignment="0" applyProtection="0"/>
    <xf numFmtId="0" fontId="42" fillId="12" borderId="0" applyNumberFormat="0" applyBorder="0" applyAlignment="0" applyProtection="0"/>
    <xf numFmtId="0" fontId="42" fillId="12" borderId="0" applyNumberFormat="0" applyBorder="0" applyAlignment="0" applyProtection="0"/>
    <xf numFmtId="0" fontId="42" fillId="12" borderId="0" applyNumberFormat="0" applyBorder="0" applyAlignment="0" applyProtection="0"/>
    <xf numFmtId="0" fontId="42" fillId="12" borderId="0" applyNumberFormat="0" applyBorder="0" applyAlignment="0" applyProtection="0"/>
    <xf numFmtId="0" fontId="42" fillId="12" borderId="0" applyNumberFormat="0" applyBorder="0" applyAlignment="0" applyProtection="0"/>
    <xf numFmtId="0" fontId="42" fillId="12" borderId="0" applyNumberFormat="0" applyBorder="0" applyAlignment="0" applyProtection="0"/>
    <xf numFmtId="0" fontId="42" fillId="12" borderId="0" applyNumberFormat="0" applyBorder="0" applyAlignment="0" applyProtection="0"/>
    <xf numFmtId="0" fontId="42" fillId="12" borderId="0" applyNumberFormat="0" applyBorder="0" applyAlignment="0" applyProtection="0"/>
    <xf numFmtId="0" fontId="42" fillId="12" borderId="0" applyNumberFormat="0" applyBorder="0" applyAlignment="0" applyProtection="0"/>
    <xf numFmtId="0" fontId="42" fillId="12" borderId="0" applyNumberFormat="0" applyBorder="0" applyAlignment="0" applyProtection="0"/>
    <xf numFmtId="0" fontId="42" fillId="12" borderId="0" applyNumberFormat="0" applyBorder="0" applyAlignment="0" applyProtection="0"/>
    <xf numFmtId="0" fontId="42" fillId="12" borderId="0" applyNumberFormat="0" applyBorder="0" applyAlignment="0" applyProtection="0"/>
    <xf numFmtId="0" fontId="42" fillId="12" borderId="0" applyNumberFormat="0" applyBorder="0" applyAlignment="0" applyProtection="0"/>
    <xf numFmtId="0" fontId="42" fillId="12" borderId="0" applyNumberFormat="0" applyBorder="0" applyAlignment="0" applyProtection="0"/>
    <xf numFmtId="0" fontId="42" fillId="12" borderId="0" applyNumberFormat="0" applyBorder="0" applyAlignment="0" applyProtection="0"/>
    <xf numFmtId="0" fontId="42" fillId="12" borderId="0" applyNumberFormat="0" applyBorder="0" applyAlignment="0" applyProtection="0"/>
    <xf numFmtId="0" fontId="42" fillId="12" borderId="0" applyNumberFormat="0" applyBorder="0" applyAlignment="0" applyProtection="0"/>
    <xf numFmtId="0" fontId="42" fillId="12" borderId="0" applyNumberFormat="0" applyBorder="0" applyAlignment="0" applyProtection="0"/>
    <xf numFmtId="0" fontId="42" fillId="12" borderId="0" applyNumberFormat="0" applyBorder="0" applyAlignment="0" applyProtection="0"/>
    <xf numFmtId="0" fontId="42" fillId="12" borderId="0" applyNumberFormat="0" applyBorder="0" applyAlignment="0" applyProtection="0"/>
    <xf numFmtId="0" fontId="42" fillId="12" borderId="0" applyNumberFormat="0" applyBorder="0" applyAlignment="0" applyProtection="0"/>
    <xf numFmtId="0" fontId="42" fillId="14" borderId="0" applyNumberFormat="0" applyBorder="0" applyAlignment="0" applyProtection="0"/>
    <xf numFmtId="0" fontId="42" fillId="14" borderId="0" applyNumberFormat="0" applyBorder="0" applyAlignment="0" applyProtection="0"/>
    <xf numFmtId="0" fontId="42" fillId="14" borderId="0" applyNumberFormat="0" applyBorder="0" applyAlignment="0" applyProtection="0"/>
    <xf numFmtId="0" fontId="42" fillId="14" borderId="0" applyNumberFormat="0" applyBorder="0" applyAlignment="0" applyProtection="0"/>
    <xf numFmtId="0" fontId="42" fillId="14" borderId="0" applyNumberFormat="0" applyBorder="0" applyAlignment="0" applyProtection="0"/>
    <xf numFmtId="0" fontId="42" fillId="14" borderId="0" applyNumberFormat="0" applyBorder="0" applyAlignment="0" applyProtection="0"/>
    <xf numFmtId="0" fontId="42" fillId="14" borderId="0" applyNumberFormat="0" applyBorder="0" applyAlignment="0" applyProtection="0"/>
    <xf numFmtId="0" fontId="42" fillId="14" borderId="0" applyNumberFormat="0" applyBorder="0" applyAlignment="0" applyProtection="0"/>
    <xf numFmtId="0" fontId="42" fillId="14" borderId="0" applyNumberFormat="0" applyBorder="0" applyAlignment="0" applyProtection="0"/>
    <xf numFmtId="0" fontId="42" fillId="14" borderId="0" applyNumberFormat="0" applyBorder="0" applyAlignment="0" applyProtection="0"/>
    <xf numFmtId="0" fontId="42" fillId="14" borderId="0" applyNumberFormat="0" applyBorder="0" applyAlignment="0" applyProtection="0"/>
    <xf numFmtId="0" fontId="42" fillId="14" borderId="0" applyNumberFormat="0" applyBorder="0" applyAlignment="0" applyProtection="0"/>
    <xf numFmtId="0" fontId="42" fillId="14" borderId="0" applyNumberFormat="0" applyBorder="0" applyAlignment="0" applyProtection="0"/>
    <xf numFmtId="0" fontId="42" fillId="14" borderId="0" applyNumberFormat="0" applyBorder="0" applyAlignment="0" applyProtection="0"/>
    <xf numFmtId="0" fontId="42" fillId="14" borderId="0" applyNumberFormat="0" applyBorder="0" applyAlignment="0" applyProtection="0"/>
    <xf numFmtId="0" fontId="42" fillId="14" borderId="0" applyNumberFormat="0" applyBorder="0" applyAlignment="0" applyProtection="0"/>
    <xf numFmtId="0" fontId="42" fillId="14" borderId="0" applyNumberFormat="0" applyBorder="0" applyAlignment="0" applyProtection="0"/>
    <xf numFmtId="0" fontId="42" fillId="14" borderId="0" applyNumberFormat="0" applyBorder="0" applyAlignment="0" applyProtection="0"/>
    <xf numFmtId="0" fontId="42" fillId="14" borderId="0" applyNumberFormat="0" applyBorder="0" applyAlignment="0" applyProtection="0"/>
    <xf numFmtId="0" fontId="42" fillId="14" borderId="0" applyNumberFormat="0" applyBorder="0" applyAlignment="0" applyProtection="0"/>
    <xf numFmtId="0" fontId="42" fillId="14" borderId="0" applyNumberFormat="0" applyBorder="0" applyAlignment="0" applyProtection="0"/>
    <xf numFmtId="0" fontId="42" fillId="14" borderId="0" applyNumberFormat="0" applyBorder="0" applyAlignment="0" applyProtection="0"/>
    <xf numFmtId="0" fontId="42" fillId="14" borderId="0" applyNumberFormat="0" applyBorder="0" applyAlignment="0" applyProtection="0"/>
    <xf numFmtId="0" fontId="42" fillId="14" borderId="0" applyNumberFormat="0" applyBorder="0" applyAlignment="0" applyProtection="0"/>
    <xf numFmtId="0" fontId="42" fillId="14" borderId="0" applyNumberFormat="0" applyBorder="0" applyAlignment="0" applyProtection="0"/>
    <xf numFmtId="0" fontId="42" fillId="14" borderId="0" applyNumberFormat="0" applyBorder="0" applyAlignment="0" applyProtection="0"/>
    <xf numFmtId="0" fontId="42" fillId="14" borderId="0" applyNumberFormat="0" applyBorder="0" applyAlignment="0" applyProtection="0"/>
    <xf numFmtId="0" fontId="42" fillId="14" borderId="0" applyNumberFormat="0" applyBorder="0" applyAlignment="0" applyProtection="0"/>
    <xf numFmtId="0" fontId="42" fillId="14" borderId="0" applyNumberFormat="0" applyBorder="0" applyAlignment="0" applyProtection="0"/>
    <xf numFmtId="0" fontId="42" fillId="21" borderId="0" applyNumberFormat="0" applyBorder="0" applyAlignment="0" applyProtection="0"/>
    <xf numFmtId="0" fontId="42" fillId="22" borderId="0" applyNumberFormat="0" applyBorder="0" applyAlignment="0" applyProtection="0"/>
    <xf numFmtId="0" fontId="42" fillId="22" borderId="0" applyNumberFormat="0" applyBorder="0" applyAlignment="0" applyProtection="0"/>
    <xf numFmtId="0" fontId="42" fillId="22" borderId="0" applyNumberFormat="0" applyBorder="0" applyAlignment="0" applyProtection="0"/>
    <xf numFmtId="0" fontId="42" fillId="22" borderId="0" applyNumberFormat="0" applyBorder="0" applyAlignment="0" applyProtection="0"/>
    <xf numFmtId="0" fontId="42" fillId="22" borderId="0" applyNumberFormat="0" applyBorder="0" applyAlignment="0" applyProtection="0"/>
    <xf numFmtId="0" fontId="42" fillId="22" borderId="0" applyNumberFormat="0" applyBorder="0" applyAlignment="0" applyProtection="0"/>
    <xf numFmtId="0" fontId="42" fillId="22" borderId="0" applyNumberFormat="0" applyBorder="0" applyAlignment="0" applyProtection="0"/>
    <xf numFmtId="0" fontId="42" fillId="22" borderId="0" applyNumberFormat="0" applyBorder="0" applyAlignment="0" applyProtection="0"/>
    <xf numFmtId="0" fontId="42" fillId="22" borderId="0" applyNumberFormat="0" applyBorder="0" applyAlignment="0" applyProtection="0"/>
    <xf numFmtId="0" fontId="42" fillId="22" borderId="0" applyNumberFormat="0" applyBorder="0" applyAlignment="0" applyProtection="0"/>
    <xf numFmtId="0" fontId="42" fillId="22" borderId="0" applyNumberFormat="0" applyBorder="0" applyAlignment="0" applyProtection="0"/>
    <xf numFmtId="0" fontId="42" fillId="22" borderId="0" applyNumberFormat="0" applyBorder="0" applyAlignment="0" applyProtection="0"/>
    <xf numFmtId="0" fontId="42" fillId="22" borderId="0" applyNumberFormat="0" applyBorder="0" applyAlignment="0" applyProtection="0"/>
    <xf numFmtId="0" fontId="42" fillId="22" borderId="0" applyNumberFormat="0" applyBorder="0" applyAlignment="0" applyProtection="0"/>
    <xf numFmtId="0" fontId="42" fillId="22" borderId="0" applyNumberFormat="0" applyBorder="0" applyAlignment="0" applyProtection="0"/>
    <xf numFmtId="0" fontId="42" fillId="22" borderId="0" applyNumberFormat="0" applyBorder="0" applyAlignment="0" applyProtection="0"/>
    <xf numFmtId="0" fontId="42" fillId="22" borderId="0" applyNumberFormat="0" applyBorder="0" applyAlignment="0" applyProtection="0"/>
    <xf numFmtId="0" fontId="42" fillId="22" borderId="0" applyNumberFormat="0" applyBorder="0" applyAlignment="0" applyProtection="0"/>
    <xf numFmtId="0" fontId="42" fillId="22" borderId="0" applyNumberFormat="0" applyBorder="0" applyAlignment="0" applyProtection="0"/>
    <xf numFmtId="0" fontId="42" fillId="22" borderId="0" applyNumberFormat="0" applyBorder="0" applyAlignment="0" applyProtection="0"/>
    <xf numFmtId="0" fontId="42" fillId="22" borderId="0" applyNumberFormat="0" applyBorder="0" applyAlignment="0" applyProtection="0"/>
    <xf numFmtId="0" fontId="42" fillId="22" borderId="0" applyNumberFormat="0" applyBorder="0" applyAlignment="0" applyProtection="0"/>
    <xf numFmtId="0" fontId="42" fillId="22" borderId="0" applyNumberFormat="0" applyBorder="0" applyAlignment="0" applyProtection="0"/>
    <xf numFmtId="0" fontId="42" fillId="22" borderId="0" applyNumberFormat="0" applyBorder="0" applyAlignment="0" applyProtection="0"/>
    <xf numFmtId="0" fontId="42" fillId="22" borderId="0" applyNumberFormat="0" applyBorder="0" applyAlignment="0" applyProtection="0"/>
    <xf numFmtId="0" fontId="42" fillId="22" borderId="0" applyNumberFormat="0" applyBorder="0" applyAlignment="0" applyProtection="0"/>
    <xf numFmtId="0" fontId="42" fillId="22" borderId="0" applyNumberFormat="0" applyBorder="0" applyAlignment="0" applyProtection="0"/>
    <xf numFmtId="0" fontId="42" fillId="22" borderId="0" applyNumberFormat="0" applyBorder="0" applyAlignment="0" applyProtection="0"/>
    <xf numFmtId="0" fontId="42" fillId="15" borderId="0" applyNumberFormat="0" applyBorder="0" applyAlignment="0" applyProtection="0"/>
    <xf numFmtId="0" fontId="42" fillId="19" borderId="0" applyNumberFormat="0" applyBorder="0" applyAlignment="0" applyProtection="0"/>
    <xf numFmtId="0" fontId="42" fillId="19" borderId="0" applyNumberFormat="0" applyBorder="0" applyAlignment="0" applyProtection="0"/>
    <xf numFmtId="0" fontId="42" fillId="19" borderId="0" applyNumberFormat="0" applyBorder="0" applyAlignment="0" applyProtection="0"/>
    <xf numFmtId="0" fontId="42" fillId="19" borderId="0" applyNumberFormat="0" applyBorder="0" applyAlignment="0" applyProtection="0"/>
    <xf numFmtId="0" fontId="42" fillId="19" borderId="0" applyNumberFormat="0" applyBorder="0" applyAlignment="0" applyProtection="0"/>
    <xf numFmtId="0" fontId="42" fillId="19" borderId="0" applyNumberFormat="0" applyBorder="0" applyAlignment="0" applyProtection="0"/>
    <xf numFmtId="0" fontId="42" fillId="19" borderId="0" applyNumberFormat="0" applyBorder="0" applyAlignment="0" applyProtection="0"/>
    <xf numFmtId="0" fontId="42" fillId="19" borderId="0" applyNumberFormat="0" applyBorder="0" applyAlignment="0" applyProtection="0"/>
    <xf numFmtId="0" fontId="42" fillId="19" borderId="0" applyNumberFormat="0" applyBorder="0" applyAlignment="0" applyProtection="0"/>
    <xf numFmtId="0" fontId="42" fillId="19" borderId="0" applyNumberFormat="0" applyBorder="0" applyAlignment="0" applyProtection="0"/>
    <xf numFmtId="0" fontId="42" fillId="19" borderId="0" applyNumberFormat="0" applyBorder="0" applyAlignment="0" applyProtection="0"/>
    <xf numFmtId="0" fontId="42" fillId="19" borderId="0" applyNumberFormat="0" applyBorder="0" applyAlignment="0" applyProtection="0"/>
    <xf numFmtId="0" fontId="42" fillId="19" borderId="0" applyNumberFormat="0" applyBorder="0" applyAlignment="0" applyProtection="0"/>
    <xf numFmtId="0" fontId="42" fillId="19" borderId="0" applyNumberFormat="0" applyBorder="0" applyAlignment="0" applyProtection="0"/>
    <xf numFmtId="0" fontId="42" fillId="19" borderId="0" applyNumberFormat="0" applyBorder="0" applyAlignment="0" applyProtection="0"/>
    <xf numFmtId="0" fontId="42" fillId="19" borderId="0" applyNumberFormat="0" applyBorder="0" applyAlignment="0" applyProtection="0"/>
    <xf numFmtId="0" fontId="42" fillId="19" borderId="0" applyNumberFormat="0" applyBorder="0" applyAlignment="0" applyProtection="0"/>
    <xf numFmtId="0" fontId="42" fillId="19" borderId="0" applyNumberFormat="0" applyBorder="0" applyAlignment="0" applyProtection="0"/>
    <xf numFmtId="0" fontId="42" fillId="19" borderId="0" applyNumberFormat="0" applyBorder="0" applyAlignment="0" applyProtection="0"/>
    <xf numFmtId="0" fontId="42" fillId="19" borderId="0" applyNumberFormat="0" applyBorder="0" applyAlignment="0" applyProtection="0"/>
    <xf numFmtId="0" fontId="42" fillId="19" borderId="0" applyNumberFormat="0" applyBorder="0" applyAlignment="0" applyProtection="0"/>
    <xf numFmtId="0" fontId="42" fillId="19" borderId="0" applyNumberFormat="0" applyBorder="0" applyAlignment="0" applyProtection="0"/>
    <xf numFmtId="0" fontId="42" fillId="19" borderId="0" applyNumberFormat="0" applyBorder="0" applyAlignment="0" applyProtection="0"/>
    <xf numFmtId="0" fontId="42" fillId="19" borderId="0" applyNumberFormat="0" applyBorder="0" applyAlignment="0" applyProtection="0"/>
    <xf numFmtId="0" fontId="42" fillId="19" borderId="0" applyNumberFormat="0" applyBorder="0" applyAlignment="0" applyProtection="0"/>
    <xf numFmtId="0" fontId="42" fillId="19" borderId="0" applyNumberFormat="0" applyBorder="0" applyAlignment="0" applyProtection="0"/>
    <xf numFmtId="0" fontId="42" fillId="19" borderId="0" applyNumberFormat="0" applyBorder="0" applyAlignment="0" applyProtection="0"/>
    <xf numFmtId="0" fontId="42" fillId="19" borderId="0" applyNumberFormat="0" applyBorder="0" applyAlignment="0" applyProtection="0"/>
    <xf numFmtId="0" fontId="42" fillId="20" borderId="0" applyNumberFormat="0" applyBorder="0" applyAlignment="0" applyProtection="0"/>
    <xf numFmtId="0" fontId="42" fillId="12" borderId="0" applyNumberFormat="0" applyBorder="0" applyAlignment="0" applyProtection="0"/>
    <xf numFmtId="0" fontId="42" fillId="12" borderId="0" applyNumberFormat="0" applyBorder="0" applyAlignment="0" applyProtection="0"/>
    <xf numFmtId="0" fontId="42" fillId="12" borderId="0" applyNumberFormat="0" applyBorder="0" applyAlignment="0" applyProtection="0"/>
    <xf numFmtId="0" fontId="42" fillId="12" borderId="0" applyNumberFormat="0" applyBorder="0" applyAlignment="0" applyProtection="0"/>
    <xf numFmtId="0" fontId="42" fillId="12" borderId="0" applyNumberFormat="0" applyBorder="0" applyAlignment="0" applyProtection="0"/>
    <xf numFmtId="0" fontId="42" fillId="12" borderId="0" applyNumberFormat="0" applyBorder="0" applyAlignment="0" applyProtection="0"/>
    <xf numFmtId="0" fontId="42" fillId="12" borderId="0" applyNumberFormat="0" applyBorder="0" applyAlignment="0" applyProtection="0"/>
    <xf numFmtId="0" fontId="42" fillId="12" borderId="0" applyNumberFormat="0" applyBorder="0" applyAlignment="0" applyProtection="0"/>
    <xf numFmtId="0" fontId="42" fillId="12" borderId="0" applyNumberFormat="0" applyBorder="0" applyAlignment="0" applyProtection="0"/>
    <xf numFmtId="0" fontId="42" fillId="12" borderId="0" applyNumberFormat="0" applyBorder="0" applyAlignment="0" applyProtection="0"/>
    <xf numFmtId="0" fontId="42" fillId="12" borderId="0" applyNumberFormat="0" applyBorder="0" applyAlignment="0" applyProtection="0"/>
    <xf numFmtId="0" fontId="42" fillId="12" borderId="0" applyNumberFormat="0" applyBorder="0" applyAlignment="0" applyProtection="0"/>
    <xf numFmtId="0" fontId="42" fillId="12" borderId="0" applyNumberFormat="0" applyBorder="0" applyAlignment="0" applyProtection="0"/>
    <xf numFmtId="0" fontId="42" fillId="12" borderId="0" applyNumberFormat="0" applyBorder="0" applyAlignment="0" applyProtection="0"/>
    <xf numFmtId="0" fontId="42" fillId="12" borderId="0" applyNumberFormat="0" applyBorder="0" applyAlignment="0" applyProtection="0"/>
    <xf numFmtId="0" fontId="42" fillId="12" borderId="0" applyNumberFormat="0" applyBorder="0" applyAlignment="0" applyProtection="0"/>
    <xf numFmtId="0" fontId="42" fillId="12" borderId="0" applyNumberFormat="0" applyBorder="0" applyAlignment="0" applyProtection="0"/>
    <xf numFmtId="0" fontId="42" fillId="12" borderId="0" applyNumberFormat="0" applyBorder="0" applyAlignment="0" applyProtection="0"/>
    <xf numFmtId="0" fontId="42" fillId="12" borderId="0" applyNumberFormat="0" applyBorder="0" applyAlignment="0" applyProtection="0"/>
    <xf numFmtId="0" fontId="42" fillId="12" borderId="0" applyNumberFormat="0" applyBorder="0" applyAlignment="0" applyProtection="0"/>
    <xf numFmtId="0" fontId="42" fillId="12" borderId="0" applyNumberFormat="0" applyBorder="0" applyAlignment="0" applyProtection="0"/>
    <xf numFmtId="0" fontId="42" fillId="12" borderId="0" applyNumberFormat="0" applyBorder="0" applyAlignment="0" applyProtection="0"/>
    <xf numFmtId="0" fontId="42" fillId="12" borderId="0" applyNumberFormat="0" applyBorder="0" applyAlignment="0" applyProtection="0"/>
    <xf numFmtId="0" fontId="42" fillId="12" borderId="0" applyNumberFormat="0" applyBorder="0" applyAlignment="0" applyProtection="0"/>
    <xf numFmtId="0" fontId="42" fillId="12" borderId="0" applyNumberFormat="0" applyBorder="0" applyAlignment="0" applyProtection="0"/>
    <xf numFmtId="0" fontId="42" fillId="12" borderId="0" applyNumberFormat="0" applyBorder="0" applyAlignment="0" applyProtection="0"/>
    <xf numFmtId="0" fontId="42" fillId="12" borderId="0" applyNumberFormat="0" applyBorder="0" applyAlignment="0" applyProtection="0"/>
    <xf numFmtId="0" fontId="42" fillId="12" borderId="0" applyNumberFormat="0" applyBorder="0" applyAlignment="0" applyProtection="0"/>
    <xf numFmtId="0" fontId="42" fillId="16" borderId="0" applyNumberFormat="0" applyBorder="0" applyAlignment="0" applyProtection="0"/>
    <xf numFmtId="0" fontId="42" fillId="23" borderId="0" applyNumberFormat="0" applyBorder="0" applyAlignment="0" applyProtection="0"/>
    <xf numFmtId="0" fontId="42" fillId="23" borderId="0" applyNumberFormat="0" applyBorder="0" applyAlignment="0" applyProtection="0"/>
    <xf numFmtId="0" fontId="42" fillId="23" borderId="0" applyNumberFormat="0" applyBorder="0" applyAlignment="0" applyProtection="0"/>
    <xf numFmtId="0" fontId="42" fillId="23" borderId="0" applyNumberFormat="0" applyBorder="0" applyAlignment="0" applyProtection="0"/>
    <xf numFmtId="0" fontId="42" fillId="23" borderId="0" applyNumberFormat="0" applyBorder="0" applyAlignment="0" applyProtection="0"/>
    <xf numFmtId="0" fontId="42" fillId="23" borderId="0" applyNumberFormat="0" applyBorder="0" applyAlignment="0" applyProtection="0"/>
    <xf numFmtId="0" fontId="42" fillId="23" borderId="0" applyNumberFormat="0" applyBorder="0" applyAlignment="0" applyProtection="0"/>
    <xf numFmtId="0" fontId="42" fillId="23" borderId="0" applyNumberFormat="0" applyBorder="0" applyAlignment="0" applyProtection="0"/>
    <xf numFmtId="0" fontId="42" fillId="23" borderId="0" applyNumberFormat="0" applyBorder="0" applyAlignment="0" applyProtection="0"/>
    <xf numFmtId="0" fontId="42" fillId="23" borderId="0" applyNumberFormat="0" applyBorder="0" applyAlignment="0" applyProtection="0"/>
    <xf numFmtId="0" fontId="42" fillId="23" borderId="0" applyNumberFormat="0" applyBorder="0" applyAlignment="0" applyProtection="0"/>
    <xf numFmtId="0" fontId="42" fillId="23" borderId="0" applyNumberFormat="0" applyBorder="0" applyAlignment="0" applyProtection="0"/>
    <xf numFmtId="0" fontId="42" fillId="23" borderId="0" applyNumberFormat="0" applyBorder="0" applyAlignment="0" applyProtection="0"/>
    <xf numFmtId="0" fontId="42" fillId="23" borderId="0" applyNumberFormat="0" applyBorder="0" applyAlignment="0" applyProtection="0"/>
    <xf numFmtId="0" fontId="42" fillId="23" borderId="0" applyNumberFormat="0" applyBorder="0" applyAlignment="0" applyProtection="0"/>
    <xf numFmtId="0" fontId="42" fillId="23" borderId="0" applyNumberFormat="0" applyBorder="0" applyAlignment="0" applyProtection="0"/>
    <xf numFmtId="0" fontId="42" fillId="23" borderId="0" applyNumberFormat="0" applyBorder="0" applyAlignment="0" applyProtection="0"/>
    <xf numFmtId="0" fontId="42" fillId="23" borderId="0" applyNumberFormat="0" applyBorder="0" applyAlignment="0" applyProtection="0"/>
    <xf numFmtId="0" fontId="42" fillId="23" borderId="0" applyNumberFormat="0" applyBorder="0" applyAlignment="0" applyProtection="0"/>
    <xf numFmtId="0" fontId="42" fillId="23" borderId="0" applyNumberFormat="0" applyBorder="0" applyAlignment="0" applyProtection="0"/>
    <xf numFmtId="0" fontId="42" fillId="23" borderId="0" applyNumberFormat="0" applyBorder="0" applyAlignment="0" applyProtection="0"/>
    <xf numFmtId="0" fontId="42" fillId="23" borderId="0" applyNumberFormat="0" applyBorder="0" applyAlignment="0" applyProtection="0"/>
    <xf numFmtId="0" fontId="42" fillId="23" borderId="0" applyNumberFormat="0" applyBorder="0" applyAlignment="0" applyProtection="0"/>
    <xf numFmtId="0" fontId="42" fillId="23" borderId="0" applyNumberFormat="0" applyBorder="0" applyAlignment="0" applyProtection="0"/>
    <xf numFmtId="0" fontId="42" fillId="23" borderId="0" applyNumberFormat="0" applyBorder="0" applyAlignment="0" applyProtection="0"/>
    <xf numFmtId="0" fontId="42" fillId="23" borderId="0" applyNumberFormat="0" applyBorder="0" applyAlignment="0" applyProtection="0"/>
    <xf numFmtId="0" fontId="42" fillId="23" borderId="0" applyNumberFormat="0" applyBorder="0" applyAlignment="0" applyProtection="0"/>
    <xf numFmtId="0" fontId="42" fillId="23" borderId="0" applyNumberFormat="0" applyBorder="0" applyAlignment="0" applyProtection="0"/>
    <xf numFmtId="49" fontId="62" fillId="0" borderId="49" applyNumberFormat="0" applyFont="0" applyFill="0" applyBorder="0" applyProtection="0">
      <alignment horizontal="left" vertical="center" indent="5"/>
    </xf>
    <xf numFmtId="0" fontId="43" fillId="20" borderId="0" applyNumberFormat="0" applyBorder="0" applyAlignment="0" applyProtection="0"/>
    <xf numFmtId="0" fontId="43" fillId="24" borderId="0" applyNumberFormat="0" applyBorder="0" applyAlignment="0" applyProtection="0"/>
    <xf numFmtId="0" fontId="43" fillId="24" borderId="0" applyNumberFormat="0" applyBorder="0" applyAlignment="0" applyProtection="0"/>
    <xf numFmtId="0" fontId="43" fillId="24" borderId="0" applyNumberFormat="0" applyBorder="0" applyAlignment="0" applyProtection="0"/>
    <xf numFmtId="0" fontId="43" fillId="24" borderId="0" applyNumberFormat="0" applyBorder="0" applyAlignment="0" applyProtection="0"/>
    <xf numFmtId="0" fontId="43" fillId="24" borderId="0" applyNumberFormat="0" applyBorder="0" applyAlignment="0" applyProtection="0"/>
    <xf numFmtId="0" fontId="43" fillId="24" borderId="0" applyNumberFormat="0" applyBorder="0" applyAlignment="0" applyProtection="0"/>
    <xf numFmtId="0" fontId="43" fillId="24" borderId="0" applyNumberFormat="0" applyBorder="0" applyAlignment="0" applyProtection="0"/>
    <xf numFmtId="0" fontId="43" fillId="24" borderId="0" applyNumberFormat="0" applyBorder="0" applyAlignment="0" applyProtection="0"/>
    <xf numFmtId="0" fontId="43" fillId="24" borderId="0" applyNumberFormat="0" applyBorder="0" applyAlignment="0" applyProtection="0"/>
    <xf numFmtId="0" fontId="43" fillId="24" borderId="0" applyNumberFormat="0" applyBorder="0" applyAlignment="0" applyProtection="0"/>
    <xf numFmtId="0" fontId="43" fillId="24" borderId="0" applyNumberFormat="0" applyBorder="0" applyAlignment="0" applyProtection="0"/>
    <xf numFmtId="0" fontId="43" fillId="24" borderId="0" applyNumberFormat="0" applyBorder="0" applyAlignment="0" applyProtection="0"/>
    <xf numFmtId="0" fontId="43" fillId="24" borderId="0" applyNumberFormat="0" applyBorder="0" applyAlignment="0" applyProtection="0"/>
    <xf numFmtId="0" fontId="43" fillId="24" borderId="0" applyNumberFormat="0" applyBorder="0" applyAlignment="0" applyProtection="0"/>
    <xf numFmtId="0" fontId="43" fillId="24" borderId="0" applyNumberFormat="0" applyBorder="0" applyAlignment="0" applyProtection="0"/>
    <xf numFmtId="0" fontId="43" fillId="24" borderId="0" applyNumberFormat="0" applyBorder="0" applyAlignment="0" applyProtection="0"/>
    <xf numFmtId="0" fontId="43" fillId="24" borderId="0" applyNumberFormat="0" applyBorder="0" applyAlignment="0" applyProtection="0"/>
    <xf numFmtId="0" fontId="43" fillId="24" borderId="0" applyNumberFormat="0" applyBorder="0" applyAlignment="0" applyProtection="0"/>
    <xf numFmtId="0" fontId="43" fillId="24" borderId="0" applyNumberFormat="0" applyBorder="0" applyAlignment="0" applyProtection="0"/>
    <xf numFmtId="0" fontId="43" fillId="24" borderId="0" applyNumberFormat="0" applyBorder="0" applyAlignment="0" applyProtection="0"/>
    <xf numFmtId="0" fontId="43" fillId="25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23" borderId="0" applyNumberFormat="0" applyBorder="0" applyAlignment="0" applyProtection="0"/>
    <xf numFmtId="0" fontId="43" fillId="22" borderId="0" applyNumberFormat="0" applyBorder="0" applyAlignment="0" applyProtection="0"/>
    <xf numFmtId="0" fontId="43" fillId="22" borderId="0" applyNumberFormat="0" applyBorder="0" applyAlignment="0" applyProtection="0"/>
    <xf numFmtId="0" fontId="43" fillId="22" borderId="0" applyNumberFormat="0" applyBorder="0" applyAlignment="0" applyProtection="0"/>
    <xf numFmtId="0" fontId="43" fillId="22" borderId="0" applyNumberFormat="0" applyBorder="0" applyAlignment="0" applyProtection="0"/>
    <xf numFmtId="0" fontId="43" fillId="22" borderId="0" applyNumberFormat="0" applyBorder="0" applyAlignment="0" applyProtection="0"/>
    <xf numFmtId="0" fontId="43" fillId="22" borderId="0" applyNumberFormat="0" applyBorder="0" applyAlignment="0" applyProtection="0"/>
    <xf numFmtId="0" fontId="43" fillId="22" borderId="0" applyNumberFormat="0" applyBorder="0" applyAlignment="0" applyProtection="0"/>
    <xf numFmtId="0" fontId="43" fillId="22" borderId="0" applyNumberFormat="0" applyBorder="0" applyAlignment="0" applyProtection="0"/>
    <xf numFmtId="0" fontId="43" fillId="22" borderId="0" applyNumberFormat="0" applyBorder="0" applyAlignment="0" applyProtection="0"/>
    <xf numFmtId="0" fontId="43" fillId="22" borderId="0" applyNumberFormat="0" applyBorder="0" applyAlignment="0" applyProtection="0"/>
    <xf numFmtId="0" fontId="43" fillId="22" borderId="0" applyNumberFormat="0" applyBorder="0" applyAlignment="0" applyProtection="0"/>
    <xf numFmtId="0" fontId="43" fillId="22" borderId="0" applyNumberFormat="0" applyBorder="0" applyAlignment="0" applyProtection="0"/>
    <xf numFmtId="0" fontId="43" fillId="22" borderId="0" applyNumberFormat="0" applyBorder="0" applyAlignment="0" applyProtection="0"/>
    <xf numFmtId="0" fontId="43" fillId="22" borderId="0" applyNumberFormat="0" applyBorder="0" applyAlignment="0" applyProtection="0"/>
    <xf numFmtId="0" fontId="43" fillId="22" borderId="0" applyNumberFormat="0" applyBorder="0" applyAlignment="0" applyProtection="0"/>
    <xf numFmtId="0" fontId="43" fillId="22" borderId="0" applyNumberFormat="0" applyBorder="0" applyAlignment="0" applyProtection="0"/>
    <xf numFmtId="0" fontId="43" fillId="22" borderId="0" applyNumberFormat="0" applyBorder="0" applyAlignment="0" applyProtection="0"/>
    <xf numFmtId="0" fontId="43" fillId="22" borderId="0" applyNumberFormat="0" applyBorder="0" applyAlignment="0" applyProtection="0"/>
    <xf numFmtId="0" fontId="43" fillId="22" borderId="0" applyNumberFormat="0" applyBorder="0" applyAlignment="0" applyProtection="0"/>
    <xf numFmtId="0" fontId="43" fillId="22" borderId="0" applyNumberFormat="0" applyBorder="0" applyAlignment="0" applyProtection="0"/>
    <xf numFmtId="0" fontId="43" fillId="15" borderId="0" applyNumberFormat="0" applyBorder="0" applyAlignment="0" applyProtection="0"/>
    <xf numFmtId="0" fontId="43" fillId="26" borderId="0" applyNumberFormat="0" applyBorder="0" applyAlignment="0" applyProtection="0"/>
    <xf numFmtId="0" fontId="43" fillId="26" borderId="0" applyNumberFormat="0" applyBorder="0" applyAlignment="0" applyProtection="0"/>
    <xf numFmtId="0" fontId="43" fillId="26" borderId="0" applyNumberFormat="0" applyBorder="0" applyAlignment="0" applyProtection="0"/>
    <xf numFmtId="0" fontId="43" fillId="26" borderId="0" applyNumberFormat="0" applyBorder="0" applyAlignment="0" applyProtection="0"/>
    <xf numFmtId="0" fontId="43" fillId="26" borderId="0" applyNumberFormat="0" applyBorder="0" applyAlignment="0" applyProtection="0"/>
    <xf numFmtId="0" fontId="43" fillId="26" borderId="0" applyNumberFormat="0" applyBorder="0" applyAlignment="0" applyProtection="0"/>
    <xf numFmtId="0" fontId="43" fillId="26" borderId="0" applyNumberFormat="0" applyBorder="0" applyAlignment="0" applyProtection="0"/>
    <xf numFmtId="0" fontId="43" fillId="26" borderId="0" applyNumberFormat="0" applyBorder="0" applyAlignment="0" applyProtection="0"/>
    <xf numFmtId="0" fontId="43" fillId="26" borderId="0" applyNumberFormat="0" applyBorder="0" applyAlignment="0" applyProtection="0"/>
    <xf numFmtId="0" fontId="43" fillId="26" borderId="0" applyNumberFormat="0" applyBorder="0" applyAlignment="0" applyProtection="0"/>
    <xf numFmtId="0" fontId="43" fillId="26" borderId="0" applyNumberFormat="0" applyBorder="0" applyAlignment="0" applyProtection="0"/>
    <xf numFmtId="0" fontId="43" fillId="26" borderId="0" applyNumberFormat="0" applyBorder="0" applyAlignment="0" applyProtection="0"/>
    <xf numFmtId="0" fontId="43" fillId="26" borderId="0" applyNumberFormat="0" applyBorder="0" applyAlignment="0" applyProtection="0"/>
    <xf numFmtId="0" fontId="43" fillId="26" borderId="0" applyNumberFormat="0" applyBorder="0" applyAlignment="0" applyProtection="0"/>
    <xf numFmtId="0" fontId="43" fillId="26" borderId="0" applyNumberFormat="0" applyBorder="0" applyAlignment="0" applyProtection="0"/>
    <xf numFmtId="0" fontId="43" fillId="26" borderId="0" applyNumberFormat="0" applyBorder="0" applyAlignment="0" applyProtection="0"/>
    <xf numFmtId="0" fontId="43" fillId="26" borderId="0" applyNumberFormat="0" applyBorder="0" applyAlignment="0" applyProtection="0"/>
    <xf numFmtId="0" fontId="43" fillId="26" borderId="0" applyNumberFormat="0" applyBorder="0" applyAlignment="0" applyProtection="0"/>
    <xf numFmtId="0" fontId="43" fillId="26" borderId="0" applyNumberFormat="0" applyBorder="0" applyAlignment="0" applyProtection="0"/>
    <xf numFmtId="0" fontId="43" fillId="26" borderId="0" applyNumberFormat="0" applyBorder="0" applyAlignment="0" applyProtection="0"/>
    <xf numFmtId="0" fontId="43" fillId="20" borderId="0" applyNumberFormat="0" applyBorder="0" applyAlignment="0" applyProtection="0"/>
    <xf numFmtId="0" fontId="43" fillId="27" borderId="0" applyNumberFormat="0" applyBorder="0" applyAlignment="0" applyProtection="0"/>
    <xf numFmtId="0" fontId="43" fillId="27" borderId="0" applyNumberFormat="0" applyBorder="0" applyAlignment="0" applyProtection="0"/>
    <xf numFmtId="0" fontId="43" fillId="27" borderId="0" applyNumberFormat="0" applyBorder="0" applyAlignment="0" applyProtection="0"/>
    <xf numFmtId="0" fontId="43" fillId="27" borderId="0" applyNumberFormat="0" applyBorder="0" applyAlignment="0" applyProtection="0"/>
    <xf numFmtId="0" fontId="43" fillId="27" borderId="0" applyNumberFormat="0" applyBorder="0" applyAlignment="0" applyProtection="0"/>
    <xf numFmtId="0" fontId="43" fillId="27" borderId="0" applyNumberFormat="0" applyBorder="0" applyAlignment="0" applyProtection="0"/>
    <xf numFmtId="0" fontId="43" fillId="27" borderId="0" applyNumberFormat="0" applyBorder="0" applyAlignment="0" applyProtection="0"/>
    <xf numFmtId="0" fontId="43" fillId="27" borderId="0" applyNumberFormat="0" applyBorder="0" applyAlignment="0" applyProtection="0"/>
    <xf numFmtId="0" fontId="43" fillId="27" borderId="0" applyNumberFormat="0" applyBorder="0" applyAlignment="0" applyProtection="0"/>
    <xf numFmtId="0" fontId="43" fillId="27" borderId="0" applyNumberFormat="0" applyBorder="0" applyAlignment="0" applyProtection="0"/>
    <xf numFmtId="0" fontId="43" fillId="27" borderId="0" applyNumberFormat="0" applyBorder="0" applyAlignment="0" applyProtection="0"/>
    <xf numFmtId="0" fontId="43" fillId="27" borderId="0" applyNumberFormat="0" applyBorder="0" applyAlignment="0" applyProtection="0"/>
    <xf numFmtId="0" fontId="43" fillId="27" borderId="0" applyNumberFormat="0" applyBorder="0" applyAlignment="0" applyProtection="0"/>
    <xf numFmtId="0" fontId="43" fillId="27" borderId="0" applyNumberFormat="0" applyBorder="0" applyAlignment="0" applyProtection="0"/>
    <xf numFmtId="0" fontId="43" fillId="27" borderId="0" applyNumberFormat="0" applyBorder="0" applyAlignment="0" applyProtection="0"/>
    <xf numFmtId="0" fontId="43" fillId="27" borderId="0" applyNumberFormat="0" applyBorder="0" applyAlignment="0" applyProtection="0"/>
    <xf numFmtId="0" fontId="43" fillId="27" borderId="0" applyNumberFormat="0" applyBorder="0" applyAlignment="0" applyProtection="0"/>
    <xf numFmtId="0" fontId="43" fillId="27" borderId="0" applyNumberFormat="0" applyBorder="0" applyAlignment="0" applyProtection="0"/>
    <xf numFmtId="0" fontId="43" fillId="27" borderId="0" applyNumberFormat="0" applyBorder="0" applyAlignment="0" applyProtection="0"/>
    <xf numFmtId="0" fontId="43" fillId="27" borderId="0" applyNumberFormat="0" applyBorder="0" applyAlignment="0" applyProtection="0"/>
    <xf numFmtId="0" fontId="43" fillId="14" borderId="0" applyNumberFormat="0" applyBorder="0" applyAlignment="0" applyProtection="0"/>
    <xf numFmtId="0" fontId="43" fillId="28" borderId="0" applyNumberFormat="0" applyBorder="0" applyAlignment="0" applyProtection="0"/>
    <xf numFmtId="0" fontId="43" fillId="28" borderId="0" applyNumberFormat="0" applyBorder="0" applyAlignment="0" applyProtection="0"/>
    <xf numFmtId="0" fontId="43" fillId="28" borderId="0" applyNumberFormat="0" applyBorder="0" applyAlignment="0" applyProtection="0"/>
    <xf numFmtId="0" fontId="43" fillId="28" borderId="0" applyNumberFormat="0" applyBorder="0" applyAlignment="0" applyProtection="0"/>
    <xf numFmtId="0" fontId="43" fillId="28" borderId="0" applyNumberFormat="0" applyBorder="0" applyAlignment="0" applyProtection="0"/>
    <xf numFmtId="0" fontId="43" fillId="28" borderId="0" applyNumberFormat="0" applyBorder="0" applyAlignment="0" applyProtection="0"/>
    <xf numFmtId="0" fontId="43" fillId="28" borderId="0" applyNumberFormat="0" applyBorder="0" applyAlignment="0" applyProtection="0"/>
    <xf numFmtId="0" fontId="43" fillId="28" borderId="0" applyNumberFormat="0" applyBorder="0" applyAlignment="0" applyProtection="0"/>
    <xf numFmtId="0" fontId="43" fillId="28" borderId="0" applyNumberFormat="0" applyBorder="0" applyAlignment="0" applyProtection="0"/>
    <xf numFmtId="0" fontId="43" fillId="28" borderId="0" applyNumberFormat="0" applyBorder="0" applyAlignment="0" applyProtection="0"/>
    <xf numFmtId="0" fontId="43" fillId="28" borderId="0" applyNumberFormat="0" applyBorder="0" applyAlignment="0" applyProtection="0"/>
    <xf numFmtId="0" fontId="43" fillId="28" borderId="0" applyNumberFormat="0" applyBorder="0" applyAlignment="0" applyProtection="0"/>
    <xf numFmtId="0" fontId="43" fillId="28" borderId="0" applyNumberFormat="0" applyBorder="0" applyAlignment="0" applyProtection="0"/>
    <xf numFmtId="0" fontId="43" fillId="28" borderId="0" applyNumberFormat="0" applyBorder="0" applyAlignment="0" applyProtection="0"/>
    <xf numFmtId="0" fontId="43" fillId="28" borderId="0" applyNumberFormat="0" applyBorder="0" applyAlignment="0" applyProtection="0"/>
    <xf numFmtId="0" fontId="43" fillId="28" borderId="0" applyNumberFormat="0" applyBorder="0" applyAlignment="0" applyProtection="0"/>
    <xf numFmtId="0" fontId="43" fillId="28" borderId="0" applyNumberFormat="0" applyBorder="0" applyAlignment="0" applyProtection="0"/>
    <xf numFmtId="0" fontId="43" fillId="28" borderId="0" applyNumberFormat="0" applyBorder="0" applyAlignment="0" applyProtection="0"/>
    <xf numFmtId="0" fontId="43" fillId="28" borderId="0" applyNumberFormat="0" applyBorder="0" applyAlignment="0" applyProtection="0"/>
    <xf numFmtId="0" fontId="43" fillId="28" borderId="0" applyNumberFormat="0" applyBorder="0" applyAlignment="0" applyProtection="0"/>
    <xf numFmtId="0" fontId="43" fillId="29" borderId="0" applyNumberFormat="0" applyBorder="0" applyAlignment="0" applyProtection="0"/>
    <xf numFmtId="0" fontId="43" fillId="30" borderId="0" applyNumberFormat="0" applyBorder="0" applyAlignment="0" applyProtection="0"/>
    <xf numFmtId="0" fontId="43" fillId="30" borderId="0" applyNumberFormat="0" applyBorder="0" applyAlignment="0" applyProtection="0"/>
    <xf numFmtId="0" fontId="43" fillId="30" borderId="0" applyNumberFormat="0" applyBorder="0" applyAlignment="0" applyProtection="0"/>
    <xf numFmtId="0" fontId="43" fillId="30" borderId="0" applyNumberFormat="0" applyBorder="0" applyAlignment="0" applyProtection="0"/>
    <xf numFmtId="0" fontId="43" fillId="30" borderId="0" applyNumberFormat="0" applyBorder="0" applyAlignment="0" applyProtection="0"/>
    <xf numFmtId="0" fontId="43" fillId="30" borderId="0" applyNumberFormat="0" applyBorder="0" applyAlignment="0" applyProtection="0"/>
    <xf numFmtId="0" fontId="43" fillId="30" borderId="0" applyNumberFormat="0" applyBorder="0" applyAlignment="0" applyProtection="0"/>
    <xf numFmtId="0" fontId="43" fillId="30" borderId="0" applyNumberFormat="0" applyBorder="0" applyAlignment="0" applyProtection="0"/>
    <xf numFmtId="0" fontId="43" fillId="30" borderId="0" applyNumberFormat="0" applyBorder="0" applyAlignment="0" applyProtection="0"/>
    <xf numFmtId="0" fontId="43" fillId="30" borderId="0" applyNumberFormat="0" applyBorder="0" applyAlignment="0" applyProtection="0"/>
    <xf numFmtId="0" fontId="43" fillId="30" borderId="0" applyNumberFormat="0" applyBorder="0" applyAlignment="0" applyProtection="0"/>
    <xf numFmtId="0" fontId="43" fillId="30" borderId="0" applyNumberFormat="0" applyBorder="0" applyAlignment="0" applyProtection="0"/>
    <xf numFmtId="0" fontId="43" fillId="30" borderId="0" applyNumberFormat="0" applyBorder="0" applyAlignment="0" applyProtection="0"/>
    <xf numFmtId="0" fontId="43" fillId="30" borderId="0" applyNumberFormat="0" applyBorder="0" applyAlignment="0" applyProtection="0"/>
    <xf numFmtId="0" fontId="43" fillId="30" borderId="0" applyNumberFormat="0" applyBorder="0" applyAlignment="0" applyProtection="0"/>
    <xf numFmtId="0" fontId="43" fillId="30" borderId="0" applyNumberFormat="0" applyBorder="0" applyAlignment="0" applyProtection="0"/>
    <xf numFmtId="0" fontId="43" fillId="30" borderId="0" applyNumberFormat="0" applyBorder="0" applyAlignment="0" applyProtection="0"/>
    <xf numFmtId="0" fontId="43" fillId="30" borderId="0" applyNumberFormat="0" applyBorder="0" applyAlignment="0" applyProtection="0"/>
    <xf numFmtId="0" fontId="43" fillId="30" borderId="0" applyNumberFormat="0" applyBorder="0" applyAlignment="0" applyProtection="0"/>
    <xf numFmtId="0" fontId="43" fillId="30" borderId="0" applyNumberFormat="0" applyBorder="0" applyAlignment="0" applyProtection="0"/>
    <xf numFmtId="0" fontId="43" fillId="25" borderId="0" applyNumberFormat="0" applyBorder="0" applyAlignment="0" applyProtection="0"/>
    <xf numFmtId="0" fontId="43" fillId="31" borderId="0" applyNumberFormat="0" applyBorder="0" applyAlignment="0" applyProtection="0"/>
    <xf numFmtId="0" fontId="43" fillId="31" borderId="0" applyNumberFormat="0" applyBorder="0" applyAlignment="0" applyProtection="0"/>
    <xf numFmtId="0" fontId="43" fillId="31" borderId="0" applyNumberFormat="0" applyBorder="0" applyAlignment="0" applyProtection="0"/>
    <xf numFmtId="0" fontId="43" fillId="31" borderId="0" applyNumberFormat="0" applyBorder="0" applyAlignment="0" applyProtection="0"/>
    <xf numFmtId="0" fontId="43" fillId="31" borderId="0" applyNumberFormat="0" applyBorder="0" applyAlignment="0" applyProtection="0"/>
    <xf numFmtId="0" fontId="43" fillId="31" borderId="0" applyNumberFormat="0" applyBorder="0" applyAlignment="0" applyProtection="0"/>
    <xf numFmtId="0" fontId="43" fillId="31" borderId="0" applyNumberFormat="0" applyBorder="0" applyAlignment="0" applyProtection="0"/>
    <xf numFmtId="0" fontId="43" fillId="31" borderId="0" applyNumberFormat="0" applyBorder="0" applyAlignment="0" applyProtection="0"/>
    <xf numFmtId="0" fontId="43" fillId="31" borderId="0" applyNumberFormat="0" applyBorder="0" applyAlignment="0" applyProtection="0"/>
    <xf numFmtId="0" fontId="43" fillId="31" borderId="0" applyNumberFormat="0" applyBorder="0" applyAlignment="0" applyProtection="0"/>
    <xf numFmtId="0" fontId="43" fillId="31" borderId="0" applyNumberFormat="0" applyBorder="0" applyAlignment="0" applyProtection="0"/>
    <xf numFmtId="0" fontId="43" fillId="31" borderId="0" applyNumberFormat="0" applyBorder="0" applyAlignment="0" applyProtection="0"/>
    <xf numFmtId="0" fontId="43" fillId="31" borderId="0" applyNumberFormat="0" applyBorder="0" applyAlignment="0" applyProtection="0"/>
    <xf numFmtId="0" fontId="43" fillId="31" borderId="0" applyNumberFormat="0" applyBorder="0" applyAlignment="0" applyProtection="0"/>
    <xf numFmtId="0" fontId="43" fillId="31" borderId="0" applyNumberFormat="0" applyBorder="0" applyAlignment="0" applyProtection="0"/>
    <xf numFmtId="0" fontId="43" fillId="31" borderId="0" applyNumberFormat="0" applyBorder="0" applyAlignment="0" applyProtection="0"/>
    <xf numFmtId="0" fontId="43" fillId="31" borderId="0" applyNumberFormat="0" applyBorder="0" applyAlignment="0" applyProtection="0"/>
    <xf numFmtId="0" fontId="43" fillId="31" borderId="0" applyNumberFormat="0" applyBorder="0" applyAlignment="0" applyProtection="0"/>
    <xf numFmtId="0" fontId="43" fillId="23" borderId="0" applyNumberFormat="0" applyBorder="0" applyAlignment="0" applyProtection="0"/>
    <xf numFmtId="0" fontId="43" fillId="32" borderId="0" applyNumberFormat="0" applyBorder="0" applyAlignment="0" applyProtection="0"/>
    <xf numFmtId="0" fontId="43" fillId="32" borderId="0" applyNumberFormat="0" applyBorder="0" applyAlignment="0" applyProtection="0"/>
    <xf numFmtId="0" fontId="43" fillId="32" borderId="0" applyNumberFormat="0" applyBorder="0" applyAlignment="0" applyProtection="0"/>
    <xf numFmtId="0" fontId="43" fillId="32" borderId="0" applyNumberFormat="0" applyBorder="0" applyAlignment="0" applyProtection="0"/>
    <xf numFmtId="0" fontId="43" fillId="32" borderId="0" applyNumberFormat="0" applyBorder="0" applyAlignment="0" applyProtection="0"/>
    <xf numFmtId="0" fontId="43" fillId="32" borderId="0" applyNumberFormat="0" applyBorder="0" applyAlignment="0" applyProtection="0"/>
    <xf numFmtId="0" fontId="43" fillId="32" borderId="0" applyNumberFormat="0" applyBorder="0" applyAlignment="0" applyProtection="0"/>
    <xf numFmtId="0" fontId="43" fillId="32" borderId="0" applyNumberFormat="0" applyBorder="0" applyAlignment="0" applyProtection="0"/>
    <xf numFmtId="0" fontId="43" fillId="32" borderId="0" applyNumberFormat="0" applyBorder="0" applyAlignment="0" applyProtection="0"/>
    <xf numFmtId="0" fontId="43" fillId="32" borderId="0" applyNumberFormat="0" applyBorder="0" applyAlignment="0" applyProtection="0"/>
    <xf numFmtId="0" fontId="43" fillId="32" borderId="0" applyNumberFormat="0" applyBorder="0" applyAlignment="0" applyProtection="0"/>
    <xf numFmtId="0" fontId="43" fillId="32" borderId="0" applyNumberFormat="0" applyBorder="0" applyAlignment="0" applyProtection="0"/>
    <xf numFmtId="0" fontId="43" fillId="32" borderId="0" applyNumberFormat="0" applyBorder="0" applyAlignment="0" applyProtection="0"/>
    <xf numFmtId="0" fontId="43" fillId="32" borderId="0" applyNumberFormat="0" applyBorder="0" applyAlignment="0" applyProtection="0"/>
    <xf numFmtId="0" fontId="43" fillId="33" borderId="0" applyNumberFormat="0" applyBorder="0" applyAlignment="0" applyProtection="0"/>
    <xf numFmtId="0" fontId="43" fillId="26" borderId="0" applyNumberFormat="0" applyBorder="0" applyAlignment="0" applyProtection="0"/>
    <xf numFmtId="0" fontId="43" fillId="26" borderId="0" applyNumberFormat="0" applyBorder="0" applyAlignment="0" applyProtection="0"/>
    <xf numFmtId="0" fontId="43" fillId="26" borderId="0" applyNumberFormat="0" applyBorder="0" applyAlignment="0" applyProtection="0"/>
    <xf numFmtId="0" fontId="43" fillId="26" borderId="0" applyNumberFormat="0" applyBorder="0" applyAlignment="0" applyProtection="0"/>
    <xf numFmtId="0" fontId="43" fillId="26" borderId="0" applyNumberFormat="0" applyBorder="0" applyAlignment="0" applyProtection="0"/>
    <xf numFmtId="0" fontId="43" fillId="26" borderId="0" applyNumberFormat="0" applyBorder="0" applyAlignment="0" applyProtection="0"/>
    <xf numFmtId="0" fontId="43" fillId="26" borderId="0" applyNumberFormat="0" applyBorder="0" applyAlignment="0" applyProtection="0"/>
    <xf numFmtId="0" fontId="43" fillId="26" borderId="0" applyNumberFormat="0" applyBorder="0" applyAlignment="0" applyProtection="0"/>
    <xf numFmtId="0" fontId="43" fillId="26" borderId="0" applyNumberFormat="0" applyBorder="0" applyAlignment="0" applyProtection="0"/>
    <xf numFmtId="0" fontId="43" fillId="26" borderId="0" applyNumberFormat="0" applyBorder="0" applyAlignment="0" applyProtection="0"/>
    <xf numFmtId="0" fontId="43" fillId="26" borderId="0" applyNumberFormat="0" applyBorder="0" applyAlignment="0" applyProtection="0"/>
    <xf numFmtId="0" fontId="43" fillId="26" borderId="0" applyNumberFormat="0" applyBorder="0" applyAlignment="0" applyProtection="0"/>
    <xf numFmtId="0" fontId="43" fillId="26" borderId="0" applyNumberFormat="0" applyBorder="0" applyAlignment="0" applyProtection="0"/>
    <xf numFmtId="0" fontId="43" fillId="26" borderId="0" applyNumberFormat="0" applyBorder="0" applyAlignment="0" applyProtection="0"/>
    <xf numFmtId="0" fontId="43" fillId="27" borderId="0" applyNumberFormat="0" applyBorder="0" applyAlignment="0" applyProtection="0"/>
    <xf numFmtId="0" fontId="43" fillId="27" borderId="0" applyNumberFormat="0" applyBorder="0" applyAlignment="0" applyProtection="0"/>
    <xf numFmtId="0" fontId="43" fillId="27" borderId="0" applyNumberFormat="0" applyBorder="0" applyAlignment="0" applyProtection="0"/>
    <xf numFmtId="0" fontId="43" fillId="27" borderId="0" applyNumberFormat="0" applyBorder="0" applyAlignment="0" applyProtection="0"/>
    <xf numFmtId="0" fontId="43" fillId="27" borderId="0" applyNumberFormat="0" applyBorder="0" applyAlignment="0" applyProtection="0"/>
    <xf numFmtId="0" fontId="43" fillId="27" borderId="0" applyNumberFormat="0" applyBorder="0" applyAlignment="0" applyProtection="0"/>
    <xf numFmtId="0" fontId="43" fillId="27" borderId="0" applyNumberFormat="0" applyBorder="0" applyAlignment="0" applyProtection="0"/>
    <xf numFmtId="0" fontId="43" fillId="27" borderId="0" applyNumberFormat="0" applyBorder="0" applyAlignment="0" applyProtection="0"/>
    <xf numFmtId="0" fontId="43" fillId="27" borderId="0" applyNumberFormat="0" applyBorder="0" applyAlignment="0" applyProtection="0"/>
    <xf numFmtId="0" fontId="43" fillId="27" borderId="0" applyNumberFormat="0" applyBorder="0" applyAlignment="0" applyProtection="0"/>
    <xf numFmtId="0" fontId="43" fillId="27" borderId="0" applyNumberFormat="0" applyBorder="0" applyAlignment="0" applyProtection="0"/>
    <xf numFmtId="0" fontId="43" fillId="27" borderId="0" applyNumberFormat="0" applyBorder="0" applyAlignment="0" applyProtection="0"/>
    <xf numFmtId="0" fontId="43" fillId="27" borderId="0" applyNumberFormat="0" applyBorder="0" applyAlignment="0" applyProtection="0"/>
    <xf numFmtId="0" fontId="43" fillId="27" borderId="0" applyNumberFormat="0" applyBorder="0" applyAlignment="0" applyProtection="0"/>
    <xf numFmtId="0" fontId="43" fillId="27" borderId="0" applyNumberFormat="0" applyBorder="0" applyAlignment="0" applyProtection="0"/>
    <xf numFmtId="0" fontId="43" fillId="31" borderId="0" applyNumberFormat="0" applyBorder="0" applyAlignment="0" applyProtection="0"/>
    <xf numFmtId="0" fontId="43" fillId="25" borderId="0" applyNumberFormat="0" applyBorder="0" applyAlignment="0" applyProtection="0"/>
    <xf numFmtId="0" fontId="43" fillId="25" borderId="0" applyNumberFormat="0" applyBorder="0" applyAlignment="0" applyProtection="0"/>
    <xf numFmtId="0" fontId="43" fillId="25" borderId="0" applyNumberFormat="0" applyBorder="0" applyAlignment="0" applyProtection="0"/>
    <xf numFmtId="0" fontId="43" fillId="25" borderId="0" applyNumberFormat="0" applyBorder="0" applyAlignment="0" applyProtection="0"/>
    <xf numFmtId="0" fontId="43" fillId="25" borderId="0" applyNumberFormat="0" applyBorder="0" applyAlignment="0" applyProtection="0"/>
    <xf numFmtId="0" fontId="43" fillId="25" borderId="0" applyNumberFormat="0" applyBorder="0" applyAlignment="0" applyProtection="0"/>
    <xf numFmtId="0" fontId="43" fillId="25" borderId="0" applyNumberFormat="0" applyBorder="0" applyAlignment="0" applyProtection="0"/>
    <xf numFmtId="0" fontId="43" fillId="25" borderId="0" applyNumberFormat="0" applyBorder="0" applyAlignment="0" applyProtection="0"/>
    <xf numFmtId="0" fontId="43" fillId="25" borderId="0" applyNumberFormat="0" applyBorder="0" applyAlignment="0" applyProtection="0"/>
    <xf numFmtId="0" fontId="43" fillId="25" borderId="0" applyNumberFormat="0" applyBorder="0" applyAlignment="0" applyProtection="0"/>
    <xf numFmtId="0" fontId="43" fillId="25" borderId="0" applyNumberFormat="0" applyBorder="0" applyAlignment="0" applyProtection="0"/>
    <xf numFmtId="0" fontId="43" fillId="25" borderId="0" applyNumberFormat="0" applyBorder="0" applyAlignment="0" applyProtection="0"/>
    <xf numFmtId="0" fontId="43" fillId="25" borderId="0" applyNumberFormat="0" applyBorder="0" applyAlignment="0" applyProtection="0"/>
    <xf numFmtId="0" fontId="43" fillId="25" borderId="0" applyNumberFormat="0" applyBorder="0" applyAlignment="0" applyProtection="0"/>
    <xf numFmtId="0" fontId="44" fillId="19" borderId="0" applyNumberFormat="0" applyBorder="0" applyAlignment="0" applyProtection="0"/>
    <xf numFmtId="0" fontId="44" fillId="15" borderId="0" applyNumberFormat="0" applyBorder="0" applyAlignment="0" applyProtection="0"/>
    <xf numFmtId="0" fontId="44" fillId="15" borderId="0" applyNumberFormat="0" applyBorder="0" applyAlignment="0" applyProtection="0"/>
    <xf numFmtId="0" fontId="44" fillId="15" borderId="0" applyNumberFormat="0" applyBorder="0" applyAlignment="0" applyProtection="0"/>
    <xf numFmtId="0" fontId="44" fillId="15" borderId="0" applyNumberFormat="0" applyBorder="0" applyAlignment="0" applyProtection="0"/>
    <xf numFmtId="0" fontId="44" fillId="15" borderId="0" applyNumberFormat="0" applyBorder="0" applyAlignment="0" applyProtection="0"/>
    <xf numFmtId="0" fontId="44" fillId="15" borderId="0" applyNumberFormat="0" applyBorder="0" applyAlignment="0" applyProtection="0"/>
    <xf numFmtId="0" fontId="44" fillId="15" borderId="0" applyNumberFormat="0" applyBorder="0" applyAlignment="0" applyProtection="0"/>
    <xf numFmtId="0" fontId="44" fillId="15" borderId="0" applyNumberFormat="0" applyBorder="0" applyAlignment="0" applyProtection="0"/>
    <xf numFmtId="0" fontId="44" fillId="15" borderId="0" applyNumberFormat="0" applyBorder="0" applyAlignment="0" applyProtection="0"/>
    <xf numFmtId="0" fontId="44" fillId="15" borderId="0" applyNumberFormat="0" applyBorder="0" applyAlignment="0" applyProtection="0"/>
    <xf numFmtId="0" fontId="44" fillId="15" borderId="0" applyNumberFormat="0" applyBorder="0" applyAlignment="0" applyProtection="0"/>
    <xf numFmtId="0" fontId="44" fillId="15" borderId="0" applyNumberFormat="0" applyBorder="0" applyAlignment="0" applyProtection="0"/>
    <xf numFmtId="0" fontId="44" fillId="15" borderId="0" applyNumberFormat="0" applyBorder="0" applyAlignment="0" applyProtection="0"/>
    <xf numFmtId="0" fontId="44" fillId="15" borderId="0" applyNumberFormat="0" applyBorder="0" applyAlignment="0" applyProtection="0"/>
    <xf numFmtId="4" fontId="63" fillId="0" borderId="28" applyFill="0" applyBorder="0" applyProtection="0">
      <alignment horizontal="right" vertical="center"/>
    </xf>
    <xf numFmtId="0" fontId="69" fillId="34" borderId="50" applyNumberFormat="0" applyAlignment="0" applyProtection="0"/>
    <xf numFmtId="0" fontId="54" fillId="35" borderId="50" applyNumberFormat="0" applyAlignment="0" applyProtection="0"/>
    <xf numFmtId="0" fontId="54" fillId="35" borderId="50" applyNumberFormat="0" applyAlignment="0" applyProtection="0"/>
    <xf numFmtId="0" fontId="54" fillId="35" borderId="50" applyNumberFormat="0" applyAlignment="0" applyProtection="0"/>
    <xf numFmtId="0" fontId="54" fillId="35" borderId="50" applyNumberFormat="0" applyAlignment="0" applyProtection="0"/>
    <xf numFmtId="0" fontId="54" fillId="35" borderId="50" applyNumberFormat="0" applyAlignment="0" applyProtection="0"/>
    <xf numFmtId="0" fontId="54" fillId="35" borderId="50" applyNumberFormat="0" applyAlignment="0" applyProtection="0"/>
    <xf numFmtId="0" fontId="54" fillId="35" borderId="50" applyNumberFormat="0" applyAlignment="0" applyProtection="0"/>
    <xf numFmtId="0" fontId="54" fillId="35" borderId="50" applyNumberFormat="0" applyAlignment="0" applyProtection="0"/>
    <xf numFmtId="0" fontId="54" fillId="35" borderId="50" applyNumberFormat="0" applyAlignment="0" applyProtection="0"/>
    <xf numFmtId="0" fontId="54" fillId="35" borderId="50" applyNumberFormat="0" applyAlignment="0" applyProtection="0"/>
    <xf numFmtId="0" fontId="54" fillId="35" borderId="50" applyNumberFormat="0" applyAlignment="0" applyProtection="0"/>
    <xf numFmtId="0" fontId="54" fillId="35" borderId="50" applyNumberFormat="0" applyAlignment="0" applyProtection="0"/>
    <xf numFmtId="0" fontId="54" fillId="35" borderId="50" applyNumberFormat="0" applyAlignment="0" applyProtection="0"/>
    <xf numFmtId="0" fontId="54" fillId="35" borderId="50" applyNumberFormat="0" applyAlignment="0" applyProtection="0"/>
    <xf numFmtId="0" fontId="45" fillId="36" borderId="51" applyNumberFormat="0" applyAlignment="0" applyProtection="0"/>
    <xf numFmtId="0" fontId="45" fillId="36" borderId="51" applyNumberFormat="0" applyAlignment="0" applyProtection="0"/>
    <xf numFmtId="0" fontId="45" fillId="36" borderId="51" applyNumberFormat="0" applyAlignment="0" applyProtection="0"/>
    <xf numFmtId="0" fontId="45" fillId="36" borderId="51" applyNumberFormat="0" applyAlignment="0" applyProtection="0"/>
    <xf numFmtId="0" fontId="45" fillId="36" borderId="51" applyNumberFormat="0" applyAlignment="0" applyProtection="0"/>
    <xf numFmtId="0" fontId="45" fillId="36" borderId="51" applyNumberFormat="0" applyAlignment="0" applyProtection="0"/>
    <xf numFmtId="0" fontId="45" fillId="36" borderId="51" applyNumberFormat="0" applyAlignment="0" applyProtection="0"/>
    <xf numFmtId="0" fontId="45" fillId="36" borderId="51" applyNumberFormat="0" applyAlignment="0" applyProtection="0"/>
    <xf numFmtId="0" fontId="45" fillId="36" borderId="51" applyNumberFormat="0" applyAlignment="0" applyProtection="0"/>
    <xf numFmtId="0" fontId="45" fillId="36" borderId="51" applyNumberFormat="0" applyAlignment="0" applyProtection="0"/>
    <xf numFmtId="0" fontId="45" fillId="36" borderId="51" applyNumberFormat="0" applyAlignment="0" applyProtection="0"/>
    <xf numFmtId="0" fontId="45" fillId="36" borderId="51" applyNumberFormat="0" applyAlignment="0" applyProtection="0"/>
    <xf numFmtId="0" fontId="45" fillId="36" borderId="51" applyNumberFormat="0" applyAlignment="0" applyProtection="0"/>
    <xf numFmtId="0" fontId="45" fillId="36" borderId="51" applyNumberFormat="0" applyAlignment="0" applyProtection="0"/>
    <xf numFmtId="0" fontId="45" fillId="36" borderId="51" applyNumberFormat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52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7" fillId="20" borderId="0" applyNumberFormat="0" applyBorder="0" applyAlignment="0" applyProtection="0"/>
    <xf numFmtId="0" fontId="47" fillId="17" borderId="0" applyNumberFormat="0" applyBorder="0" applyAlignment="0" applyProtection="0"/>
    <xf numFmtId="0" fontId="47" fillId="17" borderId="0" applyNumberFormat="0" applyBorder="0" applyAlignment="0" applyProtection="0"/>
    <xf numFmtId="0" fontId="47" fillId="17" borderId="0" applyNumberFormat="0" applyBorder="0" applyAlignment="0" applyProtection="0"/>
    <xf numFmtId="0" fontId="47" fillId="17" borderId="0" applyNumberFormat="0" applyBorder="0" applyAlignment="0" applyProtection="0"/>
    <xf numFmtId="0" fontId="47" fillId="17" borderId="0" applyNumberFormat="0" applyBorder="0" applyAlignment="0" applyProtection="0"/>
    <xf numFmtId="0" fontId="47" fillId="17" borderId="0" applyNumberFormat="0" applyBorder="0" applyAlignment="0" applyProtection="0"/>
    <xf numFmtId="0" fontId="47" fillId="17" borderId="0" applyNumberFormat="0" applyBorder="0" applyAlignment="0" applyProtection="0"/>
    <xf numFmtId="0" fontId="47" fillId="17" borderId="0" applyNumberFormat="0" applyBorder="0" applyAlignment="0" applyProtection="0"/>
    <xf numFmtId="0" fontId="47" fillId="17" borderId="0" applyNumberFormat="0" applyBorder="0" applyAlignment="0" applyProtection="0"/>
    <xf numFmtId="0" fontId="47" fillId="17" borderId="0" applyNumberFormat="0" applyBorder="0" applyAlignment="0" applyProtection="0"/>
    <xf numFmtId="0" fontId="47" fillId="17" borderId="0" applyNumberFormat="0" applyBorder="0" applyAlignment="0" applyProtection="0"/>
    <xf numFmtId="0" fontId="47" fillId="17" borderId="0" applyNumberFormat="0" applyBorder="0" applyAlignment="0" applyProtection="0"/>
    <xf numFmtId="0" fontId="47" fillId="17" borderId="0" applyNumberFormat="0" applyBorder="0" applyAlignment="0" applyProtection="0"/>
    <xf numFmtId="0" fontId="47" fillId="17" borderId="0" applyNumberFormat="0" applyBorder="0" applyAlignment="0" applyProtection="0"/>
    <xf numFmtId="0" fontId="65" fillId="0" borderId="52" applyNumberFormat="0" applyFill="0" applyAlignment="0" applyProtection="0"/>
    <xf numFmtId="0" fontId="55" fillId="0" borderId="53" applyNumberFormat="0" applyFill="0" applyAlignment="0" applyProtection="0"/>
    <xf numFmtId="0" fontId="55" fillId="0" borderId="53" applyNumberFormat="0" applyFill="0" applyAlignment="0" applyProtection="0"/>
    <xf numFmtId="0" fontId="55" fillId="0" borderId="53" applyNumberFormat="0" applyFill="0" applyAlignment="0" applyProtection="0"/>
    <xf numFmtId="0" fontId="55" fillId="0" borderId="53" applyNumberFormat="0" applyFill="0" applyAlignment="0" applyProtection="0"/>
    <xf numFmtId="0" fontId="55" fillId="0" borderId="53" applyNumberFormat="0" applyFill="0" applyAlignment="0" applyProtection="0"/>
    <xf numFmtId="0" fontId="55" fillId="0" borderId="53" applyNumberFormat="0" applyFill="0" applyAlignment="0" applyProtection="0"/>
    <xf numFmtId="0" fontId="55" fillId="0" borderId="53" applyNumberFormat="0" applyFill="0" applyAlignment="0" applyProtection="0"/>
    <xf numFmtId="0" fontId="55" fillId="0" borderId="53" applyNumberFormat="0" applyFill="0" applyAlignment="0" applyProtection="0"/>
    <xf numFmtId="0" fontId="55" fillId="0" borderId="53" applyNumberFormat="0" applyFill="0" applyAlignment="0" applyProtection="0"/>
    <xf numFmtId="0" fontId="55" fillId="0" borderId="53" applyNumberFormat="0" applyFill="0" applyAlignment="0" applyProtection="0"/>
    <xf numFmtId="0" fontId="55" fillId="0" borderId="53" applyNumberFormat="0" applyFill="0" applyAlignment="0" applyProtection="0"/>
    <xf numFmtId="0" fontId="55" fillId="0" borderId="53" applyNumberFormat="0" applyFill="0" applyAlignment="0" applyProtection="0"/>
    <xf numFmtId="0" fontId="55" fillId="0" borderId="53" applyNumberFormat="0" applyFill="0" applyAlignment="0" applyProtection="0"/>
    <xf numFmtId="0" fontId="55" fillId="0" borderId="53" applyNumberFormat="0" applyFill="0" applyAlignment="0" applyProtection="0"/>
    <xf numFmtId="0" fontId="66" fillId="0" borderId="54" applyNumberFormat="0" applyFill="0" applyAlignment="0" applyProtection="0"/>
    <xf numFmtId="0" fontId="56" fillId="0" borderId="55" applyNumberFormat="0" applyFill="0" applyAlignment="0" applyProtection="0"/>
    <xf numFmtId="0" fontId="56" fillId="0" borderId="55" applyNumberFormat="0" applyFill="0" applyAlignment="0" applyProtection="0"/>
    <xf numFmtId="0" fontId="56" fillId="0" borderId="55" applyNumberFormat="0" applyFill="0" applyAlignment="0" applyProtection="0"/>
    <xf numFmtId="0" fontId="56" fillId="0" borderId="55" applyNumberFormat="0" applyFill="0" applyAlignment="0" applyProtection="0"/>
    <xf numFmtId="0" fontId="56" fillId="0" borderId="55" applyNumberFormat="0" applyFill="0" applyAlignment="0" applyProtection="0"/>
    <xf numFmtId="0" fontId="56" fillId="0" borderId="55" applyNumberFormat="0" applyFill="0" applyAlignment="0" applyProtection="0"/>
    <xf numFmtId="0" fontId="56" fillId="0" borderId="55" applyNumberFormat="0" applyFill="0" applyAlignment="0" applyProtection="0"/>
    <xf numFmtId="0" fontId="56" fillId="0" borderId="55" applyNumberFormat="0" applyFill="0" applyAlignment="0" applyProtection="0"/>
    <xf numFmtId="0" fontId="56" fillId="0" borderId="55" applyNumberFormat="0" applyFill="0" applyAlignment="0" applyProtection="0"/>
    <xf numFmtId="0" fontId="56" fillId="0" borderId="55" applyNumberFormat="0" applyFill="0" applyAlignment="0" applyProtection="0"/>
    <xf numFmtId="0" fontId="56" fillId="0" borderId="55" applyNumberFormat="0" applyFill="0" applyAlignment="0" applyProtection="0"/>
    <xf numFmtId="0" fontId="56" fillId="0" borderId="55" applyNumberFormat="0" applyFill="0" applyAlignment="0" applyProtection="0"/>
    <xf numFmtId="0" fontId="56" fillId="0" borderId="55" applyNumberFormat="0" applyFill="0" applyAlignment="0" applyProtection="0"/>
    <xf numFmtId="0" fontId="56" fillId="0" borderId="55" applyNumberFormat="0" applyFill="0" applyAlignment="0" applyProtection="0"/>
    <xf numFmtId="0" fontId="67" fillId="0" borderId="56" applyNumberFormat="0" applyFill="0" applyAlignment="0" applyProtection="0"/>
    <xf numFmtId="0" fontId="57" fillId="0" borderId="57" applyNumberFormat="0" applyFill="0" applyAlignment="0" applyProtection="0"/>
    <xf numFmtId="0" fontId="57" fillId="0" borderId="57" applyNumberFormat="0" applyFill="0" applyAlignment="0" applyProtection="0"/>
    <xf numFmtId="0" fontId="57" fillId="0" borderId="57" applyNumberFormat="0" applyFill="0" applyAlignment="0" applyProtection="0"/>
    <xf numFmtId="0" fontId="57" fillId="0" borderId="57" applyNumberFormat="0" applyFill="0" applyAlignment="0" applyProtection="0"/>
    <xf numFmtId="0" fontId="57" fillId="0" borderId="57" applyNumberFormat="0" applyFill="0" applyAlignment="0" applyProtection="0"/>
    <xf numFmtId="0" fontId="57" fillId="0" borderId="57" applyNumberFormat="0" applyFill="0" applyAlignment="0" applyProtection="0"/>
    <xf numFmtId="0" fontId="57" fillId="0" borderId="57" applyNumberFormat="0" applyFill="0" applyAlignment="0" applyProtection="0"/>
    <xf numFmtId="0" fontId="57" fillId="0" borderId="57" applyNumberFormat="0" applyFill="0" applyAlignment="0" applyProtection="0"/>
    <xf numFmtId="0" fontId="57" fillId="0" borderId="57" applyNumberFormat="0" applyFill="0" applyAlignment="0" applyProtection="0"/>
    <xf numFmtId="0" fontId="57" fillId="0" borderId="57" applyNumberFormat="0" applyFill="0" applyAlignment="0" applyProtection="0"/>
    <xf numFmtId="0" fontId="57" fillId="0" borderId="57" applyNumberFormat="0" applyFill="0" applyAlignment="0" applyProtection="0"/>
    <xf numFmtId="0" fontId="57" fillId="0" borderId="57" applyNumberFormat="0" applyFill="0" applyAlignment="0" applyProtection="0"/>
    <xf numFmtId="0" fontId="57" fillId="0" borderId="57" applyNumberFormat="0" applyFill="0" applyAlignment="0" applyProtection="0"/>
    <xf numFmtId="0" fontId="57" fillId="0" borderId="57" applyNumberFormat="0" applyFill="0" applyAlignment="0" applyProtection="0"/>
    <xf numFmtId="0" fontId="6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58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58" fillId="0" borderId="0" applyNumberFormat="0" applyFill="0" applyBorder="0" applyAlignment="0" applyProtection="0">
      <alignment vertical="top"/>
      <protection locked="0"/>
    </xf>
    <xf numFmtId="0" fontId="58" fillId="0" borderId="0" applyNumberFormat="0" applyFill="0" applyBorder="0" applyAlignment="0" applyProtection="0">
      <alignment vertical="top"/>
      <protection locked="0"/>
    </xf>
    <xf numFmtId="0" fontId="58" fillId="0" borderId="0" applyNumberFormat="0" applyFill="0" applyBorder="0" applyAlignment="0" applyProtection="0">
      <alignment vertical="top"/>
      <protection locked="0"/>
    </xf>
    <xf numFmtId="0" fontId="58" fillId="0" borderId="0" applyNumberFormat="0" applyFill="0" applyBorder="0" applyAlignment="0" applyProtection="0">
      <alignment vertical="top"/>
      <protection locked="0"/>
    </xf>
    <xf numFmtId="0" fontId="58" fillId="0" borderId="0" applyNumberFormat="0" applyFill="0" applyBorder="0" applyAlignment="0" applyProtection="0">
      <alignment vertical="top"/>
      <protection locked="0"/>
    </xf>
    <xf numFmtId="0" fontId="58" fillId="0" borderId="0" applyNumberFormat="0" applyFill="0" applyBorder="0" applyAlignment="0" applyProtection="0">
      <alignment vertical="top"/>
      <protection locked="0"/>
    </xf>
    <xf numFmtId="0" fontId="48" fillId="21" borderId="50" applyNumberFormat="0" applyAlignment="0" applyProtection="0"/>
    <xf numFmtId="0" fontId="48" fillId="18" borderId="50" applyNumberFormat="0" applyAlignment="0" applyProtection="0"/>
    <xf numFmtId="0" fontId="48" fillId="18" borderId="50" applyNumberFormat="0" applyAlignment="0" applyProtection="0"/>
    <xf numFmtId="0" fontId="48" fillId="18" borderId="50" applyNumberFormat="0" applyAlignment="0" applyProtection="0"/>
    <xf numFmtId="0" fontId="48" fillId="18" borderId="50" applyNumberFormat="0" applyAlignment="0" applyProtection="0"/>
    <xf numFmtId="0" fontId="48" fillId="18" borderId="50" applyNumberFormat="0" applyAlignment="0" applyProtection="0"/>
    <xf numFmtId="0" fontId="48" fillId="18" borderId="50" applyNumberFormat="0" applyAlignment="0" applyProtection="0"/>
    <xf numFmtId="0" fontId="48" fillId="18" borderId="50" applyNumberFormat="0" applyAlignment="0" applyProtection="0"/>
    <xf numFmtId="0" fontId="48" fillId="18" borderId="50" applyNumberFormat="0" applyAlignment="0" applyProtection="0"/>
    <xf numFmtId="0" fontId="48" fillId="18" borderId="50" applyNumberFormat="0" applyAlignment="0" applyProtection="0"/>
    <xf numFmtId="0" fontId="48" fillId="18" borderId="50" applyNumberFormat="0" applyAlignment="0" applyProtection="0"/>
    <xf numFmtId="0" fontId="48" fillId="18" borderId="50" applyNumberFormat="0" applyAlignment="0" applyProtection="0"/>
    <xf numFmtId="0" fontId="48" fillId="18" borderId="50" applyNumberFormat="0" applyAlignment="0" applyProtection="0"/>
    <xf numFmtId="0" fontId="48" fillId="18" borderId="50" applyNumberFormat="0" applyAlignment="0" applyProtection="0"/>
    <xf numFmtId="0" fontId="48" fillId="18" borderId="50" applyNumberFormat="0" applyAlignment="0" applyProtection="0"/>
    <xf numFmtId="0" fontId="49" fillId="0" borderId="58" applyNumberFormat="0" applyFill="0" applyAlignment="0" applyProtection="0"/>
    <xf numFmtId="0" fontId="59" fillId="0" borderId="59" applyNumberFormat="0" applyFill="0" applyAlignment="0" applyProtection="0"/>
    <xf numFmtId="0" fontId="59" fillId="0" borderId="59" applyNumberFormat="0" applyFill="0" applyAlignment="0" applyProtection="0"/>
    <xf numFmtId="0" fontId="59" fillId="0" borderId="59" applyNumberFormat="0" applyFill="0" applyAlignment="0" applyProtection="0"/>
    <xf numFmtId="0" fontId="59" fillId="0" borderId="59" applyNumberFormat="0" applyFill="0" applyAlignment="0" applyProtection="0"/>
    <xf numFmtId="0" fontId="59" fillId="0" borderId="59" applyNumberFormat="0" applyFill="0" applyAlignment="0" applyProtection="0"/>
    <xf numFmtId="0" fontId="59" fillId="0" borderId="59" applyNumberFormat="0" applyFill="0" applyAlignment="0" applyProtection="0"/>
    <xf numFmtId="0" fontId="59" fillId="0" borderId="59" applyNumberFormat="0" applyFill="0" applyAlignment="0" applyProtection="0"/>
    <xf numFmtId="0" fontId="59" fillId="0" borderId="59" applyNumberFormat="0" applyFill="0" applyAlignment="0" applyProtection="0"/>
    <xf numFmtId="0" fontId="59" fillId="0" borderId="59" applyNumberFormat="0" applyFill="0" applyAlignment="0" applyProtection="0"/>
    <xf numFmtId="0" fontId="59" fillId="0" borderId="59" applyNumberFormat="0" applyFill="0" applyAlignment="0" applyProtection="0"/>
    <xf numFmtId="0" fontId="59" fillId="0" borderId="59" applyNumberFormat="0" applyFill="0" applyAlignment="0" applyProtection="0"/>
    <xf numFmtId="0" fontId="59" fillId="0" borderId="59" applyNumberFormat="0" applyFill="0" applyAlignment="0" applyProtection="0"/>
    <xf numFmtId="0" fontId="59" fillId="0" borderId="59" applyNumberFormat="0" applyFill="0" applyAlignment="0" applyProtection="0"/>
    <xf numFmtId="0" fontId="59" fillId="0" borderId="59" applyNumberFormat="0" applyFill="0" applyAlignment="0" applyProtection="0"/>
    <xf numFmtId="0" fontId="70" fillId="21" borderId="0" applyNumberFormat="0" applyBorder="0" applyAlignment="0" applyProtection="0"/>
    <xf numFmtId="0" fontId="60" fillId="21" borderId="0" applyNumberFormat="0" applyBorder="0" applyAlignment="0" applyProtection="0"/>
    <xf numFmtId="0" fontId="60" fillId="21" borderId="0" applyNumberFormat="0" applyBorder="0" applyAlignment="0" applyProtection="0"/>
    <xf numFmtId="0" fontId="60" fillId="21" borderId="0" applyNumberFormat="0" applyBorder="0" applyAlignment="0" applyProtection="0"/>
    <xf numFmtId="0" fontId="60" fillId="21" borderId="0" applyNumberFormat="0" applyBorder="0" applyAlignment="0" applyProtection="0"/>
    <xf numFmtId="0" fontId="60" fillId="21" borderId="0" applyNumberFormat="0" applyBorder="0" applyAlignment="0" applyProtection="0"/>
    <xf numFmtId="0" fontId="60" fillId="21" borderId="0" applyNumberFormat="0" applyBorder="0" applyAlignment="0" applyProtection="0"/>
    <xf numFmtId="0" fontId="60" fillId="21" borderId="0" applyNumberFormat="0" applyBorder="0" applyAlignment="0" applyProtection="0"/>
    <xf numFmtId="0" fontId="60" fillId="21" borderId="0" applyNumberFormat="0" applyBorder="0" applyAlignment="0" applyProtection="0"/>
    <xf numFmtId="0" fontId="60" fillId="21" borderId="0" applyNumberFormat="0" applyBorder="0" applyAlignment="0" applyProtection="0"/>
    <xf numFmtId="0" fontId="60" fillId="21" borderId="0" applyNumberFormat="0" applyBorder="0" applyAlignment="0" applyProtection="0"/>
    <xf numFmtId="0" fontId="60" fillId="21" borderId="0" applyNumberFormat="0" applyBorder="0" applyAlignment="0" applyProtection="0"/>
    <xf numFmtId="0" fontId="60" fillId="21" borderId="0" applyNumberFormat="0" applyBorder="0" applyAlignment="0" applyProtection="0"/>
    <xf numFmtId="0" fontId="60" fillId="21" borderId="0" applyNumberFormat="0" applyBorder="0" applyAlignment="0" applyProtection="0"/>
    <xf numFmtId="0" fontId="60" fillId="21" borderId="0" applyNumberFormat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48"/>
    <xf numFmtId="0" fontId="7" fillId="0" borderId="48"/>
    <xf numFmtId="0" fontId="7" fillId="0" borderId="0"/>
    <xf numFmtId="0" fontId="7" fillId="0" borderId="48"/>
    <xf numFmtId="0" fontId="7" fillId="0" borderId="48"/>
    <xf numFmtId="0" fontId="7" fillId="0" borderId="48"/>
    <xf numFmtId="0" fontId="7" fillId="0" borderId="48"/>
    <xf numFmtId="0" fontId="53" fillId="0" borderId="0"/>
    <xf numFmtId="0" fontId="42" fillId="0" borderId="0"/>
    <xf numFmtId="0" fontId="4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2" fillId="0" borderId="0"/>
    <xf numFmtId="0" fontId="7" fillId="0" borderId="48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4" fontId="62" fillId="0" borderId="13" applyFill="0" applyBorder="0" applyProtection="0">
      <alignment horizontal="right" vertical="center"/>
    </xf>
    <xf numFmtId="49" fontId="63" fillId="0" borderId="13" applyNumberFormat="0" applyFill="0" applyBorder="0" applyProtection="0">
      <alignment horizontal="left" vertical="center"/>
    </xf>
    <xf numFmtId="0" fontId="62" fillId="0" borderId="13" applyNumberFormat="0" applyFill="0" applyAlignment="0" applyProtection="0"/>
    <xf numFmtId="0" fontId="64" fillId="37" borderId="0" applyNumberFormat="0" applyFont="0" applyBorder="0" applyAlignment="0" applyProtection="0"/>
    <xf numFmtId="0" fontId="7" fillId="16" borderId="60" applyNumberFormat="0" applyFont="0" applyAlignment="0" applyProtection="0"/>
    <xf numFmtId="0" fontId="7" fillId="16" borderId="60" applyNumberFormat="0" applyFont="0" applyAlignment="0" applyProtection="0"/>
    <xf numFmtId="0" fontId="7" fillId="16" borderId="60" applyNumberFormat="0" applyFont="0" applyAlignment="0" applyProtection="0"/>
    <xf numFmtId="0" fontId="7" fillId="16" borderId="60" applyNumberFormat="0" applyFont="0" applyAlignment="0" applyProtection="0"/>
    <xf numFmtId="0" fontId="7" fillId="16" borderId="60" applyNumberFormat="0" applyFont="0" applyAlignment="0" applyProtection="0"/>
    <xf numFmtId="0" fontId="7" fillId="16" borderId="60" applyNumberFormat="0" applyFont="0" applyAlignment="0" applyProtection="0"/>
    <xf numFmtId="0" fontId="7" fillId="16" borderId="60" applyNumberFormat="0" applyFont="0" applyAlignment="0" applyProtection="0"/>
    <xf numFmtId="0" fontId="7" fillId="16" borderId="60" applyNumberFormat="0" applyFont="0" applyAlignment="0" applyProtection="0"/>
    <xf numFmtId="0" fontId="7" fillId="16" borderId="60" applyNumberFormat="0" applyFont="0" applyAlignment="0" applyProtection="0"/>
    <xf numFmtId="0" fontId="7" fillId="16" borderId="60" applyNumberFormat="0" applyFont="0" applyAlignment="0" applyProtection="0"/>
    <xf numFmtId="0" fontId="7" fillId="16" borderId="60" applyNumberFormat="0" applyFont="0" applyAlignment="0" applyProtection="0"/>
    <xf numFmtId="0" fontId="7" fillId="16" borderId="60" applyNumberFormat="0" applyFont="0" applyAlignment="0" applyProtection="0"/>
    <xf numFmtId="0" fontId="7" fillId="16" borderId="60" applyNumberFormat="0" applyFont="0" applyAlignment="0" applyProtection="0"/>
    <xf numFmtId="0" fontId="7" fillId="16" borderId="60" applyNumberFormat="0" applyFont="0" applyAlignment="0" applyProtection="0"/>
    <xf numFmtId="0" fontId="7" fillId="16" borderId="60" applyNumberFormat="0" applyFont="0" applyAlignment="0" applyProtection="0"/>
    <xf numFmtId="0" fontId="50" fillId="34" borderId="61" applyNumberFormat="0" applyAlignment="0" applyProtection="0"/>
    <xf numFmtId="0" fontId="50" fillId="35" borderId="61" applyNumberFormat="0" applyAlignment="0" applyProtection="0"/>
    <xf numFmtId="0" fontId="50" fillId="35" borderId="61" applyNumberFormat="0" applyAlignment="0" applyProtection="0"/>
    <xf numFmtId="0" fontId="50" fillId="35" borderId="61" applyNumberFormat="0" applyAlignment="0" applyProtection="0"/>
    <xf numFmtId="0" fontId="50" fillId="35" borderId="61" applyNumberFormat="0" applyAlignment="0" applyProtection="0"/>
    <xf numFmtId="0" fontId="50" fillId="35" borderId="61" applyNumberFormat="0" applyAlignment="0" applyProtection="0"/>
    <xf numFmtId="0" fontId="50" fillId="35" borderId="61" applyNumberFormat="0" applyAlignment="0" applyProtection="0"/>
    <xf numFmtId="0" fontId="50" fillId="35" borderId="61" applyNumberFormat="0" applyAlignment="0" applyProtection="0"/>
    <xf numFmtId="0" fontId="50" fillId="35" borderId="61" applyNumberFormat="0" applyAlignment="0" applyProtection="0"/>
    <xf numFmtId="0" fontId="50" fillId="35" borderId="61" applyNumberFormat="0" applyAlignment="0" applyProtection="0"/>
    <xf numFmtId="0" fontId="50" fillId="35" borderId="61" applyNumberFormat="0" applyAlignment="0" applyProtection="0"/>
    <xf numFmtId="0" fontId="50" fillId="35" borderId="61" applyNumberFormat="0" applyAlignment="0" applyProtection="0"/>
    <xf numFmtId="0" fontId="50" fillId="35" borderId="61" applyNumberFormat="0" applyAlignment="0" applyProtection="0"/>
    <xf numFmtId="0" fontId="50" fillId="35" borderId="61" applyNumberFormat="0" applyAlignment="0" applyProtection="0"/>
    <xf numFmtId="0" fontId="50" fillId="35" borderId="61" applyNumberFormat="0" applyAlignment="0" applyProtection="0"/>
    <xf numFmtId="170" fontId="62" fillId="38" borderId="13" applyNumberFormat="0" applyFont="0" applyBorder="0" applyAlignment="0" applyProtection="0">
      <alignment horizontal="right" vertical="center"/>
    </xf>
    <xf numFmtId="9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9" fontId="4" fillId="0" borderId="0" applyFont="0" applyFill="0" applyBorder="0" applyAlignment="0" applyProtection="0"/>
    <xf numFmtId="169" fontId="41" fillId="0" borderId="0"/>
    <xf numFmtId="11" fontId="41" fillId="0" borderId="0" applyFont="0" applyFill="0" applyBorder="0" applyAlignment="0" applyProtection="0"/>
    <xf numFmtId="0" fontId="68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51" fillId="0" borderId="62" applyNumberFormat="0" applyFill="0" applyAlignment="0" applyProtection="0"/>
    <xf numFmtId="0" fontId="51" fillId="0" borderId="63" applyNumberFormat="0" applyFill="0" applyAlignment="0" applyProtection="0"/>
    <xf numFmtId="0" fontId="51" fillId="0" borderId="63" applyNumberFormat="0" applyFill="0" applyAlignment="0" applyProtection="0"/>
    <xf numFmtId="0" fontId="51" fillId="0" borderId="63" applyNumberFormat="0" applyFill="0" applyAlignment="0" applyProtection="0"/>
    <xf numFmtId="0" fontId="51" fillId="0" borderId="63" applyNumberFormat="0" applyFill="0" applyAlignment="0" applyProtection="0"/>
    <xf numFmtId="0" fontId="51" fillId="0" borderId="63" applyNumberFormat="0" applyFill="0" applyAlignment="0" applyProtection="0"/>
    <xf numFmtId="0" fontId="51" fillId="0" borderId="63" applyNumberFormat="0" applyFill="0" applyAlignment="0" applyProtection="0"/>
    <xf numFmtId="0" fontId="51" fillId="0" borderId="63" applyNumberFormat="0" applyFill="0" applyAlignment="0" applyProtection="0"/>
    <xf numFmtId="0" fontId="51" fillId="0" borderId="63" applyNumberFormat="0" applyFill="0" applyAlignment="0" applyProtection="0"/>
    <xf numFmtId="0" fontId="51" fillId="0" borderId="63" applyNumberFormat="0" applyFill="0" applyAlignment="0" applyProtection="0"/>
    <xf numFmtId="0" fontId="51" fillId="0" borderId="63" applyNumberFormat="0" applyFill="0" applyAlignment="0" applyProtection="0"/>
    <xf numFmtId="0" fontId="51" fillId="0" borderId="63" applyNumberFormat="0" applyFill="0" applyAlignment="0" applyProtection="0"/>
    <xf numFmtId="0" fontId="51" fillId="0" borderId="63" applyNumberFormat="0" applyFill="0" applyAlignment="0" applyProtection="0"/>
    <xf numFmtId="0" fontId="51" fillId="0" borderId="63" applyNumberFormat="0" applyFill="0" applyAlignment="0" applyProtection="0"/>
    <xf numFmtId="0" fontId="51" fillId="0" borderId="63" applyNumberFormat="0" applyFill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43" fontId="72" fillId="0" borderId="0" applyFont="0" applyFill="0" applyBorder="0" applyAlignment="0" applyProtection="0"/>
    <xf numFmtId="0" fontId="73" fillId="37" borderId="0" applyNumberFormat="0" applyFont="0" applyBorder="0" applyAlignment="0" applyProtection="0"/>
    <xf numFmtId="0" fontId="7" fillId="41" borderId="0">
      <alignment horizontal="center"/>
    </xf>
    <xf numFmtId="3" fontId="7" fillId="8" borderId="0">
      <protection locked="0"/>
    </xf>
    <xf numFmtId="3" fontId="7" fillId="9" borderId="0"/>
    <xf numFmtId="164" fontId="7" fillId="5" borderId="0">
      <alignment horizontal="right"/>
    </xf>
    <xf numFmtId="0" fontId="7" fillId="3" borderId="0">
      <alignment horizontal="center"/>
      <protection locked="0"/>
    </xf>
    <xf numFmtId="0" fontId="3" fillId="0" borderId="0"/>
    <xf numFmtId="43" fontId="52" fillId="0" borderId="0" applyFont="0" applyFill="0" applyBorder="0" applyAlignment="0" applyProtection="0"/>
    <xf numFmtId="0" fontId="64" fillId="37" borderId="0" applyNumberFormat="0" applyFont="0" applyBorder="0" applyAlignment="0" applyProtection="0"/>
    <xf numFmtId="0" fontId="2" fillId="0" borderId="0"/>
    <xf numFmtId="0" fontId="1" fillId="0" borderId="0"/>
  </cellStyleXfs>
  <cellXfs count="1193">
    <xf numFmtId="0" fontId="0" fillId="0" borderId="0" xfId="0"/>
    <xf numFmtId="0" fontId="7" fillId="0" borderId="0" xfId="2"/>
    <xf numFmtId="0" fontId="5" fillId="0" borderId="0" xfId="2" applyFont="1"/>
    <xf numFmtId="0" fontId="7" fillId="0" borderId="0" xfId="2" applyBorder="1"/>
    <xf numFmtId="0" fontId="10" fillId="0" borderId="0" xfId="2" applyFont="1" applyFill="1" applyBorder="1" applyAlignment="1">
      <alignment horizontal="center" vertical="center"/>
    </xf>
    <xf numFmtId="0" fontId="7" fillId="0" borderId="0" xfId="2" applyBorder="1" applyAlignment="1">
      <alignment horizontal="center"/>
    </xf>
    <xf numFmtId="0" fontId="7" fillId="0" borderId="0" xfId="2" applyAlignment="1">
      <alignment horizontal="right"/>
    </xf>
    <xf numFmtId="0" fontId="7" fillId="0" borderId="0" xfId="2" applyBorder="1" applyAlignment="1">
      <alignment horizontal="right"/>
    </xf>
    <xf numFmtId="2" fontId="7" fillId="0" borderId="0" xfId="2" applyNumberFormat="1" applyBorder="1"/>
    <xf numFmtId="0" fontId="7" fillId="0" borderId="0" xfId="2" applyFill="1" applyBorder="1"/>
    <xf numFmtId="0" fontId="11" fillId="0" borderId="0" xfId="0" applyFont="1"/>
    <xf numFmtId="0" fontId="5" fillId="0" borderId="0" xfId="3" applyFont="1" applyBorder="1" applyAlignment="1" applyProtection="1">
      <alignment horizontal="left"/>
      <protection locked="0"/>
    </xf>
    <xf numFmtId="0" fontId="5" fillId="0" borderId="3" xfId="3" applyFont="1" applyBorder="1" applyAlignment="1" applyProtection="1">
      <alignment horizontal="left"/>
      <protection locked="0"/>
    </xf>
    <xf numFmtId="0" fontId="7" fillId="0" borderId="0" xfId="2" applyFont="1" applyBorder="1"/>
    <xf numFmtId="0" fontId="7" fillId="0" borderId="5" xfId="2" applyBorder="1"/>
    <xf numFmtId="0" fontId="7" fillId="0" borderId="6" xfId="2" applyBorder="1"/>
    <xf numFmtId="164" fontId="7" fillId="0" borderId="0" xfId="2" applyNumberFormat="1" applyBorder="1"/>
    <xf numFmtId="0" fontId="13" fillId="0" borderId="0" xfId="0" applyFont="1" applyBorder="1"/>
    <xf numFmtId="0" fontId="7" fillId="0" borderId="0" xfId="3" applyFont="1" applyFill="1" applyBorder="1"/>
    <xf numFmtId="2" fontId="10" fillId="0" borderId="0" xfId="2" applyNumberFormat="1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/>
    </xf>
    <xf numFmtId="0" fontId="16" fillId="0" borderId="0" xfId="3" applyFont="1" applyBorder="1" applyAlignment="1" applyProtection="1">
      <alignment horizontal="center"/>
      <protection locked="0"/>
    </xf>
    <xf numFmtId="0" fontId="15" fillId="0" borderId="0" xfId="3" applyFont="1" applyBorder="1" applyProtection="1">
      <protection locked="0"/>
    </xf>
    <xf numFmtId="0" fontId="15" fillId="0" borderId="0" xfId="3" applyFont="1" applyBorder="1"/>
    <xf numFmtId="0" fontId="5" fillId="0" borderId="0" xfId="3" applyFont="1" applyFill="1" applyBorder="1" applyAlignment="1" applyProtection="1">
      <alignment horizontal="left"/>
      <protection locked="0"/>
    </xf>
    <xf numFmtId="0" fontId="15" fillId="0" borderId="0" xfId="3" applyFont="1" applyFill="1" applyBorder="1" applyAlignment="1" applyProtection="1">
      <alignment horizontal="right"/>
      <protection locked="0"/>
    </xf>
    <xf numFmtId="0" fontId="5" fillId="0" borderId="5" xfId="0" applyFont="1" applyBorder="1" applyAlignment="1">
      <alignment horizontal="center"/>
    </xf>
    <xf numFmtId="0" fontId="5" fillId="0" borderId="3" xfId="0" applyFont="1" applyBorder="1"/>
    <xf numFmtId="0" fontId="15" fillId="0" borderId="0" xfId="3" applyFont="1" applyFill="1" applyProtection="1">
      <protection locked="0"/>
    </xf>
    <xf numFmtId="0" fontId="15" fillId="0" borderId="5" xfId="3" applyFont="1" applyBorder="1" applyProtection="1">
      <protection locked="0"/>
    </xf>
    <xf numFmtId="0" fontId="15" fillId="0" borderId="5" xfId="3" applyFont="1" applyBorder="1" applyAlignment="1" applyProtection="1">
      <alignment horizontal="right"/>
      <protection locked="0"/>
    </xf>
    <xf numFmtId="0" fontId="15" fillId="0" borderId="6" xfId="3" applyFont="1" applyBorder="1" applyProtection="1">
      <protection locked="0"/>
    </xf>
    <xf numFmtId="0" fontId="15" fillId="0" borderId="0" xfId="3" applyFont="1" applyFill="1" applyBorder="1" applyAlignment="1" applyProtection="1">
      <alignment horizontal="center"/>
      <protection locked="0"/>
    </xf>
    <xf numFmtId="0" fontId="15" fillId="0" borderId="0" xfId="3" applyFont="1" applyFill="1" applyBorder="1" applyAlignment="1" applyProtection="1">
      <alignment horizontal="right"/>
    </xf>
    <xf numFmtId="0" fontId="15" fillId="0" borderId="0" xfId="3" applyFont="1" applyFill="1" applyBorder="1" applyProtection="1">
      <protection locked="0"/>
    </xf>
    <xf numFmtId="0" fontId="15" fillId="0" borderId="0" xfId="3" applyFont="1" applyBorder="1" applyAlignment="1" applyProtection="1">
      <alignment horizontal="right"/>
      <protection locked="0"/>
    </xf>
    <xf numFmtId="0" fontId="15" fillId="0" borderId="7" xfId="3" applyFont="1" applyFill="1" applyBorder="1" applyProtection="1">
      <protection locked="0"/>
    </xf>
    <xf numFmtId="0" fontId="15" fillId="0" borderId="0" xfId="3" applyFont="1" applyBorder="1" applyAlignment="1">
      <alignment horizontal="center"/>
    </xf>
    <xf numFmtId="0" fontId="15" fillId="0" borderId="3" xfId="3" applyFont="1" applyFill="1" applyBorder="1" applyProtection="1">
      <protection locked="0"/>
    </xf>
    <xf numFmtId="164" fontId="15" fillId="0" borderId="0" xfId="3" applyNumberFormat="1" applyFont="1" applyBorder="1" applyAlignment="1">
      <alignment horizontal="right"/>
    </xf>
    <xf numFmtId="9" fontId="15" fillId="0" borderId="0" xfId="4" applyFont="1" applyFill="1" applyBorder="1" applyAlignment="1" applyProtection="1">
      <alignment horizontal="right"/>
    </xf>
    <xf numFmtId="9" fontId="5" fillId="0" borderId="0" xfId="4" applyFont="1" applyBorder="1" applyAlignment="1">
      <alignment horizontal="right"/>
    </xf>
    <xf numFmtId="164" fontId="5" fillId="0" borderId="0" xfId="3" applyNumberFormat="1" applyFont="1" applyBorder="1" applyAlignment="1">
      <alignment horizontal="right"/>
    </xf>
    <xf numFmtId="0" fontId="5" fillId="0" borderId="0" xfId="3" applyFont="1" applyBorder="1" applyAlignment="1">
      <alignment horizontal="left"/>
    </xf>
    <xf numFmtId="9" fontId="5" fillId="0" borderId="0" xfId="4" applyFont="1" applyFill="1" applyBorder="1" applyProtection="1"/>
    <xf numFmtId="2" fontId="15" fillId="3" borderId="0" xfId="4" applyNumberFormat="1" applyFont="1" applyFill="1" applyBorder="1" applyAlignment="1" applyProtection="1">
      <alignment horizontal="right"/>
      <protection locked="0"/>
    </xf>
    <xf numFmtId="0" fontId="16" fillId="0" borderId="0" xfId="3" applyFont="1" applyBorder="1" applyAlignment="1" applyProtection="1">
      <alignment horizontal="left"/>
      <protection locked="0"/>
    </xf>
    <xf numFmtId="2" fontId="15" fillId="0" borderId="0" xfId="4" applyNumberFormat="1" applyFont="1" applyFill="1" applyBorder="1" applyAlignment="1" applyProtection="1">
      <alignment horizontal="right"/>
      <protection locked="0"/>
    </xf>
    <xf numFmtId="0" fontId="5" fillId="0" borderId="0" xfId="3" applyFont="1" applyFill="1" applyBorder="1" applyAlignment="1" applyProtection="1">
      <alignment horizontal="center"/>
      <protection locked="0"/>
    </xf>
    <xf numFmtId="0" fontId="16" fillId="0" borderId="0" xfId="3" applyFont="1" applyFill="1" applyBorder="1" applyAlignment="1" applyProtection="1">
      <alignment horizontal="center"/>
      <protection locked="0"/>
    </xf>
    <xf numFmtId="0" fontId="16" fillId="0" borderId="0" xfId="3" applyFont="1" applyFill="1" applyBorder="1" applyAlignment="1" applyProtection="1">
      <alignment horizontal="center"/>
    </xf>
    <xf numFmtId="9" fontId="15" fillId="3" borderId="0" xfId="4" applyFont="1" applyFill="1" applyBorder="1" applyAlignment="1" applyProtection="1">
      <alignment horizontal="right"/>
      <protection locked="0"/>
    </xf>
    <xf numFmtId="9" fontId="5" fillId="0" borderId="0" xfId="4" applyFont="1" applyFill="1" applyBorder="1" applyAlignment="1" applyProtection="1">
      <alignment horizontal="right"/>
    </xf>
    <xf numFmtId="0" fontId="5" fillId="0" borderId="0" xfId="3" applyFont="1" applyProtection="1">
      <protection locked="0"/>
    </xf>
    <xf numFmtId="0" fontId="5" fillId="0" borderId="0" xfId="3" applyFont="1" applyFill="1" applyBorder="1" applyAlignment="1" applyProtection="1">
      <alignment horizontal="right"/>
      <protection locked="0"/>
    </xf>
    <xf numFmtId="164" fontId="5" fillId="0" borderId="0" xfId="3" applyNumberFormat="1" applyFont="1" applyFill="1" applyBorder="1" applyAlignment="1" applyProtection="1">
      <alignment horizontal="right"/>
    </xf>
    <xf numFmtId="0" fontId="19" fillId="0" borderId="0" xfId="3" applyFont="1" applyBorder="1" applyProtection="1"/>
    <xf numFmtId="0" fontId="16" fillId="0" borderId="0" xfId="3" applyFont="1" applyFill="1" applyBorder="1" applyAlignment="1" applyProtection="1">
      <alignment horizontal="left"/>
      <protection locked="0"/>
    </xf>
    <xf numFmtId="0" fontId="5" fillId="0" borderId="0" xfId="3" applyFont="1" applyFill="1" applyBorder="1" applyProtection="1">
      <protection locked="0"/>
    </xf>
    <xf numFmtId="164" fontId="5" fillId="0" borderId="0" xfId="3" applyNumberFormat="1" applyFont="1" applyFill="1" applyBorder="1" applyAlignment="1" applyProtection="1">
      <alignment horizontal="right"/>
      <protection locked="0"/>
    </xf>
    <xf numFmtId="0" fontId="15" fillId="0" borderId="0" xfId="3" applyFont="1" applyProtection="1">
      <protection locked="0"/>
    </xf>
    <xf numFmtId="9" fontId="15" fillId="0" borderId="0" xfId="4" applyFont="1" applyFill="1" applyBorder="1" applyProtection="1"/>
    <xf numFmtId="0" fontId="15" fillId="0" borderId="0" xfId="3" applyFont="1" applyFill="1" applyBorder="1"/>
    <xf numFmtId="0" fontId="15" fillId="0" borderId="2" xfId="3" applyFont="1" applyBorder="1" applyProtection="1">
      <protection locked="0"/>
    </xf>
    <xf numFmtId="0" fontId="16" fillId="0" borderId="5" xfId="3" applyFont="1" applyFill="1" applyBorder="1" applyAlignment="1" applyProtection="1">
      <alignment horizontal="center"/>
      <protection locked="0"/>
    </xf>
    <xf numFmtId="0" fontId="15" fillId="0" borderId="0" xfId="0" applyFont="1" applyBorder="1" applyProtection="1"/>
    <xf numFmtId="0" fontId="7" fillId="0" borderId="4" xfId="2" applyFont="1" applyBorder="1" applyAlignment="1"/>
    <xf numFmtId="0" fontId="5" fillId="0" borderId="12" xfId="2" applyFont="1" applyBorder="1"/>
    <xf numFmtId="0" fontId="7" fillId="0" borderId="4" xfId="2" applyFont="1" applyBorder="1"/>
    <xf numFmtId="9" fontId="15" fillId="4" borderId="0" xfId="4" applyFont="1" applyFill="1" applyBorder="1" applyAlignment="1" applyProtection="1">
      <alignment horizontal="center"/>
      <protection locked="0"/>
    </xf>
    <xf numFmtId="0" fontId="7" fillId="0" borderId="3" xfId="3" applyFont="1" applyFill="1" applyBorder="1" applyAlignment="1">
      <alignment horizontal="center"/>
    </xf>
    <xf numFmtId="0" fontId="7" fillId="0" borderId="9" xfId="3" applyFont="1" applyFill="1" applyBorder="1" applyAlignment="1">
      <alignment horizontal="center"/>
    </xf>
    <xf numFmtId="0" fontId="7" fillId="0" borderId="4" xfId="3" applyFont="1" applyFill="1" applyBorder="1" applyAlignment="1">
      <alignment horizontal="center"/>
    </xf>
    <xf numFmtId="3" fontId="15" fillId="0" borderId="0" xfId="3" applyNumberFormat="1" applyFont="1" applyFill="1" applyBorder="1" applyAlignment="1" applyProtection="1">
      <alignment horizontal="center"/>
      <protection locked="0"/>
    </xf>
    <xf numFmtId="0" fontId="5" fillId="0" borderId="4" xfId="3" applyFont="1" applyFill="1" applyBorder="1" applyProtection="1">
      <protection locked="0"/>
    </xf>
    <xf numFmtId="0" fontId="5" fillId="0" borderId="3" xfId="3" applyFont="1" applyFill="1" applyBorder="1" applyProtection="1">
      <protection locked="0"/>
    </xf>
    <xf numFmtId="0" fontId="16" fillId="0" borderId="0" xfId="3" applyFont="1" applyBorder="1" applyAlignment="1">
      <alignment horizontal="center"/>
    </xf>
    <xf numFmtId="164" fontId="15" fillId="5" borderId="0" xfId="3" applyNumberFormat="1" applyFont="1" applyFill="1" applyBorder="1" applyAlignment="1" applyProtection="1">
      <alignment horizontal="right"/>
    </xf>
    <xf numFmtId="9" fontId="15" fillId="4" borderId="3" xfId="4" applyFont="1" applyFill="1" applyBorder="1" applyAlignment="1" applyProtection="1">
      <alignment horizontal="center"/>
      <protection locked="0"/>
    </xf>
    <xf numFmtId="9" fontId="15" fillId="0" borderId="3" xfId="4" applyFont="1" applyFill="1" applyBorder="1" applyAlignment="1" applyProtection="1">
      <alignment horizontal="center"/>
      <protection locked="0"/>
    </xf>
    <xf numFmtId="0" fontId="5" fillId="0" borderId="10" xfId="2" applyFont="1" applyFill="1" applyBorder="1" applyAlignment="1">
      <alignment horizontal="center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18" xfId="2" applyFont="1" applyFill="1" applyBorder="1"/>
    <xf numFmtId="0" fontId="5" fillId="0" borderId="11" xfId="2" applyFont="1" applyFill="1" applyBorder="1"/>
    <xf numFmtId="1" fontId="7" fillId="0" borderId="0" xfId="3" applyNumberFormat="1" applyFont="1" applyFill="1" applyBorder="1"/>
    <xf numFmtId="1" fontId="7" fillId="0" borderId="7" xfId="3" applyNumberFormat="1" applyFont="1" applyFill="1" applyBorder="1"/>
    <xf numFmtId="0" fontId="0" fillId="0" borderId="0" xfId="0" applyBorder="1"/>
    <xf numFmtId="9" fontId="15" fillId="3" borderId="0" xfId="4" applyFont="1" applyFill="1" applyBorder="1" applyAlignment="1" applyProtection="1">
      <protection locked="0"/>
    </xf>
    <xf numFmtId="9" fontId="15" fillId="4" borderId="7" xfId="4" applyFont="1" applyFill="1" applyBorder="1" applyAlignment="1" applyProtection="1">
      <alignment horizontal="center"/>
      <protection locked="0"/>
    </xf>
    <xf numFmtId="0" fontId="7" fillId="0" borderId="0" xfId="3" applyFont="1" applyBorder="1"/>
    <xf numFmtId="164" fontId="15" fillId="6" borderId="0" xfId="3" applyNumberFormat="1" applyFont="1" applyFill="1" applyBorder="1" applyAlignment="1">
      <alignment horizontal="right"/>
    </xf>
    <xf numFmtId="164" fontId="15" fillId="6" borderId="0" xfId="3" applyNumberFormat="1" applyFont="1" applyFill="1" applyBorder="1" applyAlignment="1" applyProtection="1">
      <alignment horizontal="right"/>
    </xf>
    <xf numFmtId="0" fontId="7" fillId="0" borderId="5" xfId="2" applyFont="1" applyBorder="1"/>
    <xf numFmtId="0" fontId="7" fillId="0" borderId="3" xfId="0" applyFont="1" applyBorder="1"/>
    <xf numFmtId="0" fontId="7" fillId="0" borderId="0" xfId="0" applyFont="1" applyFill="1" applyBorder="1"/>
    <xf numFmtId="0" fontId="7" fillId="0" borderId="9" xfId="2" applyFont="1" applyBorder="1" applyAlignment="1">
      <alignment horizontal="right"/>
    </xf>
    <xf numFmtId="0" fontId="15" fillId="3" borderId="0" xfId="3" applyNumberFormat="1" applyFont="1" applyFill="1" applyBorder="1" applyAlignment="1" applyProtection="1">
      <alignment horizontal="center"/>
      <protection locked="0"/>
    </xf>
    <xf numFmtId="0" fontId="7" fillId="0" borderId="0" xfId="3" applyFont="1" applyBorder="1" applyProtection="1">
      <protection locked="0"/>
    </xf>
    <xf numFmtId="3" fontId="15" fillId="0" borderId="0" xfId="3" applyNumberFormat="1" applyFont="1" applyFill="1" applyBorder="1" applyAlignment="1" applyProtection="1">
      <alignment horizontal="center"/>
    </xf>
    <xf numFmtId="0" fontId="7" fillId="0" borderId="0" xfId="3" applyFont="1" applyBorder="1" applyAlignment="1" applyProtection="1">
      <alignment horizontal="left"/>
      <protection locked="0"/>
    </xf>
    <xf numFmtId="0" fontId="5" fillId="0" borderId="0" xfId="0" applyFont="1" applyFill="1"/>
    <xf numFmtId="0" fontId="7" fillId="0" borderId="0" xfId="0" applyFont="1" applyFill="1"/>
    <xf numFmtId="2" fontId="7" fillId="0" borderId="0" xfId="2" applyNumberFormat="1"/>
    <xf numFmtId="2" fontId="7" fillId="0" borderId="4" xfId="2" applyNumberFormat="1" applyBorder="1"/>
    <xf numFmtId="2" fontId="7" fillId="0" borderId="5" xfId="2" applyNumberFormat="1" applyBorder="1"/>
    <xf numFmtId="0" fontId="7" fillId="0" borderId="0" xfId="2" applyAlignment="1">
      <alignment horizontal="left"/>
    </xf>
    <xf numFmtId="0" fontId="7" fillId="0" borderId="0" xfId="2" applyAlignment="1"/>
    <xf numFmtId="0" fontId="7" fillId="0" borderId="0" xfId="2" applyBorder="1" applyAlignment="1"/>
    <xf numFmtId="0" fontId="7" fillId="0" borderId="14" xfId="2" applyFont="1" applyFill="1" applyBorder="1" applyAlignment="1">
      <alignment horizontal="right"/>
    </xf>
    <xf numFmtId="0" fontId="7" fillId="6" borderId="16" xfId="2" applyFill="1" applyBorder="1"/>
    <xf numFmtId="0" fontId="7" fillId="0" borderId="4" xfId="2" applyFont="1" applyFill="1" applyBorder="1" applyAlignment="1">
      <alignment horizontal="right"/>
    </xf>
    <xf numFmtId="0" fontId="7" fillId="0" borderId="9" xfId="2" applyFont="1" applyFill="1" applyBorder="1" applyAlignment="1">
      <alignment horizontal="right"/>
    </xf>
    <xf numFmtId="0" fontId="7" fillId="7" borderId="9" xfId="2" applyFill="1" applyBorder="1" applyAlignment="1">
      <alignment horizontal="center"/>
    </xf>
    <xf numFmtId="0" fontId="7" fillId="0" borderId="2" xfId="2" applyBorder="1"/>
    <xf numFmtId="0" fontId="7" fillId="0" borderId="8" xfId="2" applyBorder="1"/>
    <xf numFmtId="0" fontId="5" fillId="0" borderId="0" xfId="2" applyFont="1" applyBorder="1" applyAlignment="1">
      <alignment horizontal="center" wrapText="1"/>
    </xf>
    <xf numFmtId="0" fontId="5" fillId="0" borderId="0" xfId="2" applyFont="1" applyBorder="1" applyAlignment="1">
      <alignment horizontal="left"/>
    </xf>
    <xf numFmtId="0" fontId="7" fillId="7" borderId="2" xfId="2" applyFill="1" applyBorder="1" applyAlignment="1">
      <alignment horizontal="center"/>
    </xf>
    <xf numFmtId="2" fontId="7" fillId="0" borderId="0" xfId="2" applyNumberFormat="1" applyFill="1" applyBorder="1"/>
    <xf numFmtId="0" fontId="7" fillId="0" borderId="0" xfId="2" applyFill="1" applyBorder="1" applyAlignment="1"/>
    <xf numFmtId="164" fontId="7" fillId="0" borderId="0" xfId="2" applyNumberFormat="1" applyFill="1" applyBorder="1"/>
    <xf numFmtId="0" fontId="7" fillId="0" borderId="0" xfId="2" applyFont="1"/>
    <xf numFmtId="164" fontId="7" fillId="0" borderId="0" xfId="2" applyNumberFormat="1"/>
    <xf numFmtId="0" fontId="7" fillId="0" borderId="14" xfId="2" applyFont="1" applyBorder="1" applyAlignment="1">
      <alignment horizontal="right"/>
    </xf>
    <xf numFmtId="164" fontId="7" fillId="5" borderId="16" xfId="2" applyNumberFormat="1" applyFill="1" applyBorder="1"/>
    <xf numFmtId="0" fontId="7" fillId="5" borderId="16" xfId="2" applyFill="1" applyBorder="1"/>
    <xf numFmtId="2" fontId="7" fillId="5" borderId="16" xfId="2" applyNumberFormat="1" applyFill="1" applyBorder="1"/>
    <xf numFmtId="0" fontId="7" fillId="0" borderId="0" xfId="2" applyFont="1" applyFill="1" applyBorder="1" applyAlignment="1">
      <alignment horizontal="right"/>
    </xf>
    <xf numFmtId="2" fontId="7" fillId="0" borderId="0" xfId="2" applyNumberFormat="1" applyFont="1" applyFill="1" applyBorder="1"/>
    <xf numFmtId="0" fontId="16" fillId="0" borderId="7" xfId="3" applyFont="1" applyFill="1" applyBorder="1" applyAlignment="1" applyProtection="1">
      <alignment horizontal="left"/>
      <protection locked="0"/>
    </xf>
    <xf numFmtId="2" fontId="7" fillId="4" borderId="4" xfId="2" applyNumberFormat="1" applyFill="1" applyBorder="1" applyAlignment="1">
      <alignment horizontal="right"/>
    </xf>
    <xf numFmtId="2" fontId="7" fillId="4" borderId="5" xfId="2" applyNumberFormat="1" applyFill="1" applyBorder="1" applyAlignment="1">
      <alignment horizontal="right"/>
    </xf>
    <xf numFmtId="2" fontId="7" fillId="4" borderId="3" xfId="2" applyNumberFormat="1" applyFill="1" applyBorder="1" applyAlignment="1">
      <alignment horizontal="right"/>
    </xf>
    <xf numFmtId="2" fontId="7" fillId="4" borderId="0" xfId="2" applyNumberFormat="1" applyFill="1" applyBorder="1" applyAlignment="1">
      <alignment horizontal="right"/>
    </xf>
    <xf numFmtId="2" fontId="7" fillId="4" borderId="9" xfId="2" applyNumberFormat="1" applyFill="1" applyBorder="1" applyAlignment="1">
      <alignment horizontal="right"/>
    </xf>
    <xf numFmtId="2" fontId="7" fillId="4" borderId="2" xfId="2" applyNumberFormat="1" applyFill="1" applyBorder="1" applyAlignment="1">
      <alignment horizontal="right"/>
    </xf>
    <xf numFmtId="2" fontId="7" fillId="4" borderId="4" xfId="2" applyNumberFormat="1" applyFill="1" applyBorder="1"/>
    <xf numFmtId="2" fontId="7" fillId="4" borderId="5" xfId="2" applyNumberFormat="1" applyFill="1" applyBorder="1"/>
    <xf numFmtId="2" fontId="7" fillId="4" borderId="3" xfId="2" applyNumberFormat="1" applyFill="1" applyBorder="1"/>
    <xf numFmtId="2" fontId="7" fillId="4" borderId="0" xfId="2" applyNumberFormat="1" applyFill="1" applyBorder="1"/>
    <xf numFmtId="2" fontId="7" fillId="4" borderId="9" xfId="2" applyNumberFormat="1" applyFill="1" applyBorder="1"/>
    <xf numFmtId="2" fontId="7" fillId="4" borderId="2" xfId="2" applyNumberFormat="1" applyFill="1" applyBorder="1"/>
    <xf numFmtId="2" fontId="7" fillId="4" borderId="4" xfId="2" applyNumberFormat="1" applyFill="1" applyBorder="1" applyAlignment="1"/>
    <xf numFmtId="2" fontId="7" fillId="4" borderId="5" xfId="2" applyNumberFormat="1" applyFill="1" applyBorder="1" applyAlignment="1"/>
    <xf numFmtId="2" fontId="7" fillId="0" borderId="0" xfId="2" applyNumberFormat="1" applyFill="1" applyBorder="1" applyAlignment="1">
      <alignment horizontal="right"/>
    </xf>
    <xf numFmtId="2" fontId="36" fillId="0" borderId="0" xfId="2" applyNumberFormat="1" applyFont="1" applyFill="1" applyBorder="1"/>
    <xf numFmtId="2" fontId="37" fillId="0" borderId="0" xfId="2" applyNumberFormat="1" applyFont="1" applyFill="1" applyBorder="1"/>
    <xf numFmtId="2" fontId="7" fillId="0" borderId="0" xfId="2" applyNumberFormat="1" applyFill="1" applyBorder="1" applyAlignment="1"/>
    <xf numFmtId="0" fontId="15" fillId="0" borderId="3" xfId="3" applyFont="1" applyBorder="1" applyProtection="1">
      <protection locked="0"/>
    </xf>
    <xf numFmtId="0" fontId="0" fillId="0" borderId="0" xfId="0" applyFill="1" applyBorder="1"/>
    <xf numFmtId="0" fontId="5" fillId="0" borderId="0" xfId="2" applyFont="1" applyAlignment="1">
      <alignment horizontal="left"/>
    </xf>
    <xf numFmtId="0" fontId="5" fillId="0" borderId="0" xfId="2" applyFont="1" applyFill="1" applyBorder="1"/>
    <xf numFmtId="0" fontId="7" fillId="0" borderId="0" xfId="2" applyFont="1" applyAlignment="1">
      <alignment horizontal="left"/>
    </xf>
    <xf numFmtId="0" fontId="5" fillId="0" borderId="0" xfId="2" applyFont="1" applyAlignment="1">
      <alignment horizontal="center"/>
    </xf>
    <xf numFmtId="0" fontId="5" fillId="0" borderId="0" xfId="2" applyFont="1" applyBorder="1" applyAlignment="1">
      <alignment horizontal="left" vertical="center"/>
    </xf>
    <xf numFmtId="0" fontId="26" fillId="0" borderId="0" xfId="2" applyFont="1"/>
    <xf numFmtId="0" fontId="26" fillId="0" borderId="0" xfId="2" applyFont="1" applyAlignment="1">
      <alignment horizontal="left"/>
    </xf>
    <xf numFmtId="0" fontId="7" fillId="0" borderId="36" xfId="2" applyFont="1" applyBorder="1"/>
    <xf numFmtId="0" fontId="7" fillId="0" borderId="37" xfId="2" applyFont="1" applyBorder="1"/>
    <xf numFmtId="0" fontId="7" fillId="0" borderId="38" xfId="2" applyFont="1" applyBorder="1"/>
    <xf numFmtId="2" fontId="7" fillId="0" borderId="36" xfId="2" applyNumberFormat="1" applyBorder="1"/>
    <xf numFmtId="2" fontId="7" fillId="0" borderId="37" xfId="2" applyNumberFormat="1" applyBorder="1"/>
    <xf numFmtId="0" fontId="7" fillId="0" borderId="36" xfId="2" applyBorder="1"/>
    <xf numFmtId="0" fontId="7" fillId="0" borderId="37" xfId="2" applyBorder="1"/>
    <xf numFmtId="0" fontId="7" fillId="0" borderId="38" xfId="2" applyBorder="1"/>
    <xf numFmtId="2" fontId="7" fillId="0" borderId="38" xfId="2" applyNumberFormat="1" applyBorder="1"/>
    <xf numFmtId="0" fontId="5" fillId="0" borderId="4" xfId="2" applyFont="1" applyFill="1" applyBorder="1" applyAlignment="1">
      <alignment horizontal="center" vertical="center"/>
    </xf>
    <xf numFmtId="0" fontId="5" fillId="0" borderId="10" xfId="2" applyFont="1" applyFill="1" applyBorder="1"/>
    <xf numFmtId="0" fontId="5" fillId="0" borderId="42" xfId="2" applyFont="1" applyFill="1" applyBorder="1" applyAlignment="1">
      <alignment horizontal="center" vertical="center"/>
    </xf>
    <xf numFmtId="0" fontId="5" fillId="0" borderId="42" xfId="2" applyFont="1" applyFill="1" applyBorder="1"/>
    <xf numFmtId="0" fontId="5" fillId="0" borderId="43" xfId="2" applyFont="1" applyFill="1" applyBorder="1"/>
    <xf numFmtId="0" fontId="5" fillId="0" borderId="44" xfId="2" applyFont="1" applyFill="1" applyBorder="1"/>
    <xf numFmtId="0" fontId="5" fillId="0" borderId="39" xfId="2" applyFont="1" applyFill="1" applyBorder="1" applyAlignment="1">
      <alignment horizontal="center" vertical="center"/>
    </xf>
    <xf numFmtId="2" fontId="7" fillId="5" borderId="6" xfId="2" applyNumberFormat="1" applyFill="1" applyBorder="1"/>
    <xf numFmtId="2" fontId="7" fillId="5" borderId="8" xfId="2" applyNumberFormat="1" applyFill="1" applyBorder="1" applyAlignment="1">
      <alignment horizontal="right"/>
    </xf>
    <xf numFmtId="2" fontId="7" fillId="5" borderId="6" xfId="1" applyNumberFormat="1" applyFont="1" applyFill="1" applyBorder="1" applyAlignment="1">
      <alignment horizontal="right"/>
    </xf>
    <xf numFmtId="2" fontId="7" fillId="5" borderId="8" xfId="2" applyNumberFormat="1" applyFont="1" applyFill="1" applyBorder="1" applyAlignment="1">
      <alignment horizontal="right"/>
    </xf>
    <xf numFmtId="0" fontId="7" fillId="0" borderId="2" xfId="2" applyFill="1" applyBorder="1"/>
    <xf numFmtId="0" fontId="7" fillId="0" borderId="8" xfId="2" applyFill="1" applyBorder="1"/>
    <xf numFmtId="0" fontId="10" fillId="0" borderId="4" xfId="2" applyFont="1" applyFill="1" applyBorder="1" applyAlignment="1">
      <alignment horizontal="left" vertical="center"/>
    </xf>
    <xf numFmtId="0" fontId="7" fillId="0" borderId="46" xfId="3" applyFont="1" applyFill="1" applyBorder="1" applyAlignment="1">
      <alignment horizontal="center"/>
    </xf>
    <xf numFmtId="3" fontId="7" fillId="0" borderId="25" xfId="1" applyNumberFormat="1" applyFont="1" applyFill="1" applyBorder="1"/>
    <xf numFmtId="3" fontId="7" fillId="0" borderId="47" xfId="1" applyNumberFormat="1" applyFont="1" applyFill="1" applyBorder="1"/>
    <xf numFmtId="0" fontId="7" fillId="7" borderId="16" xfId="2" applyFill="1" applyBorder="1"/>
    <xf numFmtId="0" fontId="7" fillId="0" borderId="0" xfId="3" applyFont="1" applyProtection="1">
      <protection locked="0"/>
    </xf>
    <xf numFmtId="9" fontId="15" fillId="0" borderId="0" xfId="4" applyNumberFormat="1" applyFont="1" applyFill="1" applyBorder="1" applyAlignment="1">
      <alignment horizontal="right"/>
    </xf>
    <xf numFmtId="3" fontId="7" fillId="0" borderId="0" xfId="0" applyNumberFormat="1" applyFont="1" applyBorder="1"/>
    <xf numFmtId="3" fontId="7" fillId="0" borderId="0" xfId="0" applyNumberFormat="1" applyFont="1" applyFill="1" applyBorder="1"/>
    <xf numFmtId="9" fontId="15" fillId="0" borderId="7" xfId="4" applyFont="1" applyFill="1" applyBorder="1" applyAlignment="1" applyProtection="1">
      <alignment horizontal="center"/>
      <protection locked="0"/>
    </xf>
    <xf numFmtId="0" fontId="7" fillId="0" borderId="0" xfId="3" applyFont="1" applyBorder="1" applyAlignment="1" applyProtection="1">
      <alignment horizontal="right"/>
      <protection locked="0"/>
    </xf>
    <xf numFmtId="164" fontId="15" fillId="10" borderId="0" xfId="3" applyNumberFormat="1" applyFont="1" applyFill="1" applyBorder="1" applyAlignment="1">
      <alignment horizontal="right"/>
    </xf>
    <xf numFmtId="0" fontId="10" fillId="0" borderId="18" xfId="2" applyFont="1" applyFill="1" applyBorder="1" applyAlignment="1">
      <alignment horizontal="center"/>
    </xf>
    <xf numFmtId="0" fontId="10" fillId="0" borderId="29" xfId="2" applyFont="1" applyFill="1" applyBorder="1" applyAlignment="1">
      <alignment horizontal="center"/>
    </xf>
    <xf numFmtId="0" fontId="10" fillId="0" borderId="44" xfId="2" applyFont="1" applyFill="1" applyBorder="1" applyAlignment="1">
      <alignment horizontal="center"/>
    </xf>
    <xf numFmtId="0" fontId="10" fillId="0" borderId="45" xfId="2" applyFont="1" applyFill="1" applyBorder="1" applyAlignment="1">
      <alignment horizontal="center"/>
    </xf>
    <xf numFmtId="0" fontId="10" fillId="0" borderId="43" xfId="2" applyFont="1" applyFill="1" applyBorder="1" applyAlignment="1">
      <alignment horizontal="center"/>
    </xf>
    <xf numFmtId="0" fontId="10" fillId="0" borderId="32" xfId="2" applyFont="1" applyFill="1" applyBorder="1" applyAlignment="1">
      <alignment horizontal="center"/>
    </xf>
    <xf numFmtId="0" fontId="10" fillId="0" borderId="11" xfId="2" applyFont="1" applyFill="1" applyBorder="1" applyAlignment="1">
      <alignment horizontal="center"/>
    </xf>
    <xf numFmtId="0" fontId="10" fillId="0" borderId="30" xfId="2" applyFont="1" applyFill="1" applyBorder="1" applyAlignment="1">
      <alignment horizontal="center"/>
    </xf>
    <xf numFmtId="0" fontId="7" fillId="0" borderId="0" xfId="2" applyFill="1"/>
    <xf numFmtId="164" fontId="10" fillId="0" borderId="18" xfId="2" applyNumberFormat="1" applyFont="1" applyFill="1" applyBorder="1" applyAlignment="1">
      <alignment horizontal="center"/>
    </xf>
    <xf numFmtId="164" fontId="10" fillId="0" borderId="29" xfId="2" applyNumberFormat="1" applyFont="1" applyFill="1" applyBorder="1" applyAlignment="1">
      <alignment horizontal="center"/>
    </xf>
    <xf numFmtId="164" fontId="10" fillId="0" borderId="44" xfId="2" applyNumberFormat="1" applyFont="1" applyFill="1" applyBorder="1" applyAlignment="1">
      <alignment horizontal="center"/>
    </xf>
    <xf numFmtId="164" fontId="10" fillId="0" borderId="43" xfId="2" applyNumberFormat="1" applyFont="1" applyFill="1" applyBorder="1" applyAlignment="1">
      <alignment horizontal="center"/>
    </xf>
    <xf numFmtId="164" fontId="10" fillId="0" borderId="11" xfId="2" applyNumberFormat="1" applyFont="1" applyFill="1" applyBorder="1" applyAlignment="1">
      <alignment horizontal="center"/>
    </xf>
    <xf numFmtId="164" fontId="7" fillId="0" borderId="0" xfId="2" applyNumberFormat="1" applyFill="1"/>
    <xf numFmtId="2" fontId="10" fillId="0" borderId="18" xfId="2" applyNumberFormat="1" applyFont="1" applyFill="1" applyBorder="1" applyAlignment="1">
      <alignment horizontal="center"/>
    </xf>
    <xf numFmtId="2" fontId="10" fillId="0" borderId="29" xfId="2" applyNumberFormat="1" applyFont="1" applyFill="1" applyBorder="1" applyAlignment="1">
      <alignment horizontal="center"/>
    </xf>
    <xf numFmtId="2" fontId="10" fillId="0" borderId="44" xfId="2" applyNumberFormat="1" applyFont="1" applyFill="1" applyBorder="1" applyAlignment="1">
      <alignment horizontal="center"/>
    </xf>
    <xf numFmtId="2" fontId="10" fillId="0" borderId="43" xfId="2" applyNumberFormat="1" applyFont="1" applyFill="1" applyBorder="1" applyAlignment="1">
      <alignment horizontal="center"/>
    </xf>
    <xf numFmtId="2" fontId="10" fillId="0" borderId="11" xfId="2" applyNumberFormat="1" applyFont="1" applyFill="1" applyBorder="1" applyAlignment="1">
      <alignment horizontal="center"/>
    </xf>
    <xf numFmtId="2" fontId="7" fillId="0" borderId="0" xfId="2" applyNumberFormat="1" applyFill="1"/>
    <xf numFmtId="0" fontId="7" fillId="0" borderId="0" xfId="3" applyFont="1" applyFill="1" applyBorder="1" applyAlignment="1" applyProtection="1">
      <alignment horizontal="right"/>
      <protection locked="0"/>
    </xf>
    <xf numFmtId="0" fontId="7" fillId="10" borderId="16" xfId="2" applyFill="1" applyBorder="1"/>
    <xf numFmtId="164" fontId="7" fillId="6" borderId="16" xfId="2" applyNumberFormat="1" applyFill="1" applyBorder="1"/>
    <xf numFmtId="9" fontId="15" fillId="0" borderId="0" xfId="4" applyFont="1" applyFill="1" applyBorder="1" applyAlignment="1" applyProtection="1">
      <alignment horizontal="center"/>
      <protection locked="0"/>
    </xf>
    <xf numFmtId="0" fontId="7" fillId="0" borderId="0" xfId="0" applyFont="1" applyBorder="1"/>
    <xf numFmtId="0" fontId="7" fillId="0" borderId="0" xfId="0" applyFont="1"/>
    <xf numFmtId="0" fontId="15" fillId="40" borderId="0" xfId="0" applyFont="1" applyFill="1"/>
    <xf numFmtId="0" fontId="5" fillId="40" borderId="0" xfId="0" applyFont="1" applyFill="1"/>
    <xf numFmtId="0" fontId="15" fillId="40" borderId="0" xfId="0" applyFont="1" applyFill="1" applyAlignment="1">
      <alignment horizontal="right"/>
    </xf>
    <xf numFmtId="3" fontId="15" fillId="40" borderId="0" xfId="0" applyNumberFormat="1" applyFont="1" applyFill="1" applyAlignment="1">
      <alignment horizontal="right"/>
    </xf>
    <xf numFmtId="0" fontId="7" fillId="40" borderId="0" xfId="0" applyFont="1" applyFill="1"/>
    <xf numFmtId="0" fontId="5" fillId="40" borderId="0" xfId="0" applyFont="1" applyFill="1" applyAlignment="1">
      <alignment horizontal="center"/>
    </xf>
    <xf numFmtId="0" fontId="7" fillId="40" borderId="0" xfId="0" applyFont="1" applyFill="1" applyAlignment="1">
      <alignment horizontal="center"/>
    </xf>
    <xf numFmtId="3" fontId="7" fillId="40" borderId="0" xfId="0" applyNumberFormat="1" applyFont="1" applyFill="1" applyAlignment="1">
      <alignment horizontal="center"/>
    </xf>
    <xf numFmtId="0" fontId="5" fillId="40" borderId="0" xfId="0" applyFont="1" applyFill="1" applyAlignment="1"/>
    <xf numFmtId="9" fontId="15" fillId="40" borderId="0" xfId="0" applyNumberFormat="1" applyFont="1" applyFill="1"/>
    <xf numFmtId="3" fontId="15" fillId="40" borderId="0" xfId="0" applyNumberFormat="1" applyFont="1" applyFill="1"/>
    <xf numFmtId="3" fontId="7" fillId="40" borderId="0" xfId="0" applyNumberFormat="1" applyFont="1" applyFill="1"/>
    <xf numFmtId="0" fontId="5" fillId="40" borderId="0" xfId="0" applyFont="1" applyFill="1" applyAlignment="1">
      <alignment horizontal="right"/>
    </xf>
    <xf numFmtId="3" fontId="5" fillId="40" borderId="0" xfId="4" applyNumberFormat="1" applyFont="1" applyFill="1" applyAlignment="1">
      <alignment horizontal="right"/>
    </xf>
    <xf numFmtId="9" fontId="5" fillId="40" borderId="0" xfId="0" applyNumberFormat="1" applyFont="1" applyFill="1"/>
    <xf numFmtId="0" fontId="13" fillId="40" borderId="0" xfId="3" applyFont="1" applyFill="1" applyBorder="1" applyAlignment="1" applyProtection="1">
      <alignment horizontal="center"/>
      <protection locked="0"/>
    </xf>
    <xf numFmtId="0" fontId="23" fillId="40" borderId="0" xfId="3" applyFont="1" applyFill="1" applyBorder="1" applyAlignment="1" applyProtection="1">
      <alignment horizontal="left"/>
      <protection locked="0"/>
    </xf>
    <xf numFmtId="0" fontId="15" fillId="40" borderId="0" xfId="3" applyFont="1" applyFill="1" applyBorder="1" applyProtection="1">
      <protection locked="0"/>
    </xf>
    <xf numFmtId="0" fontId="9" fillId="40" borderId="0" xfId="3" applyFont="1" applyFill="1" applyBorder="1" applyAlignment="1" applyProtection="1">
      <alignment horizontal="left"/>
      <protection locked="0"/>
    </xf>
    <xf numFmtId="0" fontId="15" fillId="40" borderId="0" xfId="3" applyFont="1" applyFill="1" applyBorder="1" applyAlignment="1" applyProtection="1">
      <alignment horizontal="center"/>
      <protection locked="0"/>
    </xf>
    <xf numFmtId="0" fontId="7" fillId="40" borderId="0" xfId="3" applyFont="1" applyFill="1" applyBorder="1" applyProtection="1">
      <protection locked="0"/>
    </xf>
    <xf numFmtId="0" fontId="5" fillId="40" borderId="0" xfId="3" applyFont="1" applyFill="1" applyBorder="1" applyAlignment="1" applyProtection="1">
      <alignment horizontal="left"/>
      <protection locked="0"/>
    </xf>
    <xf numFmtId="0" fontId="7" fillId="40" borderId="0" xfId="3" applyFont="1" applyFill="1" applyBorder="1" applyAlignment="1" applyProtection="1">
      <alignment horizontal="center"/>
      <protection locked="0"/>
    </xf>
    <xf numFmtId="0" fontId="7" fillId="40" borderId="0" xfId="3" applyFont="1" applyFill="1" applyAlignment="1" applyProtection="1">
      <alignment horizontal="right"/>
      <protection locked="0"/>
    </xf>
    <xf numFmtId="3" fontId="15" fillId="40" borderId="4" xfId="0" applyNumberFormat="1" applyFont="1" applyFill="1" applyBorder="1" applyAlignment="1">
      <alignment horizontal="right"/>
    </xf>
    <xf numFmtId="3" fontId="15" fillId="40" borderId="5" xfId="0" applyNumberFormat="1" applyFont="1" applyFill="1" applyBorder="1" applyAlignment="1">
      <alignment horizontal="right"/>
    </xf>
    <xf numFmtId="3" fontId="15" fillId="40" borderId="6" xfId="0" applyNumberFormat="1" applyFont="1" applyFill="1" applyBorder="1" applyAlignment="1">
      <alignment horizontal="right"/>
    </xf>
    <xf numFmtId="3" fontId="15" fillId="40" borderId="5" xfId="0" applyNumberFormat="1" applyFont="1" applyFill="1" applyBorder="1"/>
    <xf numFmtId="3" fontId="15" fillId="40" borderId="3" xfId="0" applyNumberFormat="1" applyFont="1" applyFill="1" applyBorder="1" applyAlignment="1">
      <alignment horizontal="right"/>
    </xf>
    <xf numFmtId="3" fontId="15" fillId="40" borderId="0" xfId="3" applyNumberFormat="1" applyFont="1" applyFill="1" applyBorder="1" applyAlignment="1" applyProtection="1">
      <alignment horizontal="right"/>
      <protection locked="0"/>
    </xf>
    <xf numFmtId="3" fontId="15" fillId="40" borderId="0" xfId="0" applyNumberFormat="1" applyFont="1" applyFill="1" applyBorder="1" applyAlignment="1">
      <alignment horizontal="right"/>
    </xf>
    <xf numFmtId="3" fontId="15" fillId="40" borderId="7" xfId="0" applyNumberFormat="1" applyFont="1" applyFill="1" applyBorder="1" applyAlignment="1">
      <alignment horizontal="right"/>
    </xf>
    <xf numFmtId="3" fontId="15" fillId="40" borderId="0" xfId="0" applyNumberFormat="1" applyFont="1" applyFill="1" applyBorder="1"/>
    <xf numFmtId="164" fontId="5" fillId="40" borderId="0" xfId="0" applyNumberFormat="1" applyFont="1" applyFill="1"/>
    <xf numFmtId="3" fontId="15" fillId="40" borderId="9" xfId="0" applyNumberFormat="1" applyFont="1" applyFill="1" applyBorder="1" applyAlignment="1">
      <alignment horizontal="right"/>
    </xf>
    <xf numFmtId="3" fontId="15" fillId="40" borderId="2" xfId="3" applyNumberFormat="1" applyFont="1" applyFill="1" applyBorder="1" applyAlignment="1" applyProtection="1">
      <alignment horizontal="right"/>
      <protection locked="0"/>
    </xf>
    <xf numFmtId="3" fontId="15" fillId="40" borderId="2" xfId="0" applyNumberFormat="1" applyFont="1" applyFill="1" applyBorder="1" applyAlignment="1">
      <alignment horizontal="right"/>
    </xf>
    <xf numFmtId="3" fontId="15" fillId="40" borderId="8" xfId="0" applyNumberFormat="1" applyFont="1" applyFill="1" applyBorder="1" applyAlignment="1">
      <alignment horizontal="right"/>
    </xf>
    <xf numFmtId="3" fontId="15" fillId="40" borderId="2" xfId="0" applyNumberFormat="1" applyFont="1" applyFill="1" applyBorder="1"/>
    <xf numFmtId="0" fontId="15" fillId="40" borderId="0" xfId="3" applyFont="1" applyFill="1" applyBorder="1" applyAlignment="1" applyProtection="1">
      <alignment horizontal="right"/>
      <protection locked="0"/>
    </xf>
    <xf numFmtId="3" fontId="15" fillId="40" borderId="3" xfId="3" applyNumberFormat="1" applyFont="1" applyFill="1" applyBorder="1" applyAlignment="1" applyProtection="1">
      <alignment horizontal="right"/>
      <protection locked="0"/>
    </xf>
    <xf numFmtId="3" fontId="15" fillId="40" borderId="7" xfId="3" applyNumberFormat="1" applyFont="1" applyFill="1" applyBorder="1" applyAlignment="1" applyProtection="1">
      <alignment horizontal="right"/>
      <protection locked="0"/>
    </xf>
    <xf numFmtId="3" fontId="15" fillId="40" borderId="4" xfId="3" applyNumberFormat="1" applyFont="1" applyFill="1" applyBorder="1" applyAlignment="1" applyProtection="1">
      <alignment horizontal="right"/>
      <protection locked="0"/>
    </xf>
    <xf numFmtId="3" fontId="15" fillId="40" borderId="6" xfId="3" applyNumberFormat="1" applyFont="1" applyFill="1" applyBorder="1" applyAlignment="1" applyProtection="1">
      <alignment horizontal="right"/>
      <protection locked="0"/>
    </xf>
    <xf numFmtId="3" fontId="15" fillId="40" borderId="9" xfId="3" applyNumberFormat="1" applyFont="1" applyFill="1" applyBorder="1" applyAlignment="1" applyProtection="1">
      <alignment horizontal="right"/>
      <protection locked="0"/>
    </xf>
    <xf numFmtId="3" fontId="15" fillId="40" borderId="8" xfId="3" applyNumberFormat="1" applyFont="1" applyFill="1" applyBorder="1" applyAlignment="1" applyProtection="1">
      <alignment horizontal="right"/>
      <protection locked="0"/>
    </xf>
    <xf numFmtId="0" fontId="15" fillId="40" borderId="0" xfId="0" applyFont="1" applyFill="1" applyBorder="1"/>
    <xf numFmtId="0" fontId="26" fillId="40" borderId="0" xfId="0" applyFont="1" applyFill="1" applyBorder="1"/>
    <xf numFmtId="0" fontId="9" fillId="40" borderId="0" xfId="3" applyFont="1" applyFill="1" applyBorder="1" applyAlignment="1" applyProtection="1">
      <alignment horizontal="center"/>
      <protection locked="0"/>
    </xf>
    <xf numFmtId="3" fontId="26" fillId="40" borderId="0" xfId="0" applyNumberFormat="1" applyFont="1" applyFill="1" applyBorder="1"/>
    <xf numFmtId="3" fontId="15" fillId="40" borderId="0" xfId="3" applyNumberFormat="1" applyFont="1" applyFill="1" applyBorder="1" applyProtection="1">
      <protection locked="0"/>
    </xf>
    <xf numFmtId="3" fontId="15" fillId="40" borderId="0" xfId="3" applyNumberFormat="1" applyFont="1" applyFill="1" applyBorder="1" applyAlignment="1" applyProtection="1">
      <alignment horizontal="center"/>
      <protection locked="0"/>
    </xf>
    <xf numFmtId="3" fontId="5" fillId="40" borderId="0" xfId="3" applyNumberFormat="1" applyFont="1" applyFill="1" applyBorder="1" applyAlignment="1" applyProtection="1">
      <alignment horizontal="center"/>
      <protection locked="0"/>
    </xf>
    <xf numFmtId="0" fontId="24" fillId="40" borderId="0" xfId="3" applyFont="1" applyFill="1" applyBorder="1" applyAlignment="1" applyProtection="1">
      <alignment horizontal="right"/>
      <protection locked="0"/>
    </xf>
    <xf numFmtId="0" fontId="17" fillId="40" borderId="0" xfId="0" applyFont="1" applyFill="1" applyBorder="1" applyAlignment="1"/>
    <xf numFmtId="3" fontId="17" fillId="40" borderId="0" xfId="3" applyNumberFormat="1" applyFont="1" applyFill="1" applyBorder="1" applyAlignment="1" applyProtection="1">
      <protection locked="0"/>
    </xf>
    <xf numFmtId="0" fontId="15" fillId="40" borderId="0" xfId="3" applyFont="1" applyFill="1" applyBorder="1" applyAlignment="1" applyProtection="1">
      <alignment horizontal="left"/>
      <protection locked="0"/>
    </xf>
    <xf numFmtId="0" fontId="15" fillId="40" borderId="0" xfId="3" applyFont="1" applyFill="1" applyAlignment="1" applyProtection="1">
      <alignment horizontal="right"/>
      <protection locked="0"/>
    </xf>
    <xf numFmtId="3" fontId="15" fillId="40" borderId="0" xfId="3" applyNumberFormat="1" applyFont="1" applyFill="1" applyBorder="1" applyAlignment="1" applyProtection="1">
      <alignment horizontal="left"/>
      <protection locked="0"/>
    </xf>
    <xf numFmtId="3" fontId="15" fillId="40" borderId="0" xfId="0" applyNumberFormat="1" applyFont="1" applyFill="1" applyBorder="1" applyAlignment="1">
      <alignment horizontal="center"/>
    </xf>
    <xf numFmtId="3" fontId="15" fillId="40" borderId="0" xfId="4" applyNumberFormat="1" applyFont="1" applyFill="1" applyBorder="1"/>
    <xf numFmtId="3" fontId="15" fillId="40" borderId="0" xfId="1" applyNumberFormat="1" applyFont="1" applyFill="1" applyBorder="1"/>
    <xf numFmtId="0" fontId="15" fillId="40" borderId="0" xfId="0" applyFont="1" applyFill="1" applyBorder="1" applyAlignment="1">
      <alignment horizontal="right"/>
    </xf>
    <xf numFmtId="0" fontId="15" fillId="40" borderId="0" xfId="0" applyFont="1" applyFill="1" applyBorder="1" applyAlignment="1">
      <alignment horizontal="left"/>
    </xf>
    <xf numFmtId="3" fontId="15" fillId="40" borderId="0" xfId="4" applyNumberFormat="1" applyFont="1" applyFill="1" applyBorder="1" applyAlignment="1">
      <alignment horizontal="left"/>
    </xf>
    <xf numFmtId="3" fontId="15" fillId="40" borderId="0" xfId="0" applyNumberFormat="1" applyFont="1" applyFill="1" applyBorder="1" applyAlignment="1">
      <alignment horizontal="left"/>
    </xf>
    <xf numFmtId="0" fontId="15" fillId="40" borderId="0" xfId="0" applyFont="1" applyFill="1" applyBorder="1" applyAlignment="1">
      <alignment horizontal="center"/>
    </xf>
    <xf numFmtId="0" fontId="5" fillId="40" borderId="0" xfId="0" applyFont="1" applyFill="1" applyBorder="1" applyAlignment="1">
      <alignment horizontal="right"/>
    </xf>
    <xf numFmtId="0" fontId="5" fillId="40" borderId="0" xfId="0" applyFont="1" applyFill="1" applyBorder="1"/>
    <xf numFmtId="164" fontId="5" fillId="40" borderId="0" xfId="0" applyNumberFormat="1" applyFont="1" applyFill="1" applyBorder="1"/>
    <xf numFmtId="0" fontId="7" fillId="40" borderId="0" xfId="0" applyFont="1" applyFill="1" applyAlignment="1">
      <alignment horizontal="left"/>
    </xf>
    <xf numFmtId="0" fontId="7" fillId="40" borderId="0" xfId="0" applyFont="1" applyFill="1" applyAlignment="1">
      <alignment horizontal="right"/>
    </xf>
    <xf numFmtId="164" fontId="15" fillId="39" borderId="0" xfId="3" applyNumberFormat="1" applyFont="1" applyFill="1" applyBorder="1" applyProtection="1"/>
    <xf numFmtId="164" fontId="15" fillId="39" borderId="0" xfId="3" applyNumberFormat="1" applyFont="1" applyFill="1" applyBorder="1" applyProtection="1">
      <protection locked="0"/>
    </xf>
    <xf numFmtId="164" fontId="15" fillId="39" borderId="0" xfId="3" applyNumberFormat="1" applyFont="1" applyFill="1" applyBorder="1" applyAlignment="1" applyProtection="1">
      <alignment horizontal="right"/>
    </xf>
    <xf numFmtId="0" fontId="7" fillId="40" borderId="0" xfId="0" applyFont="1" applyFill="1" applyBorder="1"/>
    <xf numFmtId="1" fontId="7" fillId="39" borderId="0" xfId="3" applyNumberFormat="1" applyFont="1" applyFill="1" applyBorder="1" applyAlignment="1" applyProtection="1">
      <alignment horizontal="center"/>
      <protection locked="0"/>
    </xf>
    <xf numFmtId="0" fontId="7" fillId="0" borderId="0" xfId="3" applyFont="1" applyFill="1" applyBorder="1" applyAlignment="1" applyProtection="1">
      <alignment horizontal="left"/>
      <protection locked="0"/>
    </xf>
    <xf numFmtId="0" fontId="21" fillId="0" borderId="0" xfId="3" applyFont="1" applyFill="1" applyBorder="1" applyAlignment="1" applyProtection="1">
      <alignment horizontal="left"/>
      <protection locked="0"/>
    </xf>
    <xf numFmtId="0" fontId="5" fillId="0" borderId="0" xfId="3" applyFont="1" applyBorder="1" applyAlignment="1" applyProtection="1">
      <alignment horizontal="center"/>
      <protection locked="0"/>
    </xf>
    <xf numFmtId="0" fontId="0" fillId="0" borderId="0" xfId="0" applyFill="1"/>
    <xf numFmtId="0" fontId="7" fillId="0" borderId="0" xfId="3" applyFont="1" applyFill="1" applyBorder="1" applyAlignment="1" applyProtection="1">
      <alignment horizontal="center"/>
      <protection locked="0"/>
    </xf>
    <xf numFmtId="0" fontId="7" fillId="0" borderId="0" xfId="0" applyFont="1" applyFill="1" applyAlignment="1">
      <alignment horizontal="center"/>
    </xf>
    <xf numFmtId="0" fontId="7" fillId="0" borderId="0" xfId="3" applyFont="1" applyFill="1" applyAlignment="1" applyProtection="1">
      <alignment horizontal="right"/>
      <protection locked="0"/>
    </xf>
    <xf numFmtId="0" fontId="34" fillId="0" borderId="0" xfId="0" applyFont="1" applyFill="1"/>
    <xf numFmtId="2" fontId="7" fillId="0" borderId="3" xfId="4" applyNumberFormat="1" applyFont="1" applyFill="1" applyBorder="1" applyAlignment="1" applyProtection="1">
      <alignment horizontal="left"/>
      <protection locked="0"/>
    </xf>
    <xf numFmtId="0" fontId="15" fillId="0" borderId="27" xfId="3" applyFont="1" applyFill="1" applyBorder="1" applyAlignment="1" applyProtection="1">
      <alignment horizontal="center"/>
      <protection locked="0"/>
    </xf>
    <xf numFmtId="0" fontId="15" fillId="0" borderId="1" xfId="3" applyFont="1" applyFill="1" applyBorder="1" applyAlignment="1" applyProtection="1">
      <alignment horizontal="center"/>
      <protection locked="0"/>
    </xf>
    <xf numFmtId="0" fontId="15" fillId="0" borderId="28" xfId="3" applyFont="1" applyFill="1" applyBorder="1" applyAlignment="1" applyProtection="1">
      <alignment horizontal="center"/>
      <protection locked="0"/>
    </xf>
    <xf numFmtId="0" fontId="0" fillId="0" borderId="23" xfId="0" applyFill="1" applyBorder="1"/>
    <xf numFmtId="0" fontId="71" fillId="0" borderId="0" xfId="3" applyFont="1" applyFill="1" applyBorder="1" applyAlignment="1" applyProtection="1">
      <alignment horizontal="center"/>
      <protection locked="0"/>
    </xf>
    <xf numFmtId="0" fontId="71" fillId="0" borderId="0" xfId="0" applyFont="1" applyFill="1" applyBorder="1" applyAlignment="1">
      <alignment horizontal="center"/>
    </xf>
    <xf numFmtId="0" fontId="71" fillId="0" borderId="0" xfId="3" applyFont="1" applyFill="1" applyBorder="1" applyAlignment="1" applyProtection="1">
      <alignment horizontal="right"/>
      <protection locked="0"/>
    </xf>
    <xf numFmtId="3" fontId="71" fillId="0" borderId="0" xfId="0" applyNumberFormat="1" applyFont="1" applyFill="1" applyBorder="1" applyAlignment="1">
      <alignment horizontal="right"/>
    </xf>
    <xf numFmtId="0" fontId="75" fillId="0" borderId="0" xfId="3" applyFont="1" applyBorder="1" applyAlignment="1" applyProtection="1">
      <alignment horizontal="center"/>
      <protection locked="0"/>
    </xf>
    <xf numFmtId="0" fontId="71" fillId="0" borderId="0" xfId="3" applyFont="1" applyBorder="1" applyProtection="1">
      <protection locked="0"/>
    </xf>
    <xf numFmtId="2" fontId="71" fillId="0" borderId="0" xfId="4" applyNumberFormat="1" applyFont="1" applyFill="1" applyBorder="1" applyAlignment="1" applyProtection="1">
      <alignment horizontal="right"/>
      <protection locked="0"/>
    </xf>
    <xf numFmtId="2" fontId="71" fillId="0" borderId="0" xfId="4" applyNumberFormat="1" applyFont="1" applyFill="1" applyBorder="1" applyAlignment="1" applyProtection="1">
      <alignment horizontal="left"/>
      <protection locked="0"/>
    </xf>
    <xf numFmtId="0" fontId="76" fillId="0" borderId="0" xfId="3" applyFont="1" applyFill="1" applyBorder="1" applyAlignment="1" applyProtection="1">
      <alignment horizontal="left"/>
      <protection locked="0"/>
    </xf>
    <xf numFmtId="0" fontId="71" fillId="0" borderId="0" xfId="3" applyFont="1" applyBorder="1"/>
    <xf numFmtId="0" fontId="71" fillId="0" borderId="0" xfId="3" applyFont="1" applyProtection="1">
      <protection locked="0"/>
    </xf>
    <xf numFmtId="0" fontId="5" fillId="0" borderId="0" xfId="3" applyFont="1" applyBorder="1" applyAlignment="1" applyProtection="1">
      <alignment horizontal="center"/>
      <protection locked="0"/>
    </xf>
    <xf numFmtId="164" fontId="15" fillId="9" borderId="0" xfId="3" applyNumberFormat="1" applyFont="1" applyFill="1" applyBorder="1" applyAlignment="1" applyProtection="1">
      <alignment horizontal="right"/>
      <protection locked="0"/>
    </xf>
    <xf numFmtId="164" fontId="5" fillId="0" borderId="0" xfId="3" applyNumberFormat="1" applyFont="1" applyBorder="1" applyAlignment="1" applyProtection="1">
      <alignment horizontal="right"/>
      <protection locked="0"/>
    </xf>
    <xf numFmtId="0" fontId="7" fillId="0" borderId="27" xfId="0" applyFont="1" applyFill="1" applyBorder="1"/>
    <xf numFmtId="0" fontId="7" fillId="0" borderId="1" xfId="0" applyFont="1" applyFill="1" applyBorder="1"/>
    <xf numFmtId="0" fontId="7" fillId="0" borderId="28" xfId="0" applyFont="1" applyFill="1" applyBorder="1"/>
    <xf numFmtId="0" fontId="71" fillId="0" borderId="0" xfId="0" applyFont="1" applyFill="1" applyBorder="1"/>
    <xf numFmtId="0" fontId="71" fillId="0" borderId="0" xfId="3" applyFont="1" applyBorder="1" applyAlignment="1" applyProtection="1">
      <alignment horizontal="center"/>
      <protection locked="0"/>
    </xf>
    <xf numFmtId="3" fontId="71" fillId="0" borderId="0" xfId="3" applyNumberFormat="1" applyFont="1" applyBorder="1" applyAlignment="1" applyProtection="1">
      <alignment horizontal="center"/>
      <protection locked="0"/>
    </xf>
    <xf numFmtId="0" fontId="71" fillId="0" borderId="0" xfId="0" applyFont="1" applyFill="1"/>
    <xf numFmtId="4" fontId="71" fillId="0" borderId="0" xfId="0" applyNumberFormat="1" applyFont="1" applyFill="1"/>
    <xf numFmtId="2" fontId="7" fillId="0" borderId="3" xfId="4" applyNumberFormat="1" applyFont="1" applyFill="1" applyBorder="1" applyAlignment="1" applyProtection="1">
      <alignment horizontal="right"/>
      <protection locked="0"/>
    </xf>
    <xf numFmtId="0" fontId="7" fillId="0" borderId="13" xfId="0" applyFont="1" applyFill="1" applyBorder="1"/>
    <xf numFmtId="3" fontId="7" fillId="0" borderId="13" xfId="3" applyNumberFormat="1" applyFont="1" applyBorder="1" applyAlignment="1" applyProtection="1">
      <alignment horizontal="center"/>
      <protection locked="0"/>
    </xf>
    <xf numFmtId="0" fontId="7" fillId="0" borderId="13" xfId="3" applyFont="1" applyBorder="1" applyAlignment="1" applyProtection="1">
      <alignment horizontal="right"/>
      <protection locked="0"/>
    </xf>
    <xf numFmtId="0" fontId="71" fillId="0" borderId="0" xfId="0" applyFont="1" applyFill="1" applyAlignment="1">
      <alignment horizontal="center"/>
    </xf>
    <xf numFmtId="0" fontId="7" fillId="0" borderId="23" xfId="0" applyFont="1" applyFill="1" applyBorder="1" applyAlignment="1">
      <alignment horizontal="center"/>
    </xf>
    <xf numFmtId="0" fontId="78" fillId="0" borderId="0" xfId="0" applyFont="1" applyFill="1"/>
    <xf numFmtId="0" fontId="0" fillId="40" borderId="0" xfId="0" applyFill="1"/>
    <xf numFmtId="0" fontId="4" fillId="40" borderId="0" xfId="0" applyFont="1" applyFill="1"/>
    <xf numFmtId="0" fontId="5" fillId="40" borderId="4" xfId="3" applyFont="1" applyFill="1" applyBorder="1" applyProtection="1">
      <protection locked="0"/>
    </xf>
    <xf numFmtId="0" fontId="16" fillId="40" borderId="5" xfId="3" applyFont="1" applyFill="1" applyBorder="1" applyAlignment="1" applyProtection="1">
      <alignment horizontal="right"/>
      <protection locked="0"/>
    </xf>
    <xf numFmtId="0" fontId="0" fillId="40" borderId="5" xfId="0" applyFill="1" applyBorder="1"/>
    <xf numFmtId="0" fontId="15" fillId="40" borderId="5" xfId="3" applyFont="1" applyFill="1" applyBorder="1" applyProtection="1">
      <protection locked="0"/>
    </xf>
    <xf numFmtId="0" fontId="15" fillId="40" borderId="5" xfId="3" applyFont="1" applyFill="1" applyBorder="1" applyAlignment="1" applyProtection="1">
      <alignment horizontal="right"/>
      <protection locked="0"/>
    </xf>
    <xf numFmtId="0" fontId="15" fillId="40" borderId="6" xfId="3" applyFont="1" applyFill="1" applyBorder="1" applyProtection="1">
      <protection locked="0"/>
    </xf>
    <xf numFmtId="0" fontId="16" fillId="40" borderId="0" xfId="3" applyFont="1" applyFill="1" applyBorder="1" applyProtection="1">
      <protection locked="0"/>
    </xf>
    <xf numFmtId="0" fontId="0" fillId="40" borderId="0" xfId="0" applyFill="1" applyBorder="1"/>
    <xf numFmtId="0" fontId="15" fillId="40" borderId="7" xfId="3" applyFont="1" applyFill="1" applyBorder="1" applyAlignment="1" applyProtection="1">
      <alignment horizontal="center"/>
      <protection locked="0"/>
    </xf>
    <xf numFmtId="0" fontId="19" fillId="40" borderId="0" xfId="3" applyFont="1" applyFill="1" applyBorder="1" applyAlignment="1" applyProtection="1">
      <alignment horizontal="center"/>
      <protection locked="0"/>
    </xf>
    <xf numFmtId="0" fontId="16" fillId="40" borderId="0" xfId="3" applyFont="1" applyFill="1" applyBorder="1" applyAlignment="1" applyProtection="1">
      <alignment horizontal="center"/>
      <protection locked="0"/>
    </xf>
    <xf numFmtId="0" fontId="16" fillId="40" borderId="0" xfId="3" applyFont="1" applyFill="1" applyBorder="1" applyAlignment="1" applyProtection="1">
      <alignment horizontal="center"/>
    </xf>
    <xf numFmtId="0" fontId="16" fillId="40" borderId="7" xfId="3" applyFont="1" applyFill="1" applyBorder="1" applyAlignment="1" applyProtection="1">
      <alignment horizontal="center"/>
      <protection locked="0"/>
    </xf>
    <xf numFmtId="0" fontId="16" fillId="40" borderId="0" xfId="3" applyFont="1" applyFill="1" applyBorder="1" applyAlignment="1" applyProtection="1">
      <alignment horizontal="right"/>
      <protection locked="0"/>
    </xf>
    <xf numFmtId="9" fontId="15" fillId="40" borderId="0" xfId="4" applyFont="1" applyFill="1" applyBorder="1" applyAlignment="1" applyProtection="1">
      <alignment horizontal="right"/>
    </xf>
    <xf numFmtId="0" fontId="15" fillId="40" borderId="0" xfId="3" applyFont="1" applyFill="1" applyBorder="1" applyAlignment="1" applyProtection="1">
      <alignment horizontal="right"/>
    </xf>
    <xf numFmtId="9" fontId="15" fillId="40" borderId="7" xfId="4" applyFont="1" applyFill="1" applyBorder="1" applyProtection="1"/>
    <xf numFmtId="164" fontId="15" fillId="40" borderId="0" xfId="3" applyNumberFormat="1" applyFont="1" applyFill="1" applyBorder="1" applyProtection="1">
      <protection locked="0"/>
    </xf>
    <xf numFmtId="164" fontId="15" fillId="40" borderId="0" xfId="3" applyNumberFormat="1" applyFont="1" applyFill="1" applyBorder="1" applyAlignment="1" applyProtection="1">
      <alignment horizontal="right"/>
    </xf>
    <xf numFmtId="0" fontId="7" fillId="40" borderId="0" xfId="3" applyFont="1" applyFill="1" applyBorder="1"/>
    <xf numFmtId="0" fontId="15" fillId="40" borderId="0" xfId="3" applyFont="1" applyFill="1" applyBorder="1"/>
    <xf numFmtId="0" fontId="16" fillId="40" borderId="0" xfId="3" applyFont="1" applyFill="1" applyBorder="1"/>
    <xf numFmtId="0" fontId="5" fillId="40" borderId="0" xfId="3" applyFont="1" applyFill="1" applyBorder="1" applyProtection="1">
      <protection locked="0"/>
    </xf>
    <xf numFmtId="171" fontId="5" fillId="40" borderId="0" xfId="3" applyNumberFormat="1" applyFont="1" applyFill="1" applyBorder="1" applyProtection="1">
      <protection locked="0"/>
    </xf>
    <xf numFmtId="9" fontId="5" fillId="40" borderId="0" xfId="3" applyNumberFormat="1" applyFont="1" applyFill="1" applyBorder="1" applyProtection="1">
      <protection locked="0"/>
    </xf>
    <xf numFmtId="164" fontId="5" fillId="40" borderId="0" xfId="3" applyNumberFormat="1" applyFont="1" applyFill="1" applyBorder="1" applyProtection="1">
      <protection locked="0"/>
    </xf>
    <xf numFmtId="9" fontId="5" fillId="40" borderId="0" xfId="3" applyNumberFormat="1" applyFont="1" applyFill="1" applyBorder="1" applyProtection="1"/>
    <xf numFmtId="0" fontId="15" fillId="40" borderId="7" xfId="3" applyFont="1" applyFill="1" applyBorder="1" applyProtection="1">
      <protection locked="0"/>
    </xf>
    <xf numFmtId="9" fontId="15" fillId="40" borderId="0" xfId="4" applyFont="1" applyFill="1" applyBorder="1" applyProtection="1"/>
    <xf numFmtId="0" fontId="17" fillId="40" borderId="0" xfId="3" applyFont="1" applyFill="1" applyBorder="1" applyAlignment="1" applyProtection="1">
      <alignment horizontal="center"/>
      <protection locked="0"/>
    </xf>
    <xf numFmtId="164" fontId="5" fillId="40" borderId="0" xfId="3" applyNumberFormat="1" applyFont="1" applyFill="1" applyBorder="1" applyProtection="1"/>
    <xf numFmtId="9" fontId="5" fillId="40" borderId="0" xfId="4" applyFont="1" applyFill="1" applyBorder="1" applyProtection="1"/>
    <xf numFmtId="0" fontId="5" fillId="40" borderId="0" xfId="3" applyFont="1" applyFill="1" applyBorder="1" applyAlignment="1" applyProtection="1">
      <alignment horizontal="right"/>
    </xf>
    <xf numFmtId="9" fontId="5" fillId="40" borderId="0" xfId="4" applyFont="1" applyFill="1" applyBorder="1" applyAlignment="1" applyProtection="1">
      <alignment horizontal="right"/>
    </xf>
    <xf numFmtId="9" fontId="5" fillId="40" borderId="7" xfId="4" applyFont="1" applyFill="1" applyBorder="1" applyAlignment="1" applyProtection="1">
      <alignment horizontal="right"/>
    </xf>
    <xf numFmtId="0" fontId="19" fillId="40" borderId="2" xfId="3" applyFont="1" applyFill="1" applyBorder="1" applyProtection="1">
      <protection locked="0"/>
    </xf>
    <xf numFmtId="0" fontId="0" fillId="40" borderId="2" xfId="0" applyFill="1" applyBorder="1"/>
    <xf numFmtId="164" fontId="19" fillId="40" borderId="2" xfId="3" applyNumberFormat="1" applyFont="1" applyFill="1" applyBorder="1" applyProtection="1"/>
    <xf numFmtId="9" fontId="19" fillId="40" borderId="2" xfId="3" applyNumberFormat="1" applyFont="1" applyFill="1" applyBorder="1" applyProtection="1"/>
    <xf numFmtId="0" fontId="19" fillId="40" borderId="2" xfId="3" applyFont="1" applyFill="1" applyBorder="1" applyProtection="1"/>
    <xf numFmtId="0" fontId="5" fillId="40" borderId="8" xfId="3" applyFont="1" applyFill="1" applyBorder="1" applyProtection="1"/>
    <xf numFmtId="0" fontId="15" fillId="40" borderId="0" xfId="3" applyFont="1" applyFill="1" applyProtection="1">
      <protection locked="0"/>
    </xf>
    <xf numFmtId="0" fontId="17" fillId="40" borderId="0" xfId="3" applyFont="1" applyFill="1" applyAlignment="1" applyProtection="1">
      <alignment horizontal="center"/>
      <protection locked="0"/>
    </xf>
    <xf numFmtId="0" fontId="17" fillId="40" borderId="0" xfId="3" applyFont="1" applyFill="1" applyBorder="1" applyProtection="1">
      <protection locked="0"/>
    </xf>
    <xf numFmtId="0" fontId="11" fillId="40" borderId="0" xfId="3" applyFont="1" applyFill="1" applyBorder="1" applyAlignment="1" applyProtection="1">
      <alignment horizontal="right"/>
      <protection locked="0"/>
    </xf>
    <xf numFmtId="0" fontId="11" fillId="40" borderId="0" xfId="3" applyFont="1" applyFill="1" applyBorder="1" applyAlignment="1" applyProtection="1">
      <alignment horizontal="left"/>
      <protection locked="0"/>
    </xf>
    <xf numFmtId="0" fontId="11" fillId="40" borderId="0" xfId="3" applyFont="1" applyFill="1" applyBorder="1" applyAlignment="1" applyProtection="1">
      <alignment horizontal="center"/>
      <protection locked="0"/>
    </xf>
    <xf numFmtId="0" fontId="12" fillId="40" borderId="0" xfId="3" applyFont="1" applyFill="1" applyBorder="1" applyProtection="1">
      <protection locked="0"/>
    </xf>
    <xf numFmtId="0" fontId="5" fillId="40" borderId="0" xfId="3" applyFont="1" applyFill="1" applyProtection="1">
      <protection locked="0"/>
    </xf>
    <xf numFmtId="164" fontId="11" fillId="40" borderId="0" xfId="3" applyNumberFormat="1" applyFont="1" applyFill="1" applyBorder="1" applyAlignment="1" applyProtection="1">
      <alignment horizontal="center"/>
      <protection locked="0"/>
    </xf>
    <xf numFmtId="164" fontId="17" fillId="40" borderId="0" xfId="3" applyNumberFormat="1" applyFont="1" applyFill="1" applyBorder="1" applyAlignment="1" applyProtection="1">
      <alignment horizontal="center"/>
      <protection locked="0"/>
    </xf>
    <xf numFmtId="0" fontId="34" fillId="40" borderId="0" xfId="0" applyFont="1" applyFill="1"/>
    <xf numFmtId="0" fontId="38" fillId="40" borderId="0" xfId="0" applyFont="1" applyFill="1"/>
    <xf numFmtId="0" fontId="18" fillId="40" borderId="0" xfId="0" applyFont="1" applyFill="1" applyBorder="1"/>
    <xf numFmtId="0" fontId="26" fillId="40" borderId="0" xfId="3" applyFont="1" applyFill="1" applyBorder="1" applyAlignment="1" applyProtection="1">
      <alignment horizontal="right"/>
      <protection locked="0"/>
    </xf>
    <xf numFmtId="164" fontId="26" fillId="40" borderId="0" xfId="3" applyNumberFormat="1" applyFont="1" applyFill="1" applyBorder="1" applyAlignment="1" applyProtection="1">
      <alignment horizontal="right"/>
      <protection locked="0"/>
    </xf>
    <xf numFmtId="0" fontId="26" fillId="40" borderId="0" xfId="3" applyFont="1" applyFill="1" applyBorder="1" applyProtection="1">
      <protection locked="0"/>
    </xf>
    <xf numFmtId="0" fontId="35" fillId="40" borderId="0" xfId="3" applyFont="1" applyFill="1" applyProtection="1"/>
    <xf numFmtId="3" fontId="15" fillId="39" borderId="0" xfId="3" applyNumberFormat="1" applyFont="1" applyFill="1" applyBorder="1" applyAlignment="1" applyProtection="1">
      <alignment horizontal="center"/>
      <protection locked="0"/>
    </xf>
    <xf numFmtId="0" fontId="16" fillId="0" borderId="0" xfId="0" applyFont="1" applyFill="1"/>
    <xf numFmtId="0" fontId="5" fillId="0" borderId="0" xfId="0" applyFont="1" applyFill="1" applyBorder="1" applyAlignment="1">
      <alignment horizontal="center"/>
    </xf>
    <xf numFmtId="0" fontId="5" fillId="0" borderId="22" xfId="0" applyFont="1" applyFill="1" applyBorder="1" applyAlignment="1">
      <alignment horizontal="center"/>
    </xf>
    <xf numFmtId="0" fontId="34" fillId="0" borderId="0" xfId="0" applyFont="1" applyFill="1" applyBorder="1" applyAlignment="1">
      <alignment horizontal="center"/>
    </xf>
    <xf numFmtId="0" fontId="34" fillId="0" borderId="22" xfId="0" applyFont="1" applyFill="1" applyBorder="1" applyAlignment="1">
      <alignment horizontal="center"/>
    </xf>
    <xf numFmtId="3" fontId="79" fillId="0" borderId="19" xfId="0" applyNumberFormat="1" applyFont="1" applyFill="1" applyBorder="1" applyAlignment="1">
      <alignment horizontal="right"/>
    </xf>
    <xf numFmtId="3" fontId="79" fillId="0" borderId="20" xfId="3" applyNumberFormat="1" applyFont="1" applyFill="1" applyBorder="1" applyAlignment="1" applyProtection="1">
      <alignment horizontal="right"/>
      <protection locked="0"/>
    </xf>
    <xf numFmtId="3" fontId="79" fillId="0" borderId="20" xfId="0" applyNumberFormat="1" applyFont="1" applyFill="1" applyBorder="1" applyAlignment="1">
      <alignment horizontal="right"/>
    </xf>
    <xf numFmtId="3" fontId="79" fillId="0" borderId="21" xfId="0" applyNumberFormat="1" applyFont="1" applyFill="1" applyBorder="1" applyAlignment="1">
      <alignment horizontal="right"/>
    </xf>
    <xf numFmtId="3" fontId="80" fillId="0" borderId="22" xfId="0" applyNumberFormat="1" applyFont="1" applyFill="1" applyBorder="1" applyAlignment="1">
      <alignment horizontal="right"/>
    </xf>
    <xf numFmtId="3" fontId="80" fillId="0" borderId="0" xfId="3" applyNumberFormat="1" applyFont="1" applyFill="1" applyBorder="1" applyAlignment="1" applyProtection="1">
      <alignment horizontal="right"/>
      <protection locked="0"/>
    </xf>
    <xf numFmtId="3" fontId="80" fillId="0" borderId="0" xfId="0" applyNumberFormat="1" applyFont="1" applyFill="1" applyBorder="1" applyAlignment="1">
      <alignment horizontal="right"/>
    </xf>
    <xf numFmtId="3" fontId="80" fillId="0" borderId="23" xfId="0" applyNumberFormat="1" applyFont="1" applyFill="1" applyBorder="1" applyAlignment="1">
      <alignment horizontal="right"/>
    </xf>
    <xf numFmtId="3" fontId="81" fillId="0" borderId="24" xfId="0" applyNumberFormat="1" applyFont="1" applyFill="1" applyBorder="1" applyAlignment="1">
      <alignment horizontal="right"/>
    </xf>
    <xf numFmtId="3" fontId="81" fillId="0" borderId="25" xfId="3" applyNumberFormat="1" applyFont="1" applyFill="1" applyBorder="1" applyAlignment="1" applyProtection="1">
      <alignment horizontal="right"/>
      <protection locked="0"/>
    </xf>
    <xf numFmtId="3" fontId="81" fillId="0" borderId="25" xfId="0" applyNumberFormat="1" applyFont="1" applyFill="1" applyBorder="1" applyAlignment="1">
      <alignment horizontal="right"/>
    </xf>
    <xf numFmtId="3" fontId="81" fillId="0" borderId="26" xfId="0" applyNumberFormat="1" applyFont="1" applyFill="1" applyBorder="1" applyAlignment="1">
      <alignment horizontal="right"/>
    </xf>
    <xf numFmtId="2" fontId="80" fillId="0" borderId="19" xfId="4" applyNumberFormat="1" applyFont="1" applyFill="1" applyBorder="1" applyAlignment="1" applyProtection="1">
      <alignment horizontal="right"/>
      <protection locked="0"/>
    </xf>
    <xf numFmtId="2" fontId="81" fillId="0" borderId="21" xfId="4" applyNumberFormat="1" applyFont="1" applyFill="1" applyBorder="1" applyAlignment="1" applyProtection="1">
      <alignment horizontal="right"/>
      <protection locked="0"/>
    </xf>
    <xf numFmtId="2" fontId="80" fillId="0" borderId="22" xfId="4" applyNumberFormat="1" applyFont="1" applyFill="1" applyBorder="1" applyAlignment="1" applyProtection="1">
      <alignment horizontal="right"/>
      <protection locked="0"/>
    </xf>
    <xf numFmtId="2" fontId="81" fillId="0" borderId="23" xfId="4" applyNumberFormat="1" applyFont="1" applyFill="1" applyBorder="1" applyAlignment="1" applyProtection="1">
      <alignment horizontal="right"/>
      <protection locked="0"/>
    </xf>
    <xf numFmtId="2" fontId="80" fillId="0" borderId="24" xfId="4" applyNumberFormat="1" applyFont="1" applyFill="1" applyBorder="1" applyAlignment="1" applyProtection="1">
      <alignment horizontal="right"/>
      <protection locked="0"/>
    </xf>
    <xf numFmtId="2" fontId="81" fillId="0" borderId="26" xfId="4" applyNumberFormat="1" applyFont="1" applyFill="1" applyBorder="1" applyAlignment="1" applyProtection="1">
      <alignment horizontal="right"/>
      <protection locked="0"/>
    </xf>
    <xf numFmtId="0" fontId="5" fillId="0" borderId="3" xfId="3" applyFont="1" applyFill="1" applyBorder="1" applyAlignment="1" applyProtection="1">
      <alignment wrapText="1"/>
      <protection locked="0"/>
    </xf>
    <xf numFmtId="0" fontId="7" fillId="0" borderId="0" xfId="0" applyFont="1" applyFill="1" applyBorder="1" applyAlignment="1">
      <alignment horizontal="center"/>
    </xf>
    <xf numFmtId="0" fontId="78" fillId="0" borderId="0" xfId="0" applyFont="1" applyFill="1" applyBorder="1"/>
    <xf numFmtId="0" fontId="71" fillId="0" borderId="0" xfId="3" applyFont="1" applyBorder="1" applyAlignment="1" applyProtection="1">
      <alignment horizontal="left"/>
      <protection locked="0"/>
    </xf>
    <xf numFmtId="2" fontId="71" fillId="0" borderId="0" xfId="0" applyNumberFormat="1" applyFont="1" applyFill="1" applyBorder="1"/>
    <xf numFmtId="0" fontId="78" fillId="0" borderId="0" xfId="0" applyFont="1" applyFill="1" applyBorder="1" applyAlignment="1">
      <alignment horizontal="center"/>
    </xf>
    <xf numFmtId="0" fontId="7" fillId="0" borderId="22" xfId="0" applyFont="1" applyFill="1" applyBorder="1"/>
    <xf numFmtId="0" fontId="7" fillId="0" borderId="22" xfId="3" applyFont="1" applyFill="1" applyBorder="1" applyAlignment="1" applyProtection="1">
      <alignment horizontal="center"/>
      <protection locked="0"/>
    </xf>
    <xf numFmtId="0" fontId="7" fillId="0" borderId="22" xfId="3" applyFont="1" applyBorder="1" applyProtection="1">
      <protection locked="0"/>
    </xf>
    <xf numFmtId="0" fontId="16" fillId="0" borderId="22" xfId="3" applyFont="1" applyBorder="1" applyAlignment="1" applyProtection="1">
      <alignment horizontal="left"/>
      <protection locked="0"/>
    </xf>
    <xf numFmtId="0" fontId="0" fillId="0" borderId="22" xfId="0" applyFill="1" applyBorder="1"/>
    <xf numFmtId="0" fontId="7" fillId="0" borderId="22" xfId="0" applyFont="1" applyFill="1" applyBorder="1" applyAlignment="1">
      <alignment horizontal="center"/>
    </xf>
    <xf numFmtId="0" fontId="78" fillId="0" borderId="22" xfId="0" applyFont="1" applyFill="1" applyBorder="1"/>
    <xf numFmtId="2" fontId="71" fillId="0" borderId="22" xfId="0" applyNumberFormat="1" applyFont="1" applyFill="1" applyBorder="1"/>
    <xf numFmtId="0" fontId="78" fillId="0" borderId="22" xfId="0" applyFont="1" applyFill="1" applyBorder="1" applyAlignment="1">
      <alignment horizontal="center"/>
    </xf>
    <xf numFmtId="3" fontId="7" fillId="0" borderId="22" xfId="0" applyNumberFormat="1" applyFont="1" applyFill="1" applyBorder="1"/>
    <xf numFmtId="0" fontId="34" fillId="0" borderId="23" xfId="0" applyFont="1" applyFill="1" applyBorder="1"/>
    <xf numFmtId="3" fontId="79" fillId="0" borderId="0" xfId="0" applyNumberFormat="1" applyFont="1" applyFill="1" applyBorder="1" applyAlignment="1">
      <alignment horizontal="right"/>
    </xf>
    <xf numFmtId="3" fontId="81" fillId="0" borderId="0" xfId="0" applyNumberFormat="1" applyFont="1" applyFill="1" applyBorder="1" applyAlignment="1">
      <alignment horizontal="right"/>
    </xf>
    <xf numFmtId="3" fontId="79" fillId="0" borderId="22" xfId="0" applyNumberFormat="1" applyFont="1" applyFill="1" applyBorder="1" applyAlignment="1">
      <alignment horizontal="right"/>
    </xf>
    <xf numFmtId="3" fontId="81" fillId="0" borderId="22" xfId="0" applyNumberFormat="1" applyFont="1" applyFill="1" applyBorder="1" applyAlignment="1">
      <alignment horizontal="right"/>
    </xf>
    <xf numFmtId="0" fontId="75" fillId="0" borderId="0" xfId="3" applyFont="1" applyFill="1" applyBorder="1" applyAlignment="1" applyProtection="1">
      <alignment wrapText="1"/>
      <protection locked="0"/>
    </xf>
    <xf numFmtId="0" fontId="7" fillId="0" borderId="0" xfId="3" applyFont="1" applyFill="1" applyBorder="1" applyAlignment="1">
      <alignment horizontal="center"/>
    </xf>
    <xf numFmtId="2" fontId="7" fillId="0" borderId="5" xfId="1" applyNumberFormat="1" applyFont="1" applyFill="1" applyBorder="1" applyAlignment="1">
      <alignment horizontal="right"/>
    </xf>
    <xf numFmtId="2" fontId="7" fillId="0" borderId="0" xfId="2" applyNumberFormat="1" applyFont="1" applyFill="1" applyBorder="1" applyAlignment="1">
      <alignment horizontal="right"/>
    </xf>
    <xf numFmtId="0" fontId="7" fillId="0" borderId="5" xfId="2" applyFill="1" applyBorder="1" applyAlignment="1">
      <alignment vertical="center"/>
    </xf>
    <xf numFmtId="0" fontId="7" fillId="0" borderId="0" xfId="2" applyFill="1" applyBorder="1" applyAlignment="1">
      <alignment vertical="center"/>
    </xf>
    <xf numFmtId="0" fontId="5" fillId="0" borderId="0" xfId="0" applyFont="1"/>
    <xf numFmtId="0" fontId="5" fillId="0" borderId="0" xfId="0" applyFont="1" applyBorder="1" applyProtection="1"/>
    <xf numFmtId="4" fontId="15" fillId="0" borderId="0" xfId="3" applyNumberFormat="1" applyFont="1" applyFill="1" applyBorder="1" applyAlignment="1" applyProtection="1">
      <alignment horizontal="center"/>
    </xf>
    <xf numFmtId="3" fontId="15" fillId="0" borderId="0" xfId="0" applyNumberFormat="1" applyFont="1" applyBorder="1" applyProtection="1"/>
    <xf numFmtId="0" fontId="15" fillId="0" borderId="0" xfId="3" applyFont="1" applyBorder="1" applyProtection="1"/>
    <xf numFmtId="0" fontId="7" fillId="0" borderId="0" xfId="3" applyFont="1" applyBorder="1" applyProtection="1"/>
    <xf numFmtId="0" fontId="7" fillId="0" borderId="0" xfId="3" applyFont="1" applyProtection="1"/>
    <xf numFmtId="0" fontId="15" fillId="0" borderId="0" xfId="3" applyFont="1" applyProtection="1"/>
    <xf numFmtId="3" fontId="7" fillId="0" borderId="0" xfId="0" applyNumberFormat="1" applyFont="1" applyBorder="1" applyProtection="1"/>
    <xf numFmtId="3" fontId="15" fillId="0" borderId="0" xfId="3" applyNumberFormat="1" applyFont="1" applyBorder="1" applyProtection="1"/>
    <xf numFmtId="3" fontId="15" fillId="0" borderId="0" xfId="0" applyNumberFormat="1" applyFont="1" applyFill="1" applyBorder="1" applyProtection="1"/>
    <xf numFmtId="4" fontId="15" fillId="0" borderId="0" xfId="0" applyNumberFormat="1" applyFont="1" applyProtection="1"/>
    <xf numFmtId="3" fontId="5" fillId="0" borderId="0" xfId="0" applyNumberFormat="1" applyFont="1" applyFill="1" applyBorder="1" applyProtection="1"/>
    <xf numFmtId="3" fontId="15" fillId="0" borderId="0" xfId="3" applyNumberFormat="1" applyFont="1" applyFill="1" applyBorder="1" applyProtection="1"/>
    <xf numFmtId="3" fontId="7" fillId="0" borderId="0" xfId="0" applyNumberFormat="1" applyFont="1" applyFill="1" applyBorder="1" applyProtection="1"/>
    <xf numFmtId="0" fontId="15" fillId="0" borderId="5" xfId="0" applyFont="1" applyBorder="1" applyProtection="1"/>
    <xf numFmtId="0" fontId="15" fillId="0" borderId="6" xfId="0" applyFont="1" applyBorder="1" applyProtection="1"/>
    <xf numFmtId="0" fontId="15" fillId="0" borderId="0" xfId="0" applyFont="1" applyProtection="1"/>
    <xf numFmtId="0" fontId="15" fillId="0" borderId="3" xfId="0" applyFont="1" applyBorder="1" applyAlignment="1" applyProtection="1">
      <alignment horizontal="left"/>
    </xf>
    <xf numFmtId="0" fontId="5" fillId="0" borderId="0" xfId="0" applyFont="1" applyBorder="1" applyAlignment="1" applyProtection="1">
      <alignment horizontal="left"/>
    </xf>
    <xf numFmtId="0" fontId="15" fillId="0" borderId="7" xfId="0" applyFont="1" applyBorder="1" applyProtection="1"/>
    <xf numFmtId="0" fontId="5" fillId="0" borderId="0" xfId="0" applyFont="1" applyBorder="1" applyAlignment="1" applyProtection="1">
      <alignment horizontal="center"/>
    </xf>
    <xf numFmtId="0" fontId="15" fillId="0" borderId="4" xfId="0" applyFont="1" applyBorder="1" applyProtection="1"/>
    <xf numFmtId="0" fontId="15" fillId="0" borderId="4" xfId="0" applyFont="1" applyBorder="1" applyAlignment="1" applyProtection="1">
      <alignment horizontal="center"/>
    </xf>
    <xf numFmtId="0" fontId="15" fillId="0" borderId="3" xfId="0" applyFont="1" applyBorder="1" applyProtection="1"/>
    <xf numFmtId="0" fontId="15" fillId="0" borderId="3" xfId="0" applyFont="1" applyBorder="1" applyAlignment="1" applyProtection="1">
      <alignment horizontal="center"/>
    </xf>
    <xf numFmtId="0" fontId="5" fillId="0" borderId="3" xfId="0" applyFont="1" applyBorder="1" applyAlignment="1" applyProtection="1">
      <alignment horizontal="left"/>
    </xf>
    <xf numFmtId="0" fontId="13" fillId="0" borderId="0" xfId="0" applyFont="1" applyBorder="1" applyProtection="1"/>
    <xf numFmtId="0" fontId="5" fillId="0" borderId="0" xfId="3" applyFont="1" applyBorder="1" applyAlignment="1" applyProtection="1">
      <alignment wrapText="1"/>
    </xf>
    <xf numFmtId="0" fontId="15" fillId="0" borderId="0" xfId="0" applyFont="1" applyFill="1" applyBorder="1" applyProtection="1"/>
    <xf numFmtId="4" fontId="5" fillId="0" borderId="0" xfId="0" applyNumberFormat="1" applyFont="1" applyFill="1" applyBorder="1" applyProtection="1"/>
    <xf numFmtId="0" fontId="5" fillId="0" borderId="0" xfId="0" applyFont="1" applyFill="1" applyBorder="1" applyAlignment="1" applyProtection="1">
      <alignment horizontal="center"/>
    </xf>
    <xf numFmtId="0" fontId="15" fillId="0" borderId="0" xfId="0" applyFont="1" applyFill="1" applyBorder="1" applyAlignment="1" applyProtection="1">
      <alignment horizontal="center"/>
    </xf>
    <xf numFmtId="0" fontId="15" fillId="0" borderId="7" xfId="0" applyFont="1" applyFill="1" applyBorder="1" applyAlignment="1" applyProtection="1">
      <alignment horizontal="center"/>
    </xf>
    <xf numFmtId="2" fontId="15" fillId="0" borderId="0" xfId="0" applyNumberFormat="1" applyFont="1" applyFill="1" applyBorder="1" applyProtection="1"/>
    <xf numFmtId="2" fontId="15" fillId="0" borderId="0" xfId="0" applyNumberFormat="1" applyFont="1" applyBorder="1" applyProtection="1"/>
    <xf numFmtId="9" fontId="17" fillId="0" borderId="0" xfId="4" applyFont="1" applyBorder="1" applyProtection="1"/>
    <xf numFmtId="9" fontId="15" fillId="0" borderId="3" xfId="4" applyFont="1" applyFill="1" applyBorder="1" applyAlignment="1" applyProtection="1">
      <alignment horizontal="center"/>
    </xf>
    <xf numFmtId="0" fontId="15" fillId="0" borderId="6" xfId="0" applyFont="1" applyFill="1" applyBorder="1" applyAlignment="1" applyProtection="1">
      <alignment wrapText="1"/>
    </xf>
    <xf numFmtId="0" fontId="5" fillId="0" borderId="5" xfId="0" applyFont="1" applyFill="1" applyBorder="1" applyAlignment="1" applyProtection="1"/>
    <xf numFmtId="0" fontId="5" fillId="0" borderId="0" xfId="0" applyFont="1" applyAlignment="1" applyProtection="1"/>
    <xf numFmtId="0" fontId="15" fillId="0" borderId="0" xfId="0" applyFont="1" applyBorder="1" applyAlignment="1" applyProtection="1">
      <alignment horizontal="center" wrapText="1"/>
    </xf>
    <xf numFmtId="0" fontId="15" fillId="0" borderId="3" xfId="0" applyFont="1" applyFill="1" applyBorder="1" applyAlignment="1" applyProtection="1">
      <alignment horizontal="center" wrapText="1"/>
    </xf>
    <xf numFmtId="0" fontId="15" fillId="0" borderId="0" xfId="0" applyFont="1" applyFill="1" applyBorder="1" applyAlignment="1" applyProtection="1">
      <alignment horizontal="center" wrapText="1"/>
    </xf>
    <xf numFmtId="0" fontId="15" fillId="0" borderId="7" xfId="0" applyFont="1" applyFill="1" applyBorder="1" applyAlignment="1" applyProtection="1">
      <alignment horizontal="center" wrapText="1"/>
    </xf>
    <xf numFmtId="0" fontId="5" fillId="0" borderId="0" xfId="0" applyFont="1" applyFill="1" applyAlignment="1" applyProtection="1">
      <alignment wrapText="1"/>
    </xf>
    <xf numFmtId="0" fontId="17" fillId="0" borderId="3" xfId="3" applyFont="1" applyBorder="1" applyAlignment="1" applyProtection="1">
      <alignment horizontal="center"/>
    </xf>
    <xf numFmtId="0" fontId="17" fillId="0" borderId="7" xfId="3" applyFont="1" applyBorder="1" applyAlignment="1" applyProtection="1">
      <alignment horizontal="center"/>
    </xf>
    <xf numFmtId="0" fontId="17" fillId="0" borderId="0" xfId="3" applyFont="1" applyBorder="1" applyAlignment="1" applyProtection="1">
      <alignment horizontal="center"/>
    </xf>
    <xf numFmtId="0" fontId="17" fillId="0" borderId="0" xfId="3" applyFont="1" applyFill="1" applyBorder="1" applyAlignment="1" applyProtection="1">
      <alignment horizontal="center"/>
    </xf>
    <xf numFmtId="0" fontId="17" fillId="0" borderId="7" xfId="3" applyFont="1" applyFill="1" applyBorder="1" applyAlignment="1" applyProtection="1">
      <alignment horizontal="center"/>
    </xf>
    <xf numFmtId="0" fontId="15" fillId="0" borderId="0" xfId="0" applyFont="1" applyFill="1" applyProtection="1"/>
    <xf numFmtId="0" fontId="5" fillId="0" borderId="3" xfId="3" applyFont="1" applyBorder="1" applyAlignment="1" applyProtection="1">
      <alignment horizontal="left"/>
    </xf>
    <xf numFmtId="165" fontId="15" fillId="5" borderId="7" xfId="4" applyNumberFormat="1" applyFont="1" applyFill="1" applyBorder="1" applyAlignment="1" applyProtection="1">
      <alignment horizontal="center"/>
    </xf>
    <xf numFmtId="9" fontId="15" fillId="0" borderId="0" xfId="4" applyFont="1" applyFill="1" applyProtection="1"/>
    <xf numFmtId="9" fontId="15" fillId="0" borderId="0" xfId="4" applyFont="1" applyFill="1" applyBorder="1" applyAlignment="1" applyProtection="1">
      <alignment horizontal="center"/>
    </xf>
    <xf numFmtId="165" fontId="15" fillId="0" borderId="7" xfId="4" applyNumberFormat="1" applyFont="1" applyFill="1" applyBorder="1" applyAlignment="1" applyProtection="1">
      <alignment horizontal="center"/>
    </xf>
    <xf numFmtId="9" fontId="17" fillId="0" borderId="0" xfId="4" applyFont="1" applyFill="1" applyBorder="1" applyProtection="1"/>
    <xf numFmtId="165" fontId="15" fillId="5" borderId="8" xfId="4" applyNumberFormat="1" applyFont="1" applyFill="1" applyBorder="1" applyAlignment="1" applyProtection="1">
      <alignment horizontal="center"/>
    </xf>
    <xf numFmtId="0" fontId="5" fillId="0" borderId="7" xfId="0" applyFont="1" applyBorder="1" applyAlignment="1" applyProtection="1">
      <alignment horizontal="center"/>
    </xf>
    <xf numFmtId="0" fontId="17" fillId="0" borderId="0" xfId="0" applyFont="1" applyBorder="1" applyAlignment="1" applyProtection="1">
      <alignment horizontal="center"/>
    </xf>
    <xf numFmtId="165" fontId="15" fillId="11" borderId="3" xfId="0" applyNumberFormat="1" applyFont="1" applyFill="1" applyBorder="1" applyAlignment="1" applyProtection="1">
      <alignment horizontal="center"/>
    </xf>
    <xf numFmtId="165" fontId="15" fillId="11" borderId="0" xfId="0" applyNumberFormat="1" applyFont="1" applyFill="1" applyBorder="1" applyAlignment="1" applyProtection="1">
      <alignment horizontal="center"/>
    </xf>
    <xf numFmtId="165" fontId="15" fillId="11" borderId="7" xfId="0" applyNumberFormat="1" applyFont="1" applyFill="1" applyBorder="1" applyAlignment="1" applyProtection="1">
      <alignment horizontal="center"/>
    </xf>
    <xf numFmtId="10" fontId="15" fillId="5" borderId="0" xfId="0" applyNumberFormat="1" applyFont="1" applyFill="1" applyBorder="1" applyAlignment="1" applyProtection="1">
      <alignment horizontal="center"/>
    </xf>
    <xf numFmtId="166" fontId="15" fillId="11" borderId="0" xfId="0" applyNumberFormat="1" applyFont="1" applyFill="1" applyBorder="1" applyProtection="1"/>
    <xf numFmtId="165" fontId="15" fillId="6" borderId="0" xfId="0" applyNumberFormat="1" applyFont="1" applyFill="1" applyBorder="1" applyAlignment="1" applyProtection="1">
      <alignment horizontal="center"/>
    </xf>
    <xf numFmtId="0" fontId="15" fillId="0" borderId="0" xfId="0" applyFont="1" applyBorder="1" applyAlignment="1" applyProtection="1">
      <alignment horizontal="left"/>
    </xf>
    <xf numFmtId="165" fontId="15" fillId="0" borderId="3" xfId="0" applyNumberFormat="1" applyFont="1" applyBorder="1" applyAlignment="1" applyProtection="1">
      <alignment horizontal="center"/>
    </xf>
    <xf numFmtId="165" fontId="15" fillId="0" borderId="0" xfId="0" applyNumberFormat="1" applyFont="1" applyBorder="1" applyAlignment="1" applyProtection="1">
      <alignment horizontal="center"/>
    </xf>
    <xf numFmtId="165" fontId="15" fillId="0" borderId="7" xfId="0" applyNumberFormat="1" applyFont="1" applyBorder="1" applyAlignment="1" applyProtection="1">
      <alignment horizontal="center"/>
    </xf>
    <xf numFmtId="165" fontId="15" fillId="0" borderId="0" xfId="0" applyNumberFormat="1" applyFont="1" applyFill="1" applyBorder="1" applyAlignment="1" applyProtection="1">
      <alignment horizontal="center"/>
    </xf>
    <xf numFmtId="0" fontId="5" fillId="0" borderId="0" xfId="3" applyFont="1" applyBorder="1" applyAlignment="1" applyProtection="1">
      <alignment horizontal="left"/>
    </xf>
    <xf numFmtId="165" fontId="15" fillId="0" borderId="9" xfId="0" applyNumberFormat="1" applyFont="1" applyBorder="1" applyAlignment="1" applyProtection="1">
      <alignment horizontal="center"/>
    </xf>
    <xf numFmtId="165" fontId="15" fillId="0" borderId="2" xfId="0" applyNumberFormat="1" applyFont="1" applyBorder="1" applyAlignment="1" applyProtection="1">
      <alignment horizontal="center"/>
    </xf>
    <xf numFmtId="165" fontId="15" fillId="0" borderId="8" xfId="0" applyNumberFormat="1" applyFont="1" applyBorder="1" applyAlignment="1" applyProtection="1">
      <alignment horizontal="center"/>
    </xf>
    <xf numFmtId="165" fontId="15" fillId="0" borderId="0" xfId="0" applyNumberFormat="1" applyFont="1" applyBorder="1" applyProtection="1"/>
    <xf numFmtId="0" fontId="17" fillId="0" borderId="0" xfId="3" applyFont="1" applyFill="1" applyBorder="1" applyProtection="1"/>
    <xf numFmtId="168" fontId="15" fillId="0" borderId="0" xfId="3" applyNumberFormat="1" applyFont="1" applyFill="1" applyBorder="1" applyProtection="1"/>
    <xf numFmtId="0" fontId="17" fillId="0" borderId="0" xfId="3" applyFont="1" applyBorder="1" applyProtection="1"/>
    <xf numFmtId="0" fontId="5" fillId="0" borderId="0" xfId="0" applyFont="1" applyFill="1" applyAlignment="1" applyProtection="1"/>
    <xf numFmtId="0" fontId="15" fillId="0" borderId="0" xfId="0" applyFont="1" applyFill="1" applyAlignment="1" applyProtection="1"/>
    <xf numFmtId="0" fontId="15" fillId="0" borderId="0" xfId="0" applyFont="1" applyFill="1" applyAlignment="1" applyProtection="1">
      <alignment wrapText="1"/>
    </xf>
    <xf numFmtId="0" fontId="5" fillId="0" borderId="0" xfId="0" applyFont="1" applyAlignment="1" applyProtection="1">
      <alignment wrapText="1"/>
    </xf>
    <xf numFmtId="0" fontId="15" fillId="0" borderId="0" xfId="0" applyFont="1" applyFill="1" applyAlignment="1" applyProtection="1">
      <alignment horizontal="left"/>
    </xf>
    <xf numFmtId="9" fontId="15" fillId="0" borderId="0" xfId="4" applyFont="1" applyProtection="1"/>
    <xf numFmtId="0" fontId="5" fillId="0" borderId="0" xfId="3" applyFont="1" applyFill="1" applyBorder="1" applyAlignment="1" applyProtection="1">
      <alignment horizontal="left"/>
    </xf>
    <xf numFmtId="9" fontId="15" fillId="4" borderId="9" xfId="4" applyFont="1" applyFill="1" applyBorder="1" applyAlignment="1" applyProtection="1">
      <alignment horizontal="center"/>
      <protection locked="0"/>
    </xf>
    <xf numFmtId="9" fontId="15" fillId="4" borderId="2" xfId="4" applyFont="1" applyFill="1" applyBorder="1" applyAlignment="1" applyProtection="1">
      <alignment horizontal="center"/>
      <protection locked="0"/>
    </xf>
    <xf numFmtId="9" fontId="15" fillId="10" borderId="0" xfId="4" applyFont="1" applyFill="1" applyBorder="1" applyAlignment="1" applyProtection="1">
      <alignment horizontal="center"/>
      <protection locked="0"/>
    </xf>
    <xf numFmtId="9" fontId="15" fillId="10" borderId="7" xfId="4" applyFont="1" applyFill="1" applyBorder="1" applyAlignment="1" applyProtection="1">
      <alignment horizontal="center"/>
      <protection locked="0"/>
    </xf>
    <xf numFmtId="9" fontId="15" fillId="10" borderId="8" xfId="4" applyFont="1" applyFill="1" applyBorder="1" applyAlignment="1" applyProtection="1">
      <alignment horizontal="center"/>
      <protection locked="0"/>
    </xf>
    <xf numFmtId="0" fontId="7" fillId="0" borderId="0" xfId="0" applyFont="1" applyFill="1" applyBorder="1" applyProtection="1"/>
    <xf numFmtId="0" fontId="5" fillId="0" borderId="0" xfId="3" applyFont="1" applyBorder="1" applyAlignment="1" applyProtection="1">
      <alignment horizontal="center"/>
    </xf>
    <xf numFmtId="0" fontId="5" fillId="0" borderId="0" xfId="0" applyFont="1" applyProtection="1"/>
    <xf numFmtId="2" fontId="17" fillId="0" borderId="3" xfId="0" applyNumberFormat="1" applyFont="1" applyBorder="1" applyAlignment="1" applyProtection="1">
      <alignment horizontal="center"/>
    </xf>
    <xf numFmtId="3" fontId="7" fillId="0" borderId="3" xfId="0" applyNumberFormat="1" applyFont="1" applyBorder="1" applyAlignment="1" applyProtection="1">
      <alignment horizontal="center"/>
    </xf>
    <xf numFmtId="2" fontId="15" fillId="0" borderId="3" xfId="0" applyNumberFormat="1" applyFont="1" applyBorder="1" applyProtection="1"/>
    <xf numFmtId="0" fontId="7" fillId="0" borderId="3" xfId="0" applyFont="1" applyBorder="1" applyAlignment="1" applyProtection="1">
      <alignment horizontal="center"/>
    </xf>
    <xf numFmtId="3" fontId="7" fillId="0" borderId="3" xfId="3" applyNumberFormat="1" applyFont="1" applyBorder="1" applyAlignment="1" applyProtection="1">
      <alignment horizontal="center"/>
    </xf>
    <xf numFmtId="2" fontId="15" fillId="7" borderId="3" xfId="0" applyNumberFormat="1" applyFont="1" applyFill="1" applyBorder="1" applyProtection="1"/>
    <xf numFmtId="2" fontId="15" fillId="7" borderId="0" xfId="0" applyNumberFormat="1" applyFont="1" applyFill="1" applyBorder="1" applyAlignment="1" applyProtection="1">
      <alignment horizontal="center"/>
    </xf>
    <xf numFmtId="2" fontId="15" fillId="10" borderId="0" xfId="0" applyNumberFormat="1" applyFont="1" applyFill="1" applyBorder="1" applyAlignment="1" applyProtection="1">
      <alignment horizontal="center"/>
    </xf>
    <xf numFmtId="0" fontId="7" fillId="0" borderId="0" xfId="3" applyFont="1" applyBorder="1" applyAlignment="1" applyProtection="1">
      <alignment horizontal="left"/>
    </xf>
    <xf numFmtId="2" fontId="15" fillId="0" borderId="9" xfId="0" applyNumberFormat="1" applyFont="1" applyBorder="1" applyAlignment="1" applyProtection="1">
      <alignment horizontal="right"/>
    </xf>
    <xf numFmtId="2" fontId="15" fillId="0" borderId="2" xfId="0" applyNumberFormat="1" applyFont="1" applyBorder="1" applyProtection="1"/>
    <xf numFmtId="2" fontId="7" fillId="0" borderId="9" xfId="0" applyNumberFormat="1" applyFont="1" applyBorder="1" applyAlignment="1" applyProtection="1">
      <alignment horizontal="center"/>
    </xf>
    <xf numFmtId="2" fontId="15" fillId="10" borderId="0" xfId="0" applyNumberFormat="1" applyFont="1" applyFill="1" applyBorder="1" applyProtection="1"/>
    <xf numFmtId="0" fontId="7" fillId="0" borderId="0" xfId="0" applyFont="1" applyProtection="1"/>
    <xf numFmtId="0" fontId="15" fillId="0" borderId="0" xfId="3" applyFont="1" applyFill="1" applyBorder="1" applyAlignment="1" applyProtection="1">
      <alignment horizontal="center"/>
    </xf>
    <xf numFmtId="0" fontId="5" fillId="0" borderId="0" xfId="3" applyFont="1" applyBorder="1" applyProtection="1"/>
    <xf numFmtId="0" fontId="7" fillId="0" borderId="0" xfId="0" applyFont="1" applyBorder="1" applyProtection="1"/>
    <xf numFmtId="0" fontId="15" fillId="0" borderId="0" xfId="3" applyFont="1" applyFill="1" applyBorder="1" applyProtection="1"/>
    <xf numFmtId="3" fontId="5" fillId="0" borderId="0" xfId="3" applyNumberFormat="1" applyFont="1" applyFill="1" applyBorder="1" applyAlignment="1" applyProtection="1">
      <alignment horizontal="left"/>
    </xf>
    <xf numFmtId="0" fontId="15" fillId="0" borderId="0" xfId="3" applyFont="1" applyFill="1" applyBorder="1" applyAlignment="1" applyProtection="1">
      <alignment horizontal="left"/>
    </xf>
    <xf numFmtId="3" fontId="17" fillId="0" borderId="0" xfId="3" applyNumberFormat="1" applyFont="1" applyBorder="1" applyProtection="1"/>
    <xf numFmtId="0" fontId="5" fillId="0" borderId="0" xfId="0" applyFont="1" applyFill="1" applyBorder="1" applyProtection="1"/>
    <xf numFmtId="0" fontId="15" fillId="0" borderId="7" xfId="0" applyFont="1" applyBorder="1" applyAlignment="1" applyProtection="1">
      <alignment horizontal="center"/>
    </xf>
    <xf numFmtId="165" fontId="15" fillId="0" borderId="0" xfId="0" applyNumberFormat="1" applyFont="1" applyProtection="1"/>
    <xf numFmtId="165" fontId="15" fillId="0" borderId="0" xfId="3" applyNumberFormat="1" applyFont="1" applyFill="1" applyBorder="1" applyAlignment="1" applyProtection="1">
      <alignment horizontal="right"/>
    </xf>
    <xf numFmtId="4" fontId="7" fillId="0" borderId="0" xfId="3" applyNumberFormat="1" applyFont="1" applyFill="1" applyBorder="1" applyAlignment="1" applyProtection="1">
      <alignment horizontal="right"/>
    </xf>
    <xf numFmtId="2" fontId="15" fillId="0" borderId="0" xfId="1" applyNumberFormat="1" applyFont="1" applyFill="1" applyBorder="1" applyProtection="1"/>
    <xf numFmtId="0" fontId="15" fillId="0" borderId="2" xfId="3" applyFont="1" applyFill="1" applyBorder="1" applyProtection="1">
      <protection locked="0"/>
    </xf>
    <xf numFmtId="165" fontId="15" fillId="9" borderId="0" xfId="4" applyNumberFormat="1" applyFont="1" applyFill="1" applyBorder="1" applyProtection="1"/>
    <xf numFmtId="166" fontId="7" fillId="0" borderId="0" xfId="2" applyNumberFormat="1" applyFill="1"/>
    <xf numFmtId="164" fontId="15" fillId="9" borderId="0" xfId="3" applyNumberFormat="1" applyFont="1" applyFill="1" applyBorder="1" applyAlignment="1" applyProtection="1">
      <alignment horizontal="right"/>
    </xf>
    <xf numFmtId="3" fontId="7" fillId="0" borderId="0" xfId="0" applyNumberFormat="1" applyFont="1" applyFill="1" applyBorder="1" applyAlignment="1" applyProtection="1">
      <alignment horizontal="center"/>
    </xf>
    <xf numFmtId="0" fontId="7" fillId="0" borderId="5" xfId="0" applyFont="1" applyBorder="1" applyProtection="1"/>
    <xf numFmtId="0" fontId="7" fillId="0" borderId="3" xfId="0" applyFont="1" applyBorder="1" applyProtection="1"/>
    <xf numFmtId="0" fontId="7" fillId="0" borderId="0" xfId="0" applyFont="1" applyAlignment="1">
      <alignment horizontal="center"/>
    </xf>
    <xf numFmtId="2" fontId="7" fillId="0" borderId="0" xfId="0" applyNumberFormat="1" applyFont="1"/>
    <xf numFmtId="0" fontId="7" fillId="0" borderId="4" xfId="0" applyFont="1" applyBorder="1" applyAlignment="1">
      <alignment horizontal="left"/>
    </xf>
    <xf numFmtId="0" fontId="7" fillId="0" borderId="5" xfId="0" applyFont="1" applyBorder="1"/>
    <xf numFmtId="0" fontId="7" fillId="0" borderId="3" xfId="0" applyFont="1" applyBorder="1" applyAlignment="1">
      <alignment horizontal="left"/>
    </xf>
    <xf numFmtId="0" fontId="7" fillId="0" borderId="0" xfId="3" applyFont="1" applyBorder="1" applyAlignment="1" applyProtection="1">
      <alignment horizontal="left" wrapText="1"/>
      <protection locked="0"/>
    </xf>
    <xf numFmtId="0" fontId="7" fillId="0" borderId="4" xfId="3" applyFont="1" applyBorder="1" applyAlignment="1" applyProtection="1">
      <alignment horizontal="center" wrapText="1"/>
      <protection locked="0"/>
    </xf>
    <xf numFmtId="0" fontId="7" fillId="0" borderId="5" xfId="3" applyFont="1" applyBorder="1" applyAlignment="1" applyProtection="1">
      <alignment horizontal="center" wrapText="1"/>
      <protection locked="0"/>
    </xf>
    <xf numFmtId="3" fontId="7" fillId="7" borderId="5" xfId="3" applyNumberFormat="1" applyFont="1" applyFill="1" applyBorder="1" applyAlignment="1" applyProtection="1">
      <alignment wrapText="1"/>
      <protection locked="0"/>
    </xf>
    <xf numFmtId="3" fontId="7" fillId="7" borderId="5" xfId="0" applyNumberFormat="1" applyFont="1" applyFill="1" applyBorder="1" applyAlignment="1"/>
    <xf numFmtId="3" fontId="7" fillId="7" borderId="6" xfId="3" applyNumberFormat="1" applyFont="1" applyFill="1" applyBorder="1" applyAlignment="1" applyProtection="1">
      <protection locked="0"/>
    </xf>
    <xf numFmtId="0" fontId="7" fillId="0" borderId="3" xfId="0" applyFont="1" applyBorder="1" applyAlignment="1">
      <alignment horizontal="center"/>
    </xf>
    <xf numFmtId="3" fontId="7" fillId="7" borderId="0" xfId="0" applyNumberFormat="1" applyFont="1" applyFill="1" applyBorder="1"/>
    <xf numFmtId="3" fontId="7" fillId="7" borderId="7" xfId="3" applyNumberFormat="1" applyFont="1" applyFill="1" applyBorder="1" applyAlignment="1" applyProtection="1">
      <alignment horizontal="right"/>
      <protection locked="0"/>
    </xf>
    <xf numFmtId="9" fontId="7" fillId="7" borderId="0" xfId="0" applyNumberFormat="1" applyFont="1" applyFill="1" applyBorder="1"/>
    <xf numFmtId="0" fontId="7" fillId="0" borderId="0" xfId="0" applyFont="1" applyBorder="1" applyAlignment="1">
      <alignment horizontal="center"/>
    </xf>
    <xf numFmtId="166" fontId="7" fillId="7" borderId="0" xfId="0" applyNumberFormat="1" applyFont="1" applyFill="1" applyBorder="1"/>
    <xf numFmtId="166" fontId="7" fillId="7" borderId="7" xfId="3" applyNumberFormat="1" applyFont="1" applyFill="1" applyBorder="1" applyAlignment="1" applyProtection="1">
      <alignment horizontal="right"/>
      <protection locked="0"/>
    </xf>
    <xf numFmtId="166" fontId="7" fillId="7" borderId="0" xfId="0" applyNumberFormat="1" applyFont="1" applyFill="1" applyBorder="1" applyAlignment="1">
      <alignment horizontal="right"/>
    </xf>
    <xf numFmtId="166" fontId="7" fillId="5" borderId="0" xfId="3" applyNumberFormat="1" applyFont="1" applyFill="1" applyBorder="1"/>
    <xf numFmtId="166" fontId="7" fillId="0" borderId="0" xfId="3" applyNumberFormat="1" applyFont="1" applyFill="1" applyBorder="1"/>
    <xf numFmtId="166" fontId="7" fillId="5" borderId="7" xfId="3" applyNumberFormat="1" applyFont="1" applyFill="1" applyBorder="1"/>
    <xf numFmtId="2" fontId="7" fillId="5" borderId="0" xfId="0" quotePrefix="1" applyNumberFormat="1" applyFont="1" applyFill="1" applyBorder="1" applyAlignment="1">
      <alignment horizontal="right"/>
    </xf>
    <xf numFmtId="2" fontId="7" fillId="5" borderId="7" xfId="0" quotePrefix="1" applyNumberFormat="1" applyFont="1" applyFill="1" applyBorder="1" applyAlignment="1">
      <alignment horizontal="right"/>
    </xf>
    <xf numFmtId="3" fontId="7" fillId="0" borderId="5" xfId="3" applyNumberFormat="1" applyFont="1" applyFill="1" applyBorder="1"/>
    <xf numFmtId="3" fontId="7" fillId="0" borderId="6" xfId="3" applyNumberFormat="1" applyFont="1" applyFill="1" applyBorder="1"/>
    <xf numFmtId="166" fontId="7" fillId="0" borderId="7" xfId="3" applyNumberFormat="1" applyFont="1" applyFill="1" applyBorder="1"/>
    <xf numFmtId="166" fontId="7" fillId="0" borderId="0" xfId="0" applyNumberFormat="1" applyFont="1" applyBorder="1"/>
    <xf numFmtId="166" fontId="7" fillId="0" borderId="7" xfId="0" applyNumberFormat="1" applyFont="1" applyBorder="1"/>
    <xf numFmtId="2" fontId="7" fillId="0" borderId="0" xfId="3" applyNumberFormat="1" applyFont="1" applyFill="1" applyBorder="1"/>
    <xf numFmtId="2" fontId="7" fillId="0" borderId="0" xfId="0" applyNumberFormat="1" applyFont="1" applyBorder="1"/>
    <xf numFmtId="2" fontId="7" fillId="0" borderId="7" xfId="0" applyNumberFormat="1" applyFont="1" applyBorder="1"/>
    <xf numFmtId="2" fontId="7" fillId="0" borderId="7" xfId="3" applyNumberFormat="1" applyFont="1" applyFill="1" applyBorder="1"/>
    <xf numFmtId="0" fontId="7" fillId="0" borderId="9" xfId="0" applyFont="1" applyBorder="1" applyAlignment="1">
      <alignment horizontal="center"/>
    </xf>
    <xf numFmtId="3" fontId="7" fillId="0" borderId="2" xfId="0" applyNumberFormat="1" applyFont="1" applyBorder="1"/>
    <xf numFmtId="3" fontId="7" fillId="0" borderId="8" xfId="0" applyNumberFormat="1" applyFont="1" applyBorder="1"/>
    <xf numFmtId="0" fontId="7" fillId="0" borderId="7" xfId="0" applyFont="1" applyBorder="1"/>
    <xf numFmtId="1" fontId="7" fillId="0" borderId="2" xfId="3" applyNumberFormat="1" applyFont="1" applyFill="1" applyBorder="1"/>
    <xf numFmtId="1" fontId="7" fillId="0" borderId="8" xfId="3" applyNumberFormat="1" applyFont="1" applyFill="1" applyBorder="1"/>
    <xf numFmtId="0" fontId="5" fillId="40" borderId="0" xfId="3" applyFont="1" applyFill="1" applyBorder="1" applyAlignment="1" applyProtection="1">
      <alignment horizontal="center"/>
      <protection locked="0"/>
    </xf>
    <xf numFmtId="2" fontId="17" fillId="0" borderId="0" xfId="0" applyNumberFormat="1" applyFont="1" applyBorder="1" applyAlignment="1" applyProtection="1">
      <alignment horizontal="center"/>
    </xf>
    <xf numFmtId="0" fontId="7" fillId="0" borderId="0" xfId="0" applyFont="1" applyBorder="1" applyAlignment="1" applyProtection="1">
      <alignment horizontal="center"/>
    </xf>
    <xf numFmtId="0" fontId="7" fillId="0" borderId="4" xfId="0" applyFont="1" applyBorder="1" applyAlignment="1" applyProtection="1">
      <alignment horizontal="center"/>
    </xf>
    <xf numFmtId="0" fontId="7" fillId="0" borderId="5" xfId="0" applyFont="1" applyBorder="1" applyAlignment="1" applyProtection="1">
      <alignment horizontal="center"/>
    </xf>
    <xf numFmtId="0" fontId="7" fillId="0" borderId="5" xfId="3" applyFont="1" applyFill="1" applyBorder="1" applyAlignment="1">
      <alignment horizontal="center"/>
    </xf>
    <xf numFmtId="166" fontId="7" fillId="0" borderId="5" xfId="3" applyNumberFormat="1" applyFont="1" applyFill="1" applyBorder="1"/>
    <xf numFmtId="166" fontId="7" fillId="0" borderId="6" xfId="3" applyNumberFormat="1" applyFont="1" applyFill="1" applyBorder="1"/>
    <xf numFmtId="0" fontId="5" fillId="0" borderId="0" xfId="3" applyFont="1" applyBorder="1" applyAlignment="1" applyProtection="1">
      <alignment horizontal="left" wrapText="1"/>
    </xf>
    <xf numFmtId="0" fontId="5" fillId="0" borderId="6" xfId="0" applyFont="1" applyBorder="1" applyAlignment="1" applyProtection="1">
      <alignment horizontal="center"/>
    </xf>
    <xf numFmtId="0" fontId="7" fillId="0" borderId="5" xfId="0" applyFont="1" applyFill="1" applyBorder="1" applyAlignment="1" applyProtection="1">
      <alignment horizontal="center"/>
    </xf>
    <xf numFmtId="0" fontId="7" fillId="0" borderId="6" xfId="0" applyFont="1" applyFill="1" applyBorder="1" applyAlignment="1" applyProtection="1">
      <alignment horizontal="center"/>
    </xf>
    <xf numFmtId="3" fontId="7" fillId="0" borderId="7" xfId="0" applyNumberFormat="1" applyFont="1" applyFill="1" applyBorder="1" applyAlignment="1" applyProtection="1">
      <alignment horizontal="center"/>
    </xf>
    <xf numFmtId="2" fontId="7" fillId="0" borderId="2" xfId="0" applyNumberFormat="1" applyFont="1" applyBorder="1" applyAlignment="1" applyProtection="1">
      <alignment horizontal="center"/>
    </xf>
    <xf numFmtId="0" fontId="7" fillId="0" borderId="0" xfId="922" applyFill="1" applyBorder="1" applyProtection="1">
      <alignment horizontal="center"/>
    </xf>
    <xf numFmtId="0" fontId="7" fillId="0" borderId="4" xfId="0" applyFont="1" applyBorder="1" applyAlignment="1" applyProtection="1">
      <alignment horizontal="left"/>
    </xf>
    <xf numFmtId="0" fontId="7" fillId="0" borderId="0" xfId="3" applyFont="1" applyFill="1" applyBorder="1" applyProtection="1"/>
    <xf numFmtId="0" fontId="9" fillId="0" borderId="0" xfId="3" applyFont="1" applyFill="1" applyBorder="1" applyProtection="1"/>
    <xf numFmtId="0" fontId="7" fillId="0" borderId="0" xfId="3" applyFont="1" applyFill="1" applyBorder="1" applyAlignment="1" applyProtection="1">
      <alignment horizontal="right"/>
    </xf>
    <xf numFmtId="0" fontId="7" fillId="0" borderId="0" xfId="0" applyFont="1" applyFill="1" applyBorder="1" applyAlignment="1" applyProtection="1">
      <alignment horizontal="left"/>
    </xf>
    <xf numFmtId="0" fontId="7" fillId="0" borderId="7" xfId="0" applyFont="1" applyBorder="1" applyAlignment="1" applyProtection="1">
      <alignment horizontal="center"/>
    </xf>
    <xf numFmtId="2" fontId="7" fillId="0" borderId="8" xfId="0" applyNumberFormat="1" applyFont="1" applyBorder="1" applyAlignment="1" applyProtection="1">
      <alignment horizontal="center"/>
    </xf>
    <xf numFmtId="0" fontId="15" fillId="40" borderId="3" xfId="3" applyFont="1" applyFill="1" applyBorder="1" applyProtection="1">
      <protection locked="0"/>
    </xf>
    <xf numFmtId="0" fontId="5" fillId="40" borderId="3" xfId="3" applyFont="1" applyFill="1" applyBorder="1" applyAlignment="1" applyProtection="1">
      <alignment horizontal="center"/>
      <protection locked="0"/>
    </xf>
    <xf numFmtId="0" fontId="7" fillId="40" borderId="3" xfId="3" applyFont="1" applyFill="1" applyBorder="1" applyProtection="1">
      <protection locked="0"/>
    </xf>
    <xf numFmtId="0" fontId="0" fillId="40" borderId="7" xfId="0" applyFill="1" applyBorder="1"/>
    <xf numFmtId="0" fontId="7" fillId="40" borderId="3" xfId="3" applyFont="1" applyFill="1" applyBorder="1"/>
    <xf numFmtId="0" fontId="15" fillId="40" borderId="3" xfId="3" applyFont="1" applyFill="1" applyBorder="1"/>
    <xf numFmtId="0" fontId="5" fillId="40" borderId="3" xfId="3" applyFont="1" applyFill="1" applyBorder="1" applyProtection="1">
      <protection locked="0"/>
    </xf>
    <xf numFmtId="0" fontId="5" fillId="40" borderId="3" xfId="3" applyFont="1" applyFill="1" applyBorder="1" applyAlignment="1" applyProtection="1">
      <alignment horizontal="left"/>
      <protection locked="0"/>
    </xf>
    <xf numFmtId="0" fontId="19" fillId="40" borderId="9" xfId="3" applyFont="1" applyFill="1" applyBorder="1" applyAlignment="1" applyProtection="1">
      <alignment horizontal="right"/>
      <protection locked="0"/>
    </xf>
    <xf numFmtId="164" fontId="15" fillId="0" borderId="0" xfId="0" applyNumberFormat="1" applyFont="1" applyFill="1" applyBorder="1" applyProtection="1"/>
    <xf numFmtId="164" fontId="5" fillId="7" borderId="7" xfId="0" applyNumberFormat="1" applyFont="1" applyFill="1" applyBorder="1" applyAlignment="1" applyProtection="1">
      <alignment horizontal="center"/>
    </xf>
    <xf numFmtId="0" fontId="5" fillId="0" borderId="0" xfId="3" applyFont="1" applyFill="1" applyBorder="1" applyAlignment="1" applyProtection="1">
      <alignment wrapText="1"/>
    </xf>
    <xf numFmtId="164" fontId="15" fillId="6" borderId="0" xfId="0" applyNumberFormat="1" applyFont="1" applyFill="1" applyBorder="1" applyAlignment="1" applyProtection="1">
      <alignment horizontal="center"/>
    </xf>
    <xf numFmtId="164" fontId="7" fillId="9" borderId="0" xfId="924" applyNumberFormat="1" applyBorder="1" applyAlignment="1">
      <alignment horizontal="center"/>
    </xf>
    <xf numFmtId="164" fontId="15" fillId="6" borderId="0" xfId="3" applyNumberFormat="1" applyFont="1" applyFill="1" applyBorder="1" applyAlignment="1" applyProtection="1">
      <alignment horizontal="center"/>
    </xf>
    <xf numFmtId="0" fontId="13" fillId="0" borderId="0" xfId="0" applyFont="1" applyBorder="1" applyAlignment="1" applyProtection="1">
      <alignment horizontal="center"/>
    </xf>
    <xf numFmtId="0" fontId="5" fillId="0" borderId="0" xfId="0" applyFont="1" applyFill="1" applyBorder="1" applyAlignment="1" applyProtection="1"/>
    <xf numFmtId="0" fontId="5" fillId="0" borderId="0" xfId="0" applyFont="1" applyBorder="1" applyAlignment="1" applyProtection="1"/>
    <xf numFmtId="0" fontId="5" fillId="0" borderId="0" xfId="0" applyFont="1" applyFill="1" applyBorder="1" applyAlignment="1" applyProtection="1">
      <alignment wrapText="1"/>
    </xf>
    <xf numFmtId="165" fontId="17" fillId="0" borderId="0" xfId="4" applyNumberFormat="1" applyFont="1" applyFill="1" applyBorder="1" applyProtection="1"/>
    <xf numFmtId="165" fontId="15" fillId="0" borderId="0" xfId="4" applyNumberFormat="1" applyFont="1" applyFill="1" applyBorder="1" applyProtection="1"/>
    <xf numFmtId="10" fontId="15" fillId="0" borderId="0" xfId="4" applyNumberFormat="1" applyFont="1" applyFill="1" applyBorder="1" applyProtection="1"/>
    <xf numFmtId="10" fontId="15" fillId="0" borderId="0" xfId="0" applyNumberFormat="1" applyFont="1" applyBorder="1" applyProtection="1"/>
    <xf numFmtId="164" fontId="15" fillId="6" borderId="3" xfId="0" applyNumberFormat="1" applyFont="1" applyFill="1" applyBorder="1" applyAlignment="1" applyProtection="1">
      <alignment horizontal="center"/>
    </xf>
    <xf numFmtId="164" fontId="15" fillId="0" borderId="9" xfId="0" applyNumberFormat="1" applyFont="1" applyBorder="1" applyAlignment="1" applyProtection="1">
      <alignment horizontal="center"/>
    </xf>
    <xf numFmtId="164" fontId="15" fillId="0" borderId="2" xfId="3" applyNumberFormat="1" applyFont="1" applyFill="1" applyBorder="1" applyAlignment="1" applyProtection="1">
      <alignment horizontal="center"/>
    </xf>
    <xf numFmtId="164" fontId="5" fillId="0" borderId="8" xfId="3" applyNumberFormat="1" applyFont="1" applyFill="1" applyBorder="1" applyAlignment="1" applyProtection="1">
      <alignment horizontal="center"/>
    </xf>
    <xf numFmtId="164" fontId="15" fillId="6" borderId="3" xfId="3" applyNumberFormat="1" applyFont="1" applyFill="1" applyBorder="1" applyAlignment="1" applyProtection="1">
      <alignment horizontal="center"/>
    </xf>
    <xf numFmtId="164" fontId="15" fillId="0" borderId="0" xfId="0" applyNumberFormat="1" applyFont="1" applyProtection="1"/>
    <xf numFmtId="0" fontId="15" fillId="0" borderId="4" xfId="0" applyFont="1" applyFill="1" applyBorder="1" applyAlignment="1" applyProtection="1">
      <alignment wrapText="1"/>
    </xf>
    <xf numFmtId="0" fontId="17" fillId="0" borderId="3" xfId="3" applyFont="1" applyFill="1" applyBorder="1" applyAlignment="1" applyProtection="1">
      <alignment horizontal="center"/>
    </xf>
    <xf numFmtId="9" fontId="15" fillId="10" borderId="3" xfId="4" applyFont="1" applyFill="1" applyBorder="1" applyAlignment="1" applyProtection="1">
      <alignment horizontal="center"/>
      <protection locked="0"/>
    </xf>
    <xf numFmtId="9" fontId="15" fillId="10" borderId="9" xfId="4" applyFont="1" applyFill="1" applyBorder="1" applyAlignment="1" applyProtection="1">
      <alignment horizontal="center"/>
      <protection locked="0"/>
    </xf>
    <xf numFmtId="9" fontId="15" fillId="0" borderId="4" xfId="4" applyFont="1" applyFill="1" applyBorder="1" applyAlignment="1" applyProtection="1">
      <alignment horizontal="center"/>
    </xf>
    <xf numFmtId="0" fontId="15" fillId="0" borderId="4" xfId="0" applyFont="1" applyFill="1" applyBorder="1" applyAlignment="1" applyProtection="1">
      <alignment horizontal="center" wrapText="1"/>
    </xf>
    <xf numFmtId="0" fontId="15" fillId="0" borderId="5" xfId="0" applyFont="1" applyFill="1" applyBorder="1" applyAlignment="1" applyProtection="1">
      <alignment horizontal="center" wrapText="1"/>
    </xf>
    <xf numFmtId="0" fontId="15" fillId="0" borderId="6" xfId="0" applyFont="1" applyFill="1" applyBorder="1" applyAlignment="1" applyProtection="1">
      <alignment horizontal="center" wrapText="1"/>
    </xf>
    <xf numFmtId="0" fontId="15" fillId="0" borderId="0" xfId="0" applyFont="1" applyBorder="1" applyAlignment="1" applyProtection="1">
      <alignment horizontal="left" vertical="center"/>
    </xf>
    <xf numFmtId="0" fontId="15" fillId="0" borderId="0" xfId="0" applyFont="1" applyBorder="1" applyAlignment="1" applyProtection="1">
      <alignment vertical="center"/>
    </xf>
    <xf numFmtId="0" fontId="15" fillId="0" borderId="0" xfId="0" applyFont="1" applyFill="1" applyBorder="1" applyAlignment="1" applyProtection="1">
      <alignment vertical="center"/>
    </xf>
    <xf numFmtId="0" fontId="5" fillId="0" borderId="0" xfId="0" applyFont="1" applyBorder="1" applyAlignment="1" applyProtection="1">
      <alignment horizontal="center" vertical="center"/>
    </xf>
    <xf numFmtId="9" fontId="5" fillId="0" borderId="0" xfId="4" applyFont="1" applyFill="1" applyBorder="1" applyAlignment="1" applyProtection="1">
      <alignment horizontal="center" vertical="center"/>
    </xf>
    <xf numFmtId="2" fontId="7" fillId="0" borderId="0" xfId="0" applyNumberFormat="1" applyFont="1" applyFill="1"/>
    <xf numFmtId="0" fontId="7" fillId="0" borderId="0" xfId="0" applyFont="1" applyAlignment="1">
      <alignment horizontal="right"/>
    </xf>
    <xf numFmtId="0" fontId="7" fillId="0" borderId="4" xfId="0" applyFont="1" applyBorder="1"/>
    <xf numFmtId="3" fontId="15" fillId="0" borderId="5" xfId="3" applyNumberFormat="1" applyFont="1" applyBorder="1" applyProtection="1"/>
    <xf numFmtId="0" fontId="7" fillId="0" borderId="3" xfId="3" applyFont="1" applyBorder="1" applyProtection="1"/>
    <xf numFmtId="0" fontId="7" fillId="0" borderId="9" xfId="0" applyFont="1" applyBorder="1"/>
    <xf numFmtId="0" fontId="7" fillId="0" borderId="2" xfId="0" applyFont="1" applyBorder="1"/>
    <xf numFmtId="3" fontId="7" fillId="0" borderId="5" xfId="0" applyNumberFormat="1" applyFont="1" applyBorder="1"/>
    <xf numFmtId="3" fontId="7" fillId="0" borderId="6" xfId="0" applyNumberFormat="1" applyFont="1" applyBorder="1"/>
    <xf numFmtId="3" fontId="7" fillId="0" borderId="7" xfId="0" applyNumberFormat="1" applyFont="1" applyBorder="1"/>
    <xf numFmtId="0" fontId="7" fillId="0" borderId="3" xfId="0" applyFont="1" applyFill="1" applyBorder="1"/>
    <xf numFmtId="0" fontId="7" fillId="0" borderId="9" xfId="0" applyFont="1" applyFill="1" applyBorder="1"/>
    <xf numFmtId="0" fontId="7" fillId="0" borderId="4" xfId="0" applyFont="1" applyFill="1" applyBorder="1"/>
    <xf numFmtId="3" fontId="7" fillId="0" borderId="5" xfId="0" applyNumberFormat="1" applyFont="1" applyFill="1" applyBorder="1"/>
    <xf numFmtId="3" fontId="7" fillId="0" borderId="6" xfId="0" applyNumberFormat="1" applyFont="1" applyFill="1" applyBorder="1"/>
    <xf numFmtId="3" fontId="7" fillId="0" borderId="7" xfId="0" applyNumberFormat="1" applyFont="1" applyFill="1" applyBorder="1"/>
    <xf numFmtId="171" fontId="7" fillId="9" borderId="5" xfId="0" applyNumberFormat="1" applyFont="1" applyFill="1" applyBorder="1" applyAlignment="1">
      <alignment horizontal="center"/>
    </xf>
    <xf numFmtId="171" fontId="7" fillId="9" borderId="0" xfId="0" applyNumberFormat="1" applyFont="1" applyFill="1" applyBorder="1" applyAlignment="1">
      <alignment horizontal="center"/>
    </xf>
    <xf numFmtId="171" fontId="7" fillId="9" borderId="0" xfId="3" applyNumberFormat="1" applyFont="1" applyFill="1" applyBorder="1" applyAlignment="1">
      <alignment horizontal="center"/>
    </xf>
    <xf numFmtId="2" fontId="7" fillId="0" borderId="0" xfId="0" applyNumberFormat="1" applyFont="1" applyFill="1" applyBorder="1"/>
    <xf numFmtId="4" fontId="7" fillId="9" borderId="5" xfId="0" applyNumberFormat="1" applyFont="1" applyFill="1" applyBorder="1" applyAlignment="1">
      <alignment horizontal="center"/>
    </xf>
    <xf numFmtId="4" fontId="7" fillId="9" borderId="0" xfId="0" applyNumberFormat="1" applyFont="1" applyFill="1" applyBorder="1" applyAlignment="1">
      <alignment horizontal="center"/>
    </xf>
    <xf numFmtId="167" fontId="7" fillId="0" borderId="0" xfId="0" applyNumberFormat="1" applyFont="1" applyFill="1" applyBorder="1"/>
    <xf numFmtId="166" fontId="7" fillId="8" borderId="0" xfId="0" applyNumberFormat="1" applyFont="1" applyFill="1" applyBorder="1" applyAlignment="1">
      <alignment horizontal="center"/>
    </xf>
    <xf numFmtId="166" fontId="7" fillId="8" borderId="2" xfId="0" applyNumberFormat="1" applyFont="1" applyFill="1" applyBorder="1" applyAlignment="1">
      <alignment horizontal="center"/>
    </xf>
    <xf numFmtId="3" fontId="7" fillId="9" borderId="0" xfId="0" applyNumberFormat="1" applyFont="1" applyFill="1" applyBorder="1"/>
    <xf numFmtId="3" fontId="7" fillId="9" borderId="7" xfId="0" applyNumberFormat="1" applyFont="1" applyFill="1" applyBorder="1"/>
    <xf numFmtId="3" fontId="7" fillId="9" borderId="2" xfId="0" applyNumberFormat="1" applyFont="1" applyFill="1" applyBorder="1"/>
    <xf numFmtId="2" fontId="7" fillId="9" borderId="3" xfId="922" applyNumberFormat="1" applyFill="1" applyBorder="1" applyProtection="1">
      <alignment horizontal="center"/>
    </xf>
    <xf numFmtId="2" fontId="7" fillId="9" borderId="0" xfId="922" applyNumberFormat="1" applyFill="1" applyBorder="1" applyProtection="1">
      <alignment horizontal="center"/>
    </xf>
    <xf numFmtId="2" fontId="7" fillId="9" borderId="7" xfId="922" applyNumberFormat="1" applyFill="1" applyBorder="1" applyProtection="1">
      <alignment horizontal="center"/>
    </xf>
    <xf numFmtId="3" fontId="15" fillId="9" borderId="3" xfId="0" applyNumberFormat="1" applyFont="1" applyFill="1" applyBorder="1" applyProtection="1"/>
    <xf numFmtId="3" fontId="15" fillId="9" borderId="0" xfId="0" applyNumberFormat="1" applyFont="1" applyFill="1" applyBorder="1" applyProtection="1"/>
    <xf numFmtId="3" fontId="15" fillId="9" borderId="7" xfId="0" applyNumberFormat="1" applyFont="1" applyFill="1" applyBorder="1" applyProtection="1"/>
    <xf numFmtId="0" fontId="15" fillId="0" borderId="5" xfId="3" applyFont="1" applyFill="1" applyBorder="1" applyProtection="1">
      <protection locked="0"/>
    </xf>
    <xf numFmtId="0" fontId="7" fillId="0" borderId="3" xfId="3" applyFont="1" applyBorder="1"/>
    <xf numFmtId="165" fontId="15" fillId="9" borderId="0" xfId="4" applyNumberFormat="1" applyFont="1" applyFill="1" applyBorder="1" applyAlignment="1" applyProtection="1">
      <alignment horizontal="center"/>
    </xf>
    <xf numFmtId="0" fontId="7" fillId="0" borderId="0" xfId="3" applyFont="1" applyFill="1" applyBorder="1" applyProtection="1">
      <protection locked="0"/>
    </xf>
    <xf numFmtId="0" fontId="5" fillId="0" borderId="5" xfId="3" applyFont="1" applyFill="1" applyBorder="1" applyProtection="1">
      <protection locked="0"/>
    </xf>
    <xf numFmtId="0" fontId="15" fillId="39" borderId="0" xfId="3" applyNumberFormat="1" applyFont="1" applyFill="1" applyBorder="1" applyAlignment="1" applyProtection="1">
      <alignment horizontal="center"/>
      <protection locked="0"/>
    </xf>
    <xf numFmtId="0" fontId="7" fillId="39" borderId="0" xfId="3" applyNumberFormat="1" applyFont="1" applyFill="1" applyBorder="1" applyAlignment="1" applyProtection="1">
      <alignment horizontal="center"/>
      <protection locked="0"/>
    </xf>
    <xf numFmtId="0" fontId="33" fillId="40" borderId="0" xfId="2" applyFont="1" applyFill="1" applyBorder="1"/>
    <xf numFmtId="0" fontId="19" fillId="0" borderId="0" xfId="3" applyFont="1" applyBorder="1" applyAlignment="1" applyProtection="1">
      <alignment horizontal="center" wrapText="1"/>
      <protection locked="0"/>
    </xf>
    <xf numFmtId="0" fontId="5" fillId="0" borderId="0" xfId="3" applyFont="1" applyBorder="1" applyAlignment="1" applyProtection="1">
      <alignment horizontal="center"/>
      <protection locked="0"/>
    </xf>
    <xf numFmtId="0" fontId="5" fillId="0" borderId="0" xfId="3" applyFont="1" applyBorder="1" applyAlignment="1" applyProtection="1">
      <alignment horizontal="center" wrapText="1"/>
      <protection locked="0"/>
    </xf>
    <xf numFmtId="0" fontId="5" fillId="40" borderId="0" xfId="3" applyFont="1" applyFill="1" applyBorder="1" applyAlignment="1" applyProtection="1">
      <alignment horizontal="center"/>
      <protection locked="0"/>
    </xf>
    <xf numFmtId="0" fontId="5" fillId="0" borderId="0" xfId="0" applyFont="1" applyFill="1" applyBorder="1" applyAlignment="1">
      <alignment horizontal="center"/>
    </xf>
    <xf numFmtId="0" fontId="7" fillId="0" borderId="14" xfId="0" applyFont="1" applyBorder="1"/>
    <xf numFmtId="166" fontId="7" fillId="8" borderId="15" xfId="0" applyNumberFormat="1" applyFont="1" applyFill="1" applyBorder="1" applyProtection="1">
      <protection locked="0"/>
    </xf>
    <xf numFmtId="166" fontId="7" fillId="8" borderId="16" xfId="0" applyNumberFormat="1" applyFont="1" applyFill="1" applyBorder="1" applyProtection="1">
      <protection locked="0"/>
    </xf>
    <xf numFmtId="9" fontId="7" fillId="8" borderId="0" xfId="4" applyFont="1" applyFill="1" applyBorder="1" applyAlignment="1" applyProtection="1">
      <alignment horizontal="center"/>
      <protection locked="0"/>
    </xf>
    <xf numFmtId="3" fontId="7" fillId="9" borderId="8" xfId="0" applyNumberFormat="1" applyFont="1" applyFill="1" applyBorder="1"/>
    <xf numFmtId="0" fontId="7" fillId="0" borderId="0" xfId="2" applyFont="1" applyFill="1" applyBorder="1"/>
    <xf numFmtId="2" fontId="7" fillId="0" borderId="0" xfId="2" applyNumberFormat="1" applyFont="1" applyFill="1" applyBorder="1" applyAlignment="1">
      <alignment horizontal="center"/>
    </xf>
    <xf numFmtId="2" fontId="7" fillId="0" borderId="0" xfId="1" applyNumberFormat="1" applyFont="1" applyFill="1" applyBorder="1" applyAlignment="1">
      <alignment horizontal="right"/>
    </xf>
    <xf numFmtId="0" fontId="33" fillId="40" borderId="0" xfId="3" applyFont="1" applyFill="1" applyBorder="1" applyAlignment="1" applyProtection="1">
      <alignment horizontal="left"/>
      <protection locked="0"/>
    </xf>
    <xf numFmtId="9" fontId="15" fillId="40" borderId="0" xfId="4" applyFont="1" applyFill="1" applyBorder="1" applyAlignment="1" applyProtection="1">
      <alignment horizontal="center"/>
      <protection locked="0"/>
    </xf>
    <xf numFmtId="0" fontId="7" fillId="0" borderId="5" xfId="3" applyFont="1" applyFill="1" applyBorder="1" applyProtection="1">
      <protection locked="0"/>
    </xf>
    <xf numFmtId="0" fontId="7" fillId="0" borderId="0" xfId="3" applyFont="1" applyBorder="1" applyAlignment="1" applyProtection="1">
      <alignment horizontal="center"/>
      <protection locked="0"/>
    </xf>
    <xf numFmtId="9" fontId="7" fillId="7" borderId="7" xfId="0" applyNumberFormat="1" applyFont="1" applyFill="1" applyBorder="1"/>
    <xf numFmtId="3" fontId="7" fillId="0" borderId="0" xfId="0" applyNumberFormat="1" applyFont="1"/>
    <xf numFmtId="1" fontId="5" fillId="0" borderId="0" xfId="3" applyNumberFormat="1" applyFont="1" applyFill="1" applyBorder="1" applyAlignment="1" applyProtection="1">
      <alignment wrapText="1"/>
      <protection locked="0"/>
    </xf>
    <xf numFmtId="0" fontId="5" fillId="0" borderId="0" xfId="3" applyFont="1" applyBorder="1" applyAlignment="1" applyProtection="1">
      <alignment wrapText="1"/>
      <protection locked="0"/>
    </xf>
    <xf numFmtId="0" fontId="15" fillId="0" borderId="0" xfId="0" applyFont="1" applyFill="1" applyBorder="1" applyAlignment="1" applyProtection="1">
      <alignment horizontal="right"/>
    </xf>
    <xf numFmtId="0" fontId="21" fillId="0" borderId="0" xfId="0" applyFont="1" applyFill="1" applyBorder="1" applyAlignment="1" applyProtection="1">
      <alignment horizontal="right"/>
    </xf>
    <xf numFmtId="0" fontId="7" fillId="0" borderId="3" xfId="3" applyFont="1" applyBorder="1" applyProtection="1">
      <protection locked="0"/>
    </xf>
    <xf numFmtId="0" fontId="15" fillId="0" borderId="9" xfId="3" applyFont="1" applyBorder="1" applyProtection="1">
      <protection locked="0"/>
    </xf>
    <xf numFmtId="0" fontId="15" fillId="0" borderId="6" xfId="3" applyFont="1" applyFill="1" applyBorder="1" applyProtection="1">
      <protection locked="0"/>
    </xf>
    <xf numFmtId="0" fontId="16" fillId="0" borderId="3" xfId="3" applyFont="1" applyFill="1" applyBorder="1" applyAlignment="1" applyProtection="1">
      <alignment horizontal="center"/>
      <protection locked="0"/>
    </xf>
    <xf numFmtId="0" fontId="7" fillId="0" borderId="3" xfId="3" applyFont="1" applyFill="1" applyBorder="1" applyAlignment="1" applyProtection="1">
      <alignment horizontal="right"/>
      <protection locked="0"/>
    </xf>
    <xf numFmtId="0" fontId="7" fillId="0" borderId="3" xfId="3" applyFont="1" applyFill="1" applyBorder="1" applyProtection="1">
      <protection locked="0"/>
    </xf>
    <xf numFmtId="0" fontId="18" fillId="40" borderId="0" xfId="2" applyFont="1" applyFill="1" applyBorder="1"/>
    <xf numFmtId="0" fontId="5" fillId="40" borderId="0" xfId="3" applyFont="1" applyFill="1" applyBorder="1" applyAlignment="1" applyProtection="1">
      <alignment horizontal="right"/>
      <protection locked="0"/>
    </xf>
    <xf numFmtId="9" fontId="20" fillId="40" borderId="0" xfId="4" applyFont="1" applyFill="1" applyBorder="1" applyAlignment="1" applyProtection="1">
      <alignment horizontal="center"/>
      <protection locked="0"/>
    </xf>
    <xf numFmtId="9" fontId="20" fillId="40" borderId="0" xfId="4" applyFont="1" applyFill="1" applyBorder="1" applyAlignment="1" applyProtection="1">
      <alignment horizontal="right"/>
      <protection locked="0"/>
    </xf>
    <xf numFmtId="0" fontId="19" fillId="40" borderId="0" xfId="3" applyFont="1" applyFill="1" applyBorder="1" applyProtection="1"/>
    <xf numFmtId="2" fontId="15" fillId="40" borderId="0" xfId="4" applyNumberFormat="1" applyFont="1" applyFill="1" applyBorder="1" applyAlignment="1" applyProtection="1">
      <alignment horizontal="right"/>
      <protection locked="0"/>
    </xf>
    <xf numFmtId="0" fontId="19" fillId="40" borderId="0" xfId="3" applyFont="1" applyFill="1" applyBorder="1" applyAlignment="1" applyProtection="1">
      <alignment horizontal="center" wrapText="1"/>
      <protection locked="0"/>
    </xf>
    <xf numFmtId="0" fontId="15" fillId="40" borderId="0" xfId="3" applyFont="1" applyFill="1" applyBorder="1" applyAlignment="1" applyProtection="1">
      <alignment horizontal="center" wrapText="1"/>
      <protection locked="0"/>
    </xf>
    <xf numFmtId="9" fontId="15" fillId="40" borderId="0" xfId="4" applyFont="1" applyFill="1" applyBorder="1" applyAlignment="1" applyProtection="1">
      <alignment horizontal="right"/>
      <protection locked="0"/>
    </xf>
    <xf numFmtId="164" fontId="15" fillId="40" borderId="0" xfId="3" applyNumberFormat="1" applyFont="1" applyFill="1" applyBorder="1" applyAlignment="1" applyProtection="1">
      <alignment horizontal="right"/>
      <protection locked="0"/>
    </xf>
    <xf numFmtId="9" fontId="5" fillId="40" borderId="0" xfId="4" applyFont="1" applyFill="1" applyBorder="1" applyAlignment="1" applyProtection="1">
      <alignment horizontal="right"/>
      <protection locked="0"/>
    </xf>
    <xf numFmtId="164" fontId="5" fillId="40" borderId="0" xfId="3" applyNumberFormat="1" applyFont="1" applyFill="1" applyBorder="1" applyAlignment="1" applyProtection="1">
      <alignment horizontal="right"/>
      <protection locked="0"/>
    </xf>
    <xf numFmtId="164" fontId="5" fillId="0" borderId="3" xfId="3" applyNumberFormat="1" applyFont="1" applyFill="1" applyBorder="1" applyAlignment="1" applyProtection="1">
      <alignment horizontal="left"/>
      <protection locked="0"/>
    </xf>
    <xf numFmtId="0" fontId="15" fillId="39" borderId="3" xfId="3" applyFont="1" applyFill="1" applyBorder="1" applyAlignment="1" applyProtection="1">
      <alignment horizontal="right"/>
    </xf>
    <xf numFmtId="9" fontId="5" fillId="0" borderId="0" xfId="4" applyFont="1" applyFill="1" applyBorder="1" applyAlignment="1" applyProtection="1">
      <alignment horizontal="center"/>
      <protection locked="0"/>
    </xf>
    <xf numFmtId="0" fontId="5" fillId="0" borderId="0" xfId="2" applyFont="1" applyBorder="1"/>
    <xf numFmtId="0" fontId="5" fillId="0" borderId="5" xfId="3" applyFont="1" applyBorder="1" applyAlignment="1" applyProtection="1">
      <alignment horizontal="center"/>
      <protection locked="0"/>
    </xf>
    <xf numFmtId="0" fontId="7" fillId="0" borderId="5" xfId="3" applyFont="1" applyBorder="1" applyProtection="1">
      <protection locked="0"/>
    </xf>
    <xf numFmtId="0" fontId="7" fillId="0" borderId="0" xfId="0" applyFont="1" applyBorder="1" applyAlignment="1">
      <alignment horizontal="right"/>
    </xf>
    <xf numFmtId="0" fontId="7" fillId="8" borderId="0" xfId="0" applyFont="1" applyFill="1" applyBorder="1" applyAlignment="1">
      <alignment horizontal="center"/>
    </xf>
    <xf numFmtId="9" fontId="7" fillId="8" borderId="0" xfId="0" applyNumberFormat="1" applyFont="1" applyFill="1" applyBorder="1" applyAlignment="1">
      <alignment horizontal="center"/>
    </xf>
    <xf numFmtId="3" fontId="7" fillId="0" borderId="3" xfId="0" applyNumberFormat="1" applyFont="1" applyFill="1" applyBorder="1" applyAlignment="1">
      <alignment horizontal="right"/>
    </xf>
    <xf numFmtId="168" fontId="7" fillId="0" borderId="3" xfId="0" applyNumberFormat="1" applyFont="1" applyFill="1" applyBorder="1" applyAlignment="1" applyProtection="1">
      <alignment horizontal="right"/>
      <protection locked="0"/>
    </xf>
    <xf numFmtId="0" fontId="7" fillId="0" borderId="3" xfId="0" applyFont="1" applyBorder="1" applyAlignment="1">
      <alignment horizontal="right"/>
    </xf>
    <xf numFmtId="0" fontId="7" fillId="0" borderId="3" xfId="0" applyFont="1" applyFill="1" applyBorder="1" applyAlignment="1">
      <alignment horizontal="right"/>
    </xf>
    <xf numFmtId="0" fontId="7" fillId="0" borderId="9" xfId="0" applyFont="1" applyFill="1" applyBorder="1" applyAlignment="1">
      <alignment horizontal="right"/>
    </xf>
    <xf numFmtId="0" fontId="7" fillId="0" borderId="0" xfId="3" applyFont="1"/>
    <xf numFmtId="0" fontId="7" fillId="0" borderId="15" xfId="0" applyFont="1" applyBorder="1"/>
    <xf numFmtId="0" fontId="7" fillId="0" borderId="16" xfId="0" applyFont="1" applyBorder="1"/>
    <xf numFmtId="0" fontId="7" fillId="0" borderId="5" xfId="0" applyFont="1" applyFill="1" applyBorder="1"/>
    <xf numFmtId="0" fontId="7" fillId="0" borderId="5" xfId="3" applyFont="1" applyFill="1" applyBorder="1" applyAlignment="1" applyProtection="1">
      <alignment horizontal="right"/>
      <protection locked="0"/>
    </xf>
    <xf numFmtId="0" fontId="7" fillId="0" borderId="6" xfId="0" applyFont="1" applyBorder="1"/>
    <xf numFmtId="9" fontId="7" fillId="8" borderId="0" xfId="4" applyNumberFormat="1" applyFont="1" applyFill="1" applyBorder="1" applyAlignment="1">
      <alignment horizontal="center"/>
    </xf>
    <xf numFmtId="0" fontId="7" fillId="8" borderId="0" xfId="3" applyFont="1" applyFill="1" applyBorder="1" applyAlignment="1" applyProtection="1">
      <alignment horizontal="center"/>
      <protection locked="0"/>
    </xf>
    <xf numFmtId="0" fontId="6" fillId="0" borderId="0" xfId="3" applyFont="1" applyBorder="1" applyAlignment="1" applyProtection="1">
      <alignment horizontal="left"/>
      <protection locked="0"/>
    </xf>
    <xf numFmtId="9" fontId="7" fillId="8" borderId="0" xfId="3" applyNumberFormat="1" applyFont="1" applyFill="1" applyBorder="1" applyAlignment="1" applyProtection="1">
      <alignment horizontal="center"/>
      <protection locked="0"/>
    </xf>
    <xf numFmtId="3" fontId="7" fillId="8" borderId="0" xfId="3" applyNumberFormat="1" applyFont="1" applyFill="1" applyBorder="1" applyAlignment="1" applyProtection="1">
      <alignment horizontal="center"/>
      <protection locked="0"/>
    </xf>
    <xf numFmtId="3" fontId="7" fillId="9" borderId="0" xfId="3" applyNumberFormat="1" applyFont="1" applyFill="1" applyBorder="1" applyAlignment="1" applyProtection="1">
      <alignment horizontal="center"/>
    </xf>
    <xf numFmtId="9" fontId="7" fillId="0" borderId="0" xfId="4" applyNumberFormat="1" applyFont="1" applyFill="1" applyBorder="1" applyAlignment="1">
      <alignment horizontal="center"/>
    </xf>
    <xf numFmtId="9" fontId="7" fillId="0" borderId="0" xfId="0" applyNumberFormat="1" applyFont="1" applyBorder="1" applyAlignment="1">
      <alignment horizontal="center"/>
    </xf>
    <xf numFmtId="0" fontId="7" fillId="0" borderId="8" xfId="0" applyFont="1" applyBorder="1"/>
    <xf numFmtId="167" fontId="7" fillId="9" borderId="0" xfId="0" applyNumberFormat="1" applyFont="1" applyFill="1"/>
    <xf numFmtId="0" fontId="7" fillId="8" borderId="4" xfId="0" applyFont="1" applyFill="1" applyBorder="1" applyProtection="1">
      <protection locked="0"/>
    </xf>
    <xf numFmtId="166" fontId="7" fillId="11" borderId="5" xfId="0" applyNumberFormat="1" applyFont="1" applyFill="1" applyBorder="1"/>
    <xf numFmtId="166" fontId="7" fillId="8" borderId="5" xfId="0" applyNumberFormat="1" applyFont="1" applyFill="1" applyBorder="1" applyProtection="1">
      <protection locked="0"/>
    </xf>
    <xf numFmtId="166" fontId="7" fillId="8" borderId="6" xfId="0" applyNumberFormat="1" applyFont="1" applyFill="1" applyBorder="1" applyProtection="1">
      <protection locked="0"/>
    </xf>
    <xf numFmtId="0" fontId="7" fillId="8" borderId="3" xfId="0" applyFont="1" applyFill="1" applyBorder="1" applyProtection="1">
      <protection locked="0"/>
    </xf>
    <xf numFmtId="166" fontId="7" fillId="11" borderId="0" xfId="0" applyNumberFormat="1" applyFont="1" applyFill="1" applyBorder="1"/>
    <xf numFmtId="166" fontId="7" fillId="8" borderId="0" xfId="0" applyNumberFormat="1" applyFont="1" applyFill="1" applyBorder="1" applyProtection="1">
      <protection locked="0"/>
    </xf>
    <xf numFmtId="166" fontId="7" fillId="8" borderId="7" xfId="0" applyNumberFormat="1" applyFont="1" applyFill="1" applyBorder="1" applyProtection="1">
      <protection locked="0"/>
    </xf>
    <xf numFmtId="0" fontId="5" fillId="0" borderId="0" xfId="0" applyFont="1" applyFill="1" applyBorder="1" applyAlignment="1">
      <alignment horizontal="left"/>
    </xf>
    <xf numFmtId="0" fontId="7" fillId="8" borderId="9" xfId="0" applyFont="1" applyFill="1" applyBorder="1" applyProtection="1">
      <protection locked="0"/>
    </xf>
    <xf numFmtId="166" fontId="7" fillId="11" borderId="2" xfId="0" applyNumberFormat="1" applyFont="1" applyFill="1" applyBorder="1"/>
    <xf numFmtId="166" fontId="7" fillId="8" borderId="2" xfId="0" applyNumberFormat="1" applyFont="1" applyFill="1" applyBorder="1" applyProtection="1">
      <protection locked="0"/>
    </xf>
    <xf numFmtId="166" fontId="7" fillId="8" borderId="8" xfId="0" applyNumberFormat="1" applyFont="1" applyFill="1" applyBorder="1" applyProtection="1">
      <protection locked="0"/>
    </xf>
    <xf numFmtId="0" fontId="7" fillId="0" borderId="5" xfId="922" applyFont="1" applyFill="1" applyBorder="1">
      <alignment horizontal="center"/>
    </xf>
    <xf numFmtId="0" fontId="7" fillId="0" borderId="5" xfId="0" applyFont="1" applyBorder="1" applyAlignment="1">
      <alignment horizontal="center"/>
    </xf>
    <xf numFmtId="167" fontId="7" fillId="9" borderId="0" xfId="0" applyNumberFormat="1" applyFont="1" applyFill="1" applyBorder="1"/>
    <xf numFmtId="0" fontId="7" fillId="0" borderId="6" xfId="0" applyFont="1" applyBorder="1" applyAlignment="1">
      <alignment horizontal="center"/>
    </xf>
    <xf numFmtId="0" fontId="7" fillId="9" borderId="0" xfId="0" applyFont="1" applyFill="1" applyBorder="1"/>
    <xf numFmtId="3" fontId="7" fillId="8" borderId="7" xfId="0" applyNumberFormat="1" applyFont="1" applyFill="1" applyBorder="1" applyProtection="1">
      <protection locked="0"/>
    </xf>
    <xf numFmtId="0" fontId="7" fillId="0" borderId="6" xfId="2" applyFont="1" applyBorder="1"/>
    <xf numFmtId="0" fontId="7" fillId="7" borderId="9" xfId="2" applyFont="1" applyFill="1" applyBorder="1" applyAlignment="1">
      <alignment horizontal="center"/>
    </xf>
    <xf numFmtId="0" fontId="7" fillId="0" borderId="8" xfId="2" applyFont="1" applyBorder="1"/>
    <xf numFmtId="0" fontId="5" fillId="9" borderId="2" xfId="0" applyFont="1" applyFill="1" applyBorder="1"/>
    <xf numFmtId="2" fontId="7" fillId="0" borderId="2" xfId="0" applyNumberFormat="1" applyFont="1" applyFill="1" applyBorder="1"/>
    <xf numFmtId="0" fontId="7" fillId="0" borderId="2" xfId="0" applyFont="1" applyBorder="1" applyAlignment="1">
      <alignment horizontal="right"/>
    </xf>
    <xf numFmtId="167" fontId="7" fillId="9" borderId="2" xfId="0" applyNumberFormat="1" applyFont="1" applyFill="1" applyBorder="1"/>
    <xf numFmtId="2" fontId="7" fillId="0" borderId="0" xfId="922" applyNumberFormat="1" applyFont="1" applyFill="1" applyBorder="1">
      <alignment horizontal="center"/>
    </xf>
    <xf numFmtId="0" fontId="5" fillId="0" borderId="4" xfId="0" applyFont="1" applyFill="1" applyBorder="1"/>
    <xf numFmtId="0" fontId="7" fillId="0" borderId="6" xfId="0" applyFont="1" applyFill="1" applyBorder="1"/>
    <xf numFmtId="0" fontId="7" fillId="0" borderId="7" xfId="0" applyFont="1" applyFill="1" applyBorder="1"/>
    <xf numFmtId="0" fontId="7" fillId="8" borderId="0" xfId="0" applyFont="1" applyFill="1" applyBorder="1" applyProtection="1">
      <protection locked="0"/>
    </xf>
    <xf numFmtId="0" fontId="7" fillId="11" borderId="7" xfId="0" applyFont="1" applyFill="1" applyBorder="1"/>
    <xf numFmtId="0" fontId="7" fillId="11" borderId="2" xfId="0" applyFont="1" applyFill="1" applyBorder="1"/>
    <xf numFmtId="0" fontId="7" fillId="0" borderId="8" xfId="0" applyFont="1" applyFill="1" applyBorder="1"/>
    <xf numFmtId="0" fontId="5" fillId="0" borderId="3" xfId="0" applyFont="1" applyFill="1" applyBorder="1"/>
    <xf numFmtId="0" fontId="5" fillId="0" borderId="15" xfId="0" applyFont="1" applyFill="1" applyBorder="1" applyAlignment="1">
      <alignment horizontal="center"/>
    </xf>
    <xf numFmtId="0" fontId="7" fillId="0" borderId="3" xfId="0" applyFont="1" applyFill="1" applyBorder="1" applyAlignment="1">
      <alignment horizontal="left"/>
    </xf>
    <xf numFmtId="172" fontId="7" fillId="0" borderId="0" xfId="0" applyNumberFormat="1" applyFont="1" applyBorder="1"/>
    <xf numFmtId="0" fontId="5" fillId="0" borderId="3" xfId="0" applyFont="1" applyBorder="1" applyAlignment="1">
      <alignment horizontal="right"/>
    </xf>
    <xf numFmtId="0" fontId="7" fillId="10" borderId="0" xfId="0" applyNumberFormat="1" applyFont="1" applyFill="1" applyBorder="1" applyAlignment="1">
      <alignment horizontal="center"/>
    </xf>
    <xf numFmtId="0" fontId="7" fillId="0" borderId="9" xfId="3" applyFont="1" applyFill="1" applyBorder="1" applyAlignment="1" applyProtection="1">
      <alignment horizontal="left"/>
      <protection locked="0"/>
    </xf>
    <xf numFmtId="0" fontId="7" fillId="10" borderId="2" xfId="0" applyFont="1" applyFill="1" applyBorder="1" applyAlignment="1">
      <alignment horizontal="center"/>
    </xf>
    <xf numFmtId="2" fontId="7" fillId="10" borderId="0" xfId="0" applyNumberFormat="1" applyFont="1" applyFill="1" applyBorder="1" applyAlignment="1">
      <alignment horizontal="center"/>
    </xf>
    <xf numFmtId="2" fontId="7" fillId="0" borderId="0" xfId="0" applyNumberFormat="1" applyFont="1" applyBorder="1" applyAlignment="1">
      <alignment horizontal="center"/>
    </xf>
    <xf numFmtId="0" fontId="71" fillId="40" borderId="0" xfId="3" applyFont="1" applyFill="1" applyProtection="1">
      <protection locked="0"/>
    </xf>
    <xf numFmtId="10" fontId="15" fillId="5" borderId="3" xfId="0" applyNumberFormat="1" applyFont="1" applyFill="1" applyBorder="1" applyAlignment="1" applyProtection="1">
      <alignment horizontal="center"/>
    </xf>
    <xf numFmtId="10" fontId="15" fillId="5" borderId="7" xfId="0" applyNumberFormat="1" applyFont="1" applyFill="1" applyBorder="1" applyAlignment="1" applyProtection="1">
      <alignment horizontal="center"/>
    </xf>
    <xf numFmtId="165" fontId="15" fillId="0" borderId="3" xfId="0" applyNumberFormat="1" applyFont="1" applyFill="1" applyBorder="1" applyAlignment="1" applyProtection="1">
      <alignment horizontal="center"/>
    </xf>
    <xf numFmtId="165" fontId="15" fillId="0" borderId="7" xfId="0" applyNumberFormat="1" applyFont="1" applyFill="1" applyBorder="1" applyAlignment="1" applyProtection="1">
      <alignment horizontal="center"/>
    </xf>
    <xf numFmtId="166" fontId="15" fillId="11" borderId="3" xfId="0" applyNumberFormat="1" applyFont="1" applyFill="1" applyBorder="1" applyProtection="1"/>
    <xf numFmtId="166" fontId="15" fillId="11" borderId="7" xfId="0" applyNumberFormat="1" applyFont="1" applyFill="1" applyBorder="1" applyProtection="1"/>
    <xf numFmtId="0" fontId="15" fillId="0" borderId="9" xfId="0" applyFont="1" applyBorder="1" applyProtection="1"/>
    <xf numFmtId="0" fontId="15" fillId="0" borderId="2" xfId="0" applyFont="1" applyBorder="1" applyProtection="1"/>
    <xf numFmtId="0" fontId="15" fillId="0" borderId="8" xfId="0" applyFont="1" applyBorder="1" applyProtection="1"/>
    <xf numFmtId="165" fontId="15" fillId="6" borderId="3" xfId="0" applyNumberFormat="1" applyFont="1" applyFill="1" applyBorder="1" applyAlignment="1" applyProtection="1">
      <alignment horizontal="center"/>
    </xf>
    <xf numFmtId="165" fontId="15" fillId="9" borderId="7" xfId="4" applyNumberFormat="1" applyFont="1" applyFill="1" applyBorder="1" applyAlignment="1" applyProtection="1">
      <alignment horizontal="center"/>
    </xf>
    <xf numFmtId="165" fontId="15" fillId="6" borderId="7" xfId="0" applyNumberFormat="1" applyFont="1" applyFill="1" applyBorder="1" applyAlignment="1" applyProtection="1">
      <alignment horizontal="center"/>
    </xf>
    <xf numFmtId="165" fontId="15" fillId="0" borderId="7" xfId="0" applyNumberFormat="1" applyFont="1" applyBorder="1" applyProtection="1"/>
    <xf numFmtId="165" fontId="15" fillId="9" borderId="7" xfId="4" applyNumberFormat="1" applyFont="1" applyFill="1" applyBorder="1" applyProtection="1"/>
    <xf numFmtId="165" fontId="15" fillId="0" borderId="9" xfId="0" applyNumberFormat="1" applyFont="1" applyFill="1" applyBorder="1" applyAlignment="1" applyProtection="1">
      <alignment horizontal="center"/>
    </xf>
    <xf numFmtId="165" fontId="15" fillId="0" borderId="2" xfId="0" applyNumberFormat="1" applyFont="1" applyFill="1" applyBorder="1" applyAlignment="1" applyProtection="1">
      <alignment horizontal="center"/>
    </xf>
    <xf numFmtId="165" fontId="15" fillId="0" borderId="3" xfId="0" applyNumberFormat="1" applyFont="1" applyBorder="1" applyProtection="1"/>
    <xf numFmtId="3" fontId="7" fillId="9" borderId="4" xfId="0" applyNumberFormat="1" applyFont="1" applyFill="1" applyBorder="1" applyAlignment="1">
      <alignment horizontal="center"/>
    </xf>
    <xf numFmtId="3" fontId="7" fillId="9" borderId="5" xfId="0" applyNumberFormat="1" applyFont="1" applyFill="1" applyBorder="1" applyAlignment="1">
      <alignment horizontal="center"/>
    </xf>
    <xf numFmtId="3" fontId="7" fillId="9" borderId="6" xfId="0" applyNumberFormat="1" applyFont="1" applyFill="1" applyBorder="1" applyAlignment="1">
      <alignment horizontal="center"/>
    </xf>
    <xf numFmtId="3" fontId="7" fillId="9" borderId="3" xfId="0" applyNumberFormat="1" applyFont="1" applyFill="1" applyBorder="1" applyAlignment="1">
      <alignment horizontal="center"/>
    </xf>
    <xf numFmtId="3" fontId="7" fillId="9" borderId="0" xfId="0" applyNumberFormat="1" applyFont="1" applyFill="1" applyBorder="1" applyAlignment="1">
      <alignment horizontal="center"/>
    </xf>
    <xf numFmtId="3" fontId="7" fillId="9" borderId="7" xfId="0" applyNumberFormat="1" applyFont="1" applyFill="1" applyBorder="1" applyAlignment="1">
      <alignment horizontal="center"/>
    </xf>
    <xf numFmtId="3" fontId="7" fillId="9" borderId="9" xfId="0" applyNumberFormat="1" applyFont="1" applyFill="1" applyBorder="1" applyAlignment="1">
      <alignment horizontal="center"/>
    </xf>
    <xf numFmtId="3" fontId="7" fillId="9" borderId="2" xfId="0" applyNumberFormat="1" applyFont="1" applyFill="1" applyBorder="1" applyAlignment="1">
      <alignment horizontal="center"/>
    </xf>
    <xf numFmtId="3" fontId="7" fillId="9" borderId="8" xfId="0" applyNumberFormat="1" applyFont="1" applyFill="1" applyBorder="1" applyAlignment="1">
      <alignment horizontal="center"/>
    </xf>
    <xf numFmtId="2" fontId="7" fillId="4" borderId="6" xfId="2" applyNumberFormat="1" applyFill="1" applyBorder="1" applyAlignment="1">
      <alignment horizontal="right"/>
    </xf>
    <xf numFmtId="2" fontId="7" fillId="4" borderId="7" xfId="2" applyNumberFormat="1" applyFill="1" applyBorder="1" applyAlignment="1">
      <alignment horizontal="right"/>
    </xf>
    <xf numFmtId="2" fontId="7" fillId="4" borderId="8" xfId="2" applyNumberFormat="1" applyFill="1" applyBorder="1" applyAlignment="1">
      <alignment horizontal="right"/>
    </xf>
    <xf numFmtId="2" fontId="7" fillId="4" borderId="6" xfId="2" applyNumberFormat="1" applyFill="1" applyBorder="1"/>
    <xf numFmtId="2" fontId="7" fillId="4" borderId="7" xfId="2" applyNumberFormat="1" applyFill="1" applyBorder="1"/>
    <xf numFmtId="2" fontId="7" fillId="4" borderId="8" xfId="2" applyNumberFormat="1" applyFill="1" applyBorder="1"/>
    <xf numFmtId="0" fontId="78" fillId="0" borderId="23" xfId="0" applyFont="1" applyFill="1" applyBorder="1"/>
    <xf numFmtId="0" fontId="83" fillId="0" borderId="0" xfId="0" applyFont="1" applyFill="1" applyBorder="1" applyAlignment="1">
      <alignment horizontal="center"/>
    </xf>
    <xf numFmtId="0" fontId="83" fillId="0" borderId="22" xfId="0" applyFont="1" applyFill="1" applyBorder="1" applyAlignment="1">
      <alignment horizontal="center"/>
    </xf>
    <xf numFmtId="0" fontId="84" fillId="0" borderId="0" xfId="0" applyFont="1" applyFill="1" applyBorder="1"/>
    <xf numFmtId="0" fontId="84" fillId="0" borderId="0" xfId="3" applyFont="1" applyFill="1" applyBorder="1" applyAlignment="1" applyProtection="1">
      <alignment horizontal="center"/>
      <protection locked="0"/>
    </xf>
    <xf numFmtId="0" fontId="84" fillId="0" borderId="0" xfId="0" applyFont="1" applyFill="1" applyBorder="1" applyAlignment="1">
      <alignment horizontal="center"/>
    </xf>
    <xf numFmtId="0" fontId="84" fillId="0" borderId="22" xfId="3" applyFont="1" applyFill="1" applyBorder="1" applyAlignment="1" applyProtection="1">
      <alignment horizontal="center"/>
      <protection locked="0"/>
    </xf>
    <xf numFmtId="3" fontId="84" fillId="0" borderId="0" xfId="0" applyNumberFormat="1" applyFont="1" applyFill="1" applyBorder="1" applyAlignment="1">
      <alignment horizontal="right"/>
    </xf>
    <xf numFmtId="3" fontId="84" fillId="0" borderId="22" xfId="0" applyNumberFormat="1" applyFont="1" applyFill="1" applyBorder="1" applyAlignment="1">
      <alignment horizontal="right"/>
    </xf>
    <xf numFmtId="0" fontId="82" fillId="0" borderId="0" xfId="3" applyFont="1" applyFill="1" applyBorder="1" applyAlignment="1" applyProtection="1">
      <alignment horizontal="center"/>
      <protection locked="0"/>
    </xf>
    <xf numFmtId="0" fontId="84" fillId="0" borderId="22" xfId="0" applyFont="1" applyFill="1" applyBorder="1"/>
    <xf numFmtId="0" fontId="84" fillId="0" borderId="0" xfId="3" applyFont="1" applyBorder="1" applyProtection="1">
      <protection locked="0"/>
    </xf>
    <xf numFmtId="0" fontId="84" fillId="0" borderId="22" xfId="3" applyFont="1" applyBorder="1" applyProtection="1">
      <protection locked="0"/>
    </xf>
    <xf numFmtId="0" fontId="84" fillId="0" borderId="0" xfId="3" applyFont="1" applyBorder="1" applyAlignment="1" applyProtection="1">
      <alignment horizontal="left"/>
      <protection locked="0"/>
    </xf>
    <xf numFmtId="0" fontId="84" fillId="0" borderId="22" xfId="3" applyFont="1" applyBorder="1" applyAlignment="1" applyProtection="1">
      <alignment horizontal="left"/>
      <protection locked="0"/>
    </xf>
    <xf numFmtId="0" fontId="82" fillId="0" borderId="0" xfId="3" applyFont="1" applyFill="1" applyBorder="1" applyAlignment="1" applyProtection="1">
      <alignment horizontal="right"/>
      <protection locked="0"/>
    </xf>
    <xf numFmtId="0" fontId="84" fillId="0" borderId="22" xfId="0" applyFont="1" applyFill="1" applyBorder="1" applyAlignment="1">
      <alignment horizontal="center"/>
    </xf>
    <xf numFmtId="2" fontId="84" fillId="0" borderId="0" xfId="0" applyNumberFormat="1" applyFont="1" applyFill="1" applyBorder="1"/>
    <xf numFmtId="2" fontId="84" fillId="0" borderId="22" xfId="0" applyNumberFormat="1" applyFont="1" applyFill="1" applyBorder="1"/>
    <xf numFmtId="0" fontId="85" fillId="0" borderId="0" xfId="0" applyFont="1" applyFill="1"/>
    <xf numFmtId="9" fontId="7" fillId="8" borderId="3" xfId="4" applyFont="1" applyFill="1" applyBorder="1" applyAlignment="1" applyProtection="1">
      <alignment horizontal="center"/>
      <protection locked="0"/>
    </xf>
    <xf numFmtId="9" fontId="7" fillId="8" borderId="7" xfId="4" applyFont="1" applyFill="1" applyBorder="1" applyAlignment="1" applyProtection="1">
      <alignment horizontal="center"/>
      <protection locked="0"/>
    </xf>
    <xf numFmtId="166" fontId="15" fillId="4" borderId="0" xfId="1" applyNumberFormat="1" applyFont="1" applyFill="1" applyBorder="1" applyAlignment="1" applyProtection="1">
      <alignment horizontal="center"/>
      <protection locked="0"/>
    </xf>
    <xf numFmtId="0" fontId="15" fillId="0" borderId="5" xfId="0" applyFont="1" applyBorder="1" applyAlignment="1" applyProtection="1">
      <alignment horizontal="center"/>
    </xf>
    <xf numFmtId="166" fontId="7" fillId="4" borderId="0" xfId="1" applyNumberFormat="1" applyFont="1" applyFill="1" applyBorder="1" applyAlignment="1" applyProtection="1">
      <alignment horizontal="center"/>
      <protection locked="0"/>
    </xf>
    <xf numFmtId="166" fontId="15" fillId="4" borderId="2" xfId="1" applyNumberFormat="1" applyFont="1" applyFill="1" applyBorder="1" applyAlignment="1" applyProtection="1">
      <alignment horizontal="center"/>
      <protection locked="0"/>
    </xf>
    <xf numFmtId="167" fontId="7" fillId="0" borderId="0" xfId="0" applyNumberFormat="1" applyFont="1"/>
    <xf numFmtId="2" fontId="7" fillId="9" borderId="0" xfId="0" applyNumberFormat="1" applyFont="1" applyFill="1" applyBorder="1"/>
    <xf numFmtId="0" fontId="5" fillId="0" borderId="9" xfId="0" applyFont="1" applyBorder="1"/>
    <xf numFmtId="171" fontId="7" fillId="0" borderId="2" xfId="0" applyNumberFormat="1" applyFont="1" applyFill="1" applyBorder="1" applyAlignment="1">
      <alignment horizontal="center"/>
    </xf>
    <xf numFmtId="171" fontId="7" fillId="0" borderId="2" xfId="0" applyNumberFormat="1" applyFont="1" applyBorder="1" applyAlignment="1">
      <alignment horizontal="center"/>
    </xf>
    <xf numFmtId="3" fontId="5" fillId="0" borderId="2" xfId="0" applyNumberFormat="1" applyFont="1" applyBorder="1"/>
    <xf numFmtId="3" fontId="5" fillId="0" borderId="8" xfId="0" applyNumberFormat="1" applyFont="1" applyBorder="1"/>
    <xf numFmtId="1" fontId="5" fillId="0" borderId="2" xfId="0" applyNumberFormat="1" applyFont="1" applyBorder="1"/>
    <xf numFmtId="0" fontId="5" fillId="0" borderId="9" xfId="0" applyFont="1" applyFill="1" applyBorder="1"/>
    <xf numFmtId="0" fontId="7" fillId="0" borderId="2" xfId="0" applyFont="1" applyFill="1" applyBorder="1"/>
    <xf numFmtId="0" fontId="7" fillId="0" borderId="2" xfId="0" applyFont="1" applyBorder="1" applyAlignment="1">
      <alignment horizontal="center"/>
    </xf>
    <xf numFmtId="3" fontId="7" fillId="0" borderId="0" xfId="3" applyNumberFormat="1" applyFont="1" applyFill="1" applyBorder="1" applyProtection="1"/>
    <xf numFmtId="171" fontId="7" fillId="0" borderId="0" xfId="0" applyNumberFormat="1" applyFont="1"/>
    <xf numFmtId="0" fontId="7" fillId="43" borderId="0" xfId="0" applyFont="1" applyFill="1"/>
    <xf numFmtId="2" fontId="7" fillId="0" borderId="0" xfId="0" applyNumberFormat="1" applyFont="1" applyAlignment="1">
      <alignment horizontal="center"/>
    </xf>
    <xf numFmtId="2" fontId="7" fillId="8" borderId="5" xfId="0" applyNumberFormat="1" applyFont="1" applyFill="1" applyBorder="1" applyAlignment="1">
      <alignment horizontal="center"/>
    </xf>
    <xf numFmtId="2" fontId="7" fillId="8" borderId="0" xfId="0" applyNumberFormat="1" applyFont="1" applyFill="1" applyBorder="1" applyAlignment="1">
      <alignment horizontal="center"/>
    </xf>
    <xf numFmtId="2" fontId="7" fillId="11" borderId="0" xfId="0" applyNumberFormat="1" applyFont="1" applyFill="1" applyBorder="1" applyAlignment="1">
      <alignment horizontal="center"/>
    </xf>
    <xf numFmtId="2" fontId="7" fillId="0" borderId="2" xfId="0" applyNumberFormat="1" applyFont="1" applyFill="1" applyBorder="1" applyAlignment="1">
      <alignment horizontal="center"/>
    </xf>
    <xf numFmtId="2" fontId="7" fillId="0" borderId="2" xfId="0" applyNumberFormat="1" applyFont="1" applyBorder="1" applyAlignment="1">
      <alignment horizontal="center"/>
    </xf>
    <xf numFmtId="2" fontId="7" fillId="11" borderId="5" xfId="0" applyNumberFormat="1" applyFont="1" applyFill="1" applyBorder="1" applyAlignment="1">
      <alignment horizontal="center"/>
    </xf>
    <xf numFmtId="2" fontId="7" fillId="0" borderId="2" xfId="0" applyNumberFormat="1" applyFont="1" applyBorder="1"/>
    <xf numFmtId="0" fontId="5" fillId="0" borderId="0" xfId="3" applyFont="1" applyBorder="1" applyAlignment="1" applyProtection="1">
      <alignment horizontal="center"/>
      <protection locked="0"/>
    </xf>
    <xf numFmtId="0" fontId="5" fillId="40" borderId="0" xfId="3" applyFont="1" applyFill="1" applyBorder="1" applyAlignment="1" applyProtection="1">
      <alignment horizontal="center"/>
      <protection locked="0"/>
    </xf>
    <xf numFmtId="0" fontId="15" fillId="0" borderId="0" xfId="3" applyFont="1" applyBorder="1" applyAlignment="1">
      <alignment horizontal="right"/>
    </xf>
    <xf numFmtId="0" fontId="7" fillId="0" borderId="0" xfId="3" applyFont="1" applyBorder="1" applyAlignment="1">
      <alignment horizontal="right"/>
    </xf>
    <xf numFmtId="0" fontId="7" fillId="0" borderId="0" xfId="3" applyFont="1" applyBorder="1" applyAlignment="1" applyProtection="1">
      <alignment horizontal="right"/>
      <protection locked="0"/>
    </xf>
    <xf numFmtId="0" fontId="5" fillId="0" borderId="0" xfId="3" applyFont="1" applyBorder="1" applyAlignment="1" applyProtection="1">
      <alignment horizontal="right"/>
      <protection locked="0"/>
    </xf>
    <xf numFmtId="0" fontId="5" fillId="0" borderId="0" xfId="3" applyFont="1" applyFill="1" applyBorder="1" applyAlignment="1" applyProtection="1">
      <alignment horizontal="right"/>
      <protection locked="0"/>
    </xf>
    <xf numFmtId="0" fontId="15" fillId="0" borderId="4" xfId="3" applyFont="1" applyBorder="1" applyProtection="1">
      <protection locked="0"/>
    </xf>
    <xf numFmtId="1" fontId="7" fillId="0" borderId="3" xfId="3" applyNumberFormat="1" applyFont="1" applyFill="1" applyBorder="1" applyAlignment="1" applyProtection="1">
      <alignment horizontal="right"/>
    </xf>
    <xf numFmtId="164" fontId="5" fillId="0" borderId="0" xfId="3" applyNumberFormat="1" applyFont="1" applyFill="1" applyBorder="1" applyAlignment="1" applyProtection="1">
      <alignment horizontal="left"/>
      <protection locked="0"/>
    </xf>
    <xf numFmtId="0" fontId="5" fillId="0" borderId="5" xfId="3" applyFont="1" applyFill="1" applyBorder="1" applyAlignment="1" applyProtection="1">
      <protection locked="0"/>
    </xf>
    <xf numFmtId="3" fontId="16" fillId="0" borderId="0" xfId="3" applyNumberFormat="1" applyFont="1" applyFill="1" applyBorder="1" applyAlignment="1" applyProtection="1">
      <protection locked="0"/>
    </xf>
    <xf numFmtId="0" fontId="5" fillId="0" borderId="3" xfId="3" applyFont="1" applyFill="1" applyBorder="1" applyAlignment="1" applyProtection="1">
      <alignment horizontal="left"/>
      <protection locked="0"/>
    </xf>
    <xf numFmtId="0" fontId="16" fillId="0" borderId="0" xfId="3" applyFont="1" applyFill="1" applyBorder="1" applyAlignment="1" applyProtection="1">
      <alignment horizontal="left"/>
    </xf>
    <xf numFmtId="0" fontId="19" fillId="0" borderId="0" xfId="3" applyFont="1" applyFill="1" applyBorder="1" applyProtection="1">
      <protection locked="0"/>
    </xf>
    <xf numFmtId="0" fontId="17" fillId="0" borderId="0" xfId="3" applyFont="1" applyFill="1" applyBorder="1" applyAlignment="1" applyProtection="1">
      <alignment horizontal="center"/>
      <protection locked="0"/>
    </xf>
    <xf numFmtId="0" fontId="4" fillId="0" borderId="0" xfId="0" applyFont="1" applyFill="1" applyBorder="1" applyAlignment="1">
      <alignment horizontal="center"/>
    </xf>
    <xf numFmtId="0" fontId="16" fillId="0" borderId="0" xfId="3" applyFont="1" applyBorder="1" applyProtection="1">
      <protection locked="0"/>
    </xf>
    <xf numFmtId="1" fontId="16" fillId="0" borderId="0" xfId="3" applyNumberFormat="1" applyFont="1" applyFill="1" applyBorder="1" applyAlignment="1" applyProtection="1">
      <alignment horizontal="left"/>
      <protection locked="0"/>
    </xf>
    <xf numFmtId="0" fontId="15" fillId="0" borderId="0" xfId="3" applyNumberFormat="1" applyFont="1" applyFill="1" applyBorder="1" applyAlignment="1" applyProtection="1">
      <alignment horizontal="center"/>
      <protection locked="0"/>
    </xf>
    <xf numFmtId="0" fontId="5" fillId="40" borderId="7" xfId="3" applyFont="1" applyFill="1" applyBorder="1" applyProtection="1">
      <protection locked="0"/>
    </xf>
    <xf numFmtId="0" fontId="15" fillId="0" borderId="3" xfId="3" applyFont="1" applyFill="1" applyBorder="1" applyAlignment="1" applyProtection="1">
      <alignment horizontal="left"/>
      <protection locked="0"/>
    </xf>
    <xf numFmtId="0" fontId="7" fillId="0" borderId="3" xfId="3" applyFont="1" applyFill="1" applyBorder="1" applyAlignment="1" applyProtection="1">
      <alignment horizontal="left"/>
      <protection locked="0"/>
    </xf>
    <xf numFmtId="0" fontId="15" fillId="40" borderId="2" xfId="3" applyFont="1" applyFill="1" applyBorder="1" applyProtection="1">
      <protection locked="0"/>
    </xf>
    <xf numFmtId="3" fontId="16" fillId="0" borderId="2" xfId="3" applyNumberFormat="1" applyFont="1" applyFill="1" applyBorder="1" applyAlignment="1" applyProtection="1">
      <protection locked="0"/>
    </xf>
    <xf numFmtId="3" fontId="15" fillId="0" borderId="2" xfId="3" applyNumberFormat="1" applyFont="1" applyFill="1" applyBorder="1" applyAlignment="1" applyProtection="1">
      <alignment horizontal="center"/>
    </xf>
    <xf numFmtId="0" fontId="15" fillId="40" borderId="8" xfId="3" applyFont="1" applyFill="1" applyBorder="1" applyProtection="1">
      <protection locked="0"/>
    </xf>
    <xf numFmtId="0" fontId="15" fillId="0" borderId="4" xfId="3" applyFont="1" applyFill="1" applyBorder="1" applyProtection="1">
      <protection locked="0"/>
    </xf>
    <xf numFmtId="0" fontId="7" fillId="0" borderId="3" xfId="3" applyFont="1" applyBorder="1" applyAlignment="1" applyProtection="1">
      <alignment horizontal="left"/>
      <protection locked="0"/>
    </xf>
    <xf numFmtId="0" fontId="5" fillId="0" borderId="7" xfId="3" applyFont="1" applyFill="1" applyBorder="1" applyAlignment="1" applyProtection="1">
      <alignment horizontal="center"/>
      <protection locked="0"/>
    </xf>
    <xf numFmtId="9" fontId="15" fillId="0" borderId="7" xfId="4" applyFont="1" applyFill="1" applyBorder="1" applyAlignment="1" applyProtection="1">
      <alignment horizontal="right"/>
    </xf>
    <xf numFmtId="0" fontId="15" fillId="39" borderId="3" xfId="3" applyFont="1" applyFill="1" applyBorder="1" applyAlignment="1" applyProtection="1">
      <alignment horizontal="right"/>
      <protection locked="0"/>
    </xf>
    <xf numFmtId="0" fontId="15" fillId="42" borderId="3" xfId="3" applyFont="1" applyFill="1" applyBorder="1" applyProtection="1">
      <protection locked="0"/>
    </xf>
    <xf numFmtId="0" fontId="5" fillId="0" borderId="3" xfId="3" applyFont="1" applyFill="1" applyBorder="1" applyProtection="1"/>
    <xf numFmtId="0" fontId="15" fillId="0" borderId="7" xfId="3" applyFont="1" applyBorder="1" applyProtection="1">
      <protection locked="0"/>
    </xf>
    <xf numFmtId="9" fontId="15" fillId="0" borderId="7" xfId="4" applyFont="1" applyFill="1" applyBorder="1" applyProtection="1"/>
    <xf numFmtId="9" fontId="5" fillId="0" borderId="7" xfId="4" applyFont="1" applyFill="1" applyBorder="1" applyAlignment="1" applyProtection="1">
      <alignment horizontal="right"/>
    </xf>
    <xf numFmtId="0" fontId="7" fillId="0" borderId="2" xfId="3" applyFont="1" applyBorder="1" applyProtection="1">
      <protection locked="0"/>
    </xf>
    <xf numFmtId="164" fontId="5" fillId="0" borderId="2" xfId="3" applyNumberFormat="1" applyFont="1" applyBorder="1" applyAlignment="1" applyProtection="1">
      <alignment horizontal="right"/>
    </xf>
    <xf numFmtId="9" fontId="5" fillId="0" borderId="2" xfId="3" applyNumberFormat="1" applyFont="1" applyBorder="1" applyAlignment="1" applyProtection="1">
      <alignment horizontal="right"/>
    </xf>
    <xf numFmtId="9" fontId="5" fillId="0" borderId="8" xfId="3" applyNumberFormat="1" applyFont="1" applyFill="1" applyBorder="1" applyAlignment="1" applyProtection="1">
      <alignment horizontal="right"/>
    </xf>
    <xf numFmtId="0" fontId="16" fillId="0" borderId="7" xfId="3" applyFont="1" applyBorder="1" applyAlignment="1" applyProtection="1">
      <alignment horizontal="left"/>
      <protection locked="0"/>
    </xf>
    <xf numFmtId="0" fontId="5" fillId="0" borderId="7" xfId="3" applyFont="1" applyBorder="1" applyAlignment="1" applyProtection="1">
      <alignment horizontal="center"/>
      <protection locked="0"/>
    </xf>
    <xf numFmtId="0" fontId="16" fillId="0" borderId="7" xfId="3" applyFont="1" applyFill="1" applyBorder="1" applyAlignment="1" applyProtection="1">
      <alignment horizontal="center"/>
    </xf>
    <xf numFmtId="164" fontId="15" fillId="5" borderId="7" xfId="3" applyNumberFormat="1" applyFont="1" applyFill="1" applyBorder="1" applyAlignment="1" applyProtection="1">
      <alignment horizontal="right"/>
    </xf>
    <xf numFmtId="164" fontId="5" fillId="0" borderId="7" xfId="3" applyNumberFormat="1" applyFont="1" applyFill="1" applyBorder="1" applyAlignment="1" applyProtection="1">
      <alignment horizontal="right"/>
    </xf>
    <xf numFmtId="9" fontId="15" fillId="3" borderId="9" xfId="4" applyFont="1" applyFill="1" applyBorder="1" applyAlignment="1" applyProtection="1">
      <alignment vertical="center"/>
      <protection locked="0"/>
    </xf>
    <xf numFmtId="0" fontId="7" fillId="0" borderId="2" xfId="3" applyFont="1" applyBorder="1" applyAlignment="1" applyProtection="1">
      <alignment horizontal="left"/>
      <protection locked="0"/>
    </xf>
    <xf numFmtId="164" fontId="5" fillId="5" borderId="2" xfId="3" applyNumberFormat="1" applyFont="1" applyFill="1" applyBorder="1" applyAlignment="1" applyProtection="1">
      <alignment horizontal="right"/>
    </xf>
    <xf numFmtId="0" fontId="19" fillId="0" borderId="2" xfId="3" applyFont="1" applyBorder="1" applyProtection="1"/>
    <xf numFmtId="0" fontId="5" fillId="0" borderId="2" xfId="3" applyFont="1" applyFill="1" applyBorder="1" applyAlignment="1" applyProtection="1">
      <alignment horizontal="right"/>
    </xf>
    <xf numFmtId="0" fontId="19" fillId="0" borderId="8" xfId="3" applyFont="1" applyBorder="1" applyProtection="1"/>
    <xf numFmtId="164" fontId="15" fillId="0" borderId="0" xfId="3" applyNumberFormat="1" applyFont="1" applyFill="1" applyBorder="1" applyAlignment="1" applyProtection="1">
      <alignment horizontal="right"/>
    </xf>
    <xf numFmtId="0" fontId="15" fillId="0" borderId="8" xfId="3" applyFont="1" applyBorder="1" applyProtection="1">
      <protection locked="0"/>
    </xf>
    <xf numFmtId="0" fontId="5" fillId="0" borderId="3" xfId="3" applyFont="1" applyBorder="1" applyProtection="1">
      <protection locked="0"/>
    </xf>
    <xf numFmtId="0" fontId="11" fillId="3" borderId="64" xfId="3" applyFont="1" applyFill="1" applyBorder="1" applyAlignment="1" applyProtection="1">
      <alignment horizontal="center"/>
      <protection locked="0"/>
    </xf>
    <xf numFmtId="0" fontId="11" fillId="4" borderId="65" xfId="3" applyFont="1" applyFill="1" applyBorder="1" applyAlignment="1" applyProtection="1">
      <alignment horizontal="center"/>
      <protection locked="0"/>
    </xf>
    <xf numFmtId="0" fontId="11" fillId="5" borderId="65" xfId="3" applyFont="1" applyFill="1" applyBorder="1" applyAlignment="1" applyProtection="1">
      <alignment horizontal="center"/>
      <protection locked="0"/>
    </xf>
    <xf numFmtId="0" fontId="11" fillId="6" borderId="65" xfId="3" applyFont="1" applyFill="1" applyBorder="1" applyAlignment="1" applyProtection="1">
      <alignment horizontal="center"/>
      <protection locked="0"/>
    </xf>
    <xf numFmtId="0" fontId="11" fillId="7" borderId="65" xfId="3" applyFont="1" applyFill="1" applyBorder="1" applyAlignment="1" applyProtection="1">
      <alignment horizontal="right"/>
      <protection locked="0"/>
    </xf>
    <xf numFmtId="0" fontId="11" fillId="2" borderId="66" xfId="3" applyFont="1" applyFill="1" applyBorder="1" applyAlignment="1" applyProtection="1">
      <alignment horizontal="right"/>
      <protection locked="0"/>
    </xf>
    <xf numFmtId="0" fontId="4" fillId="0" borderId="2" xfId="0" applyFont="1" applyFill="1" applyBorder="1" applyAlignment="1">
      <alignment horizontal="center"/>
    </xf>
    <xf numFmtId="0" fontId="19" fillId="0" borderId="0" xfId="3" applyFont="1" applyFill="1" applyBorder="1" applyProtection="1"/>
    <xf numFmtId="0" fontId="6" fillId="8" borderId="0" xfId="0" applyFont="1" applyFill="1" applyBorder="1" applyAlignment="1">
      <alignment horizontal="center"/>
    </xf>
    <xf numFmtId="0" fontId="16" fillId="3" borderId="0" xfId="3" applyFont="1" applyFill="1" applyBorder="1" applyAlignment="1" applyProtection="1">
      <alignment horizontal="center"/>
      <protection locked="0"/>
    </xf>
    <xf numFmtId="166" fontId="7" fillId="11" borderId="5" xfId="0" applyNumberFormat="1" applyFont="1" applyFill="1" applyBorder="1" applyAlignment="1">
      <alignment horizontal="center"/>
    </xf>
    <xf numFmtId="2" fontId="7" fillId="4" borderId="0" xfId="2" applyNumberFormat="1" applyFill="1" applyBorder="1" applyAlignment="1">
      <alignment horizontal="right"/>
    </xf>
    <xf numFmtId="2" fontId="7" fillId="4" borderId="32" xfId="2" applyNumberFormat="1" applyFill="1" applyBorder="1" applyAlignment="1">
      <alignment horizontal="right"/>
    </xf>
    <xf numFmtId="2" fontId="7" fillId="4" borderId="33" xfId="2" applyNumberFormat="1" applyFill="1" applyBorder="1" applyAlignment="1">
      <alignment horizontal="right"/>
    </xf>
    <xf numFmtId="2" fontId="7" fillId="4" borderId="35" xfId="2" applyNumberFormat="1" applyFill="1" applyBorder="1" applyAlignment="1">
      <alignment horizontal="right"/>
    </xf>
    <xf numFmtId="2" fontId="7" fillId="4" borderId="31" xfId="2" applyNumberFormat="1" applyFill="1" applyBorder="1" applyAlignment="1">
      <alignment horizontal="right"/>
    </xf>
    <xf numFmtId="2" fontId="7" fillId="4" borderId="34" xfId="2" applyNumberFormat="1" applyFill="1" applyBorder="1" applyAlignment="1">
      <alignment horizontal="right"/>
    </xf>
    <xf numFmtId="2" fontId="7" fillId="4" borderId="39" xfId="2" applyNumberFormat="1" applyFill="1" applyBorder="1" applyAlignment="1">
      <alignment horizontal="right"/>
    </xf>
    <xf numFmtId="2" fontId="7" fillId="4" borderId="40" xfId="2" applyNumberFormat="1" applyFill="1" applyBorder="1" applyAlignment="1">
      <alignment horizontal="right"/>
    </xf>
    <xf numFmtId="2" fontId="7" fillId="4" borderId="41" xfId="2" applyNumberFormat="1" applyFill="1" applyBorder="1" applyAlignment="1">
      <alignment horizontal="right"/>
    </xf>
    <xf numFmtId="2" fontId="7" fillId="4" borderId="0" xfId="2" applyNumberFormat="1" applyFill="1" applyBorder="1" applyAlignment="1">
      <alignment horizontal="right"/>
    </xf>
    <xf numFmtId="2" fontId="7" fillId="4" borderId="0" xfId="2" applyNumberFormat="1" applyFill="1" applyBorder="1"/>
    <xf numFmtId="2" fontId="7" fillId="4" borderId="0" xfId="2" applyNumberFormat="1" applyFont="1" applyFill="1" applyBorder="1"/>
    <xf numFmtId="2" fontId="7" fillId="4" borderId="31" xfId="2" applyNumberFormat="1" applyFill="1" applyBorder="1"/>
    <xf numFmtId="2" fontId="7" fillId="4" borderId="32" xfId="2" applyNumberFormat="1" applyFill="1" applyBorder="1" applyAlignment="1">
      <alignment horizontal="right"/>
    </xf>
    <xf numFmtId="2" fontId="7" fillId="4" borderId="33" xfId="2" applyNumberFormat="1" applyFill="1" applyBorder="1" applyAlignment="1">
      <alignment horizontal="right"/>
    </xf>
    <xf numFmtId="2" fontId="7" fillId="4" borderId="31" xfId="2" applyNumberFormat="1" applyFont="1" applyFill="1" applyBorder="1"/>
    <xf numFmtId="2" fontId="7" fillId="4" borderId="34" xfId="2" applyNumberFormat="1" applyFill="1" applyBorder="1"/>
    <xf numFmtId="2" fontId="7" fillId="4" borderId="35" xfId="2" applyNumberFormat="1" applyFill="1" applyBorder="1" applyAlignment="1">
      <alignment horizontal="right"/>
    </xf>
    <xf numFmtId="2" fontId="7" fillId="4" borderId="31" xfId="2" applyNumberFormat="1" applyFill="1" applyBorder="1" applyAlignment="1">
      <alignment horizontal="right"/>
    </xf>
    <xf numFmtId="2" fontId="7" fillId="4" borderId="34" xfId="2" applyNumberFormat="1" applyFill="1" applyBorder="1" applyAlignment="1">
      <alignment horizontal="right"/>
    </xf>
    <xf numFmtId="2" fontId="7" fillId="4" borderId="39" xfId="2" applyNumberFormat="1" applyFill="1" applyBorder="1" applyAlignment="1">
      <alignment horizontal="right"/>
    </xf>
    <xf numFmtId="2" fontId="7" fillId="4" borderId="40" xfId="2" applyNumberFormat="1" applyFill="1" applyBorder="1" applyAlignment="1">
      <alignment horizontal="right"/>
    </xf>
    <xf numFmtId="2" fontId="7" fillId="4" borderId="41" xfId="2" applyNumberFormat="1" applyFill="1" applyBorder="1" applyAlignment="1">
      <alignment horizontal="right"/>
    </xf>
    <xf numFmtId="2" fontId="7" fillId="4" borderId="31" xfId="2" applyNumberFormat="1" applyFill="1" applyBorder="1" applyAlignment="1"/>
    <xf numFmtId="2" fontId="7" fillId="4" borderId="0" xfId="2" applyNumberFormat="1" applyFill="1" applyBorder="1" applyAlignment="1"/>
    <xf numFmtId="2" fontId="7" fillId="4" borderId="34" xfId="2" applyNumberFormat="1" applyFill="1" applyBorder="1" applyAlignment="1"/>
    <xf numFmtId="2" fontId="7" fillId="4" borderId="39" xfId="2" applyNumberFormat="1" applyFill="1" applyBorder="1"/>
    <xf numFmtId="2" fontId="7" fillId="4" borderId="40" xfId="2" applyNumberFormat="1" applyFill="1" applyBorder="1"/>
    <xf numFmtId="2" fontId="7" fillId="4" borderId="41" xfId="2" applyNumberFormat="1" applyFill="1" applyBorder="1"/>
    <xf numFmtId="2" fontId="7" fillId="4" borderId="0" xfId="2" applyNumberFormat="1" applyFill="1" applyBorder="1" applyAlignment="1">
      <alignment horizontal="right"/>
    </xf>
    <xf numFmtId="2" fontId="7" fillId="4" borderId="0" xfId="2" applyNumberFormat="1" applyFill="1" applyBorder="1"/>
    <xf numFmtId="2" fontId="7" fillId="4" borderId="0" xfId="2" applyNumberFormat="1" applyFont="1" applyFill="1" applyBorder="1"/>
    <xf numFmtId="2" fontId="7" fillId="4" borderId="31" xfId="2" applyNumberFormat="1" applyFill="1" applyBorder="1"/>
    <xf numFmtId="2" fontId="7" fillId="4" borderId="32" xfId="2" applyNumberFormat="1" applyFill="1" applyBorder="1" applyAlignment="1">
      <alignment horizontal="right"/>
    </xf>
    <xf numFmtId="2" fontId="7" fillId="4" borderId="33" xfId="2" applyNumberFormat="1" applyFill="1" applyBorder="1" applyAlignment="1">
      <alignment horizontal="right"/>
    </xf>
    <xf numFmtId="2" fontId="7" fillId="4" borderId="31" xfId="2" applyNumberFormat="1" applyFont="1" applyFill="1" applyBorder="1"/>
    <xf numFmtId="2" fontId="7" fillId="4" borderId="34" xfId="2" applyNumberFormat="1" applyFill="1" applyBorder="1"/>
    <xf numFmtId="2" fontId="7" fillId="4" borderId="35" xfId="2" applyNumberFormat="1" applyFill="1" applyBorder="1" applyAlignment="1">
      <alignment horizontal="right"/>
    </xf>
    <xf numFmtId="2" fontId="7" fillId="4" borderId="31" xfId="2" applyNumberFormat="1" applyFill="1" applyBorder="1" applyAlignment="1">
      <alignment horizontal="right"/>
    </xf>
    <xf numFmtId="2" fontId="7" fillId="4" borderId="34" xfId="2" applyNumberFormat="1" applyFill="1" applyBorder="1" applyAlignment="1">
      <alignment horizontal="right"/>
    </xf>
    <xf numFmtId="2" fontId="7" fillId="4" borderId="39" xfId="2" applyNumberFormat="1" applyFill="1" applyBorder="1"/>
    <xf numFmtId="2" fontId="7" fillId="4" borderId="40" xfId="2" applyNumberFormat="1" applyFill="1" applyBorder="1"/>
    <xf numFmtId="2" fontId="7" fillId="4" borderId="41" xfId="2" applyNumberFormat="1" applyFill="1" applyBorder="1"/>
    <xf numFmtId="0" fontId="84" fillId="0" borderId="0" xfId="2" applyFont="1" applyAlignment="1">
      <alignment horizontal="left"/>
    </xf>
    <xf numFmtId="0" fontId="84" fillId="0" borderId="0" xfId="2" applyFont="1" applyAlignment="1">
      <alignment horizontal="left"/>
    </xf>
    <xf numFmtId="0" fontId="84" fillId="0" borderId="0" xfId="2" applyFont="1" applyAlignment="1">
      <alignment horizontal="left"/>
    </xf>
    <xf numFmtId="0" fontId="7" fillId="0" borderId="0" xfId="807" applyFont="1"/>
    <xf numFmtId="0" fontId="5" fillId="0" borderId="0" xfId="807" applyFont="1" applyAlignment="1">
      <alignment horizontal="right"/>
    </xf>
    <xf numFmtId="0" fontId="5" fillId="0" borderId="0" xfId="807" applyFont="1" applyBorder="1" applyAlignment="1">
      <alignment horizontal="center"/>
    </xf>
    <xf numFmtId="0" fontId="5" fillId="0" borderId="0" xfId="807" applyFont="1" applyAlignment="1">
      <alignment horizontal="center"/>
    </xf>
    <xf numFmtId="0" fontId="13" fillId="0" borderId="0" xfId="807" applyFont="1"/>
    <xf numFmtId="11" fontId="7" fillId="0" borderId="0" xfId="807" applyNumberFormat="1" applyFont="1" applyBorder="1"/>
    <xf numFmtId="0" fontId="7" fillId="0" borderId="0" xfId="807" applyFont="1" applyAlignment="1">
      <alignment horizontal="left"/>
    </xf>
    <xf numFmtId="0" fontId="7" fillId="0" borderId="0" xfId="807" applyFont="1" applyFill="1"/>
    <xf numFmtId="0" fontId="75" fillId="0" borderId="14" xfId="807" applyFont="1" applyBorder="1"/>
    <xf numFmtId="0" fontId="5" fillId="0" borderId="79" xfId="807" applyFont="1" applyBorder="1" applyAlignment="1">
      <alignment horizontal="center"/>
    </xf>
    <xf numFmtId="0" fontId="7" fillId="0" borderId="4" xfId="807" applyFont="1" applyBorder="1"/>
    <xf numFmtId="11" fontId="7" fillId="0" borderId="80" xfId="807" applyNumberFormat="1" applyFont="1" applyBorder="1"/>
    <xf numFmtId="0" fontId="7" fillId="0" borderId="3" xfId="807" applyFont="1" applyBorder="1"/>
    <xf numFmtId="11" fontId="7" fillId="0" borderId="18" xfId="807" applyNumberFormat="1" applyFont="1" applyBorder="1"/>
    <xf numFmtId="0" fontId="7" fillId="0" borderId="0" xfId="807" applyFont="1" applyFill="1" applyAlignment="1">
      <alignment horizontal="center"/>
    </xf>
    <xf numFmtId="3" fontId="7" fillId="0" borderId="0" xfId="807" applyNumberFormat="1" applyFont="1" applyFill="1" applyAlignment="1">
      <alignment horizontal="center"/>
    </xf>
    <xf numFmtId="3" fontId="7" fillId="0" borderId="0" xfId="807" applyNumberFormat="1" applyFont="1" applyFill="1"/>
    <xf numFmtId="0" fontId="7" fillId="0" borderId="9" xfId="807" applyFont="1" applyBorder="1"/>
    <xf numFmtId="11" fontId="7" fillId="0" borderId="81" xfId="807" applyNumberFormat="1" applyFont="1" applyBorder="1"/>
    <xf numFmtId="0" fontId="75" fillId="0" borderId="79" xfId="807" applyFont="1" applyBorder="1"/>
    <xf numFmtId="0" fontId="5" fillId="0" borderId="79" xfId="807" applyFont="1" applyBorder="1" applyAlignment="1">
      <alignment horizontal="center" wrapText="1"/>
    </xf>
    <xf numFmtId="0" fontId="7" fillId="0" borderId="10" xfId="807" applyFont="1" applyBorder="1"/>
    <xf numFmtId="0" fontId="7" fillId="0" borderId="82" xfId="807" applyFont="1" applyBorder="1"/>
    <xf numFmtId="0" fontId="7" fillId="0" borderId="11" xfId="807" applyFont="1" applyBorder="1"/>
    <xf numFmtId="0" fontId="13" fillId="46" borderId="86" xfId="807" applyFont="1" applyFill="1" applyBorder="1"/>
    <xf numFmtId="0" fontId="7" fillId="46" borderId="87" xfId="807" applyFont="1" applyFill="1" applyBorder="1"/>
    <xf numFmtId="0" fontId="7" fillId="46" borderId="88" xfId="807" applyFont="1" applyFill="1" applyBorder="1"/>
    <xf numFmtId="0" fontId="7" fillId="46" borderId="89" xfId="807" applyFont="1" applyFill="1" applyBorder="1"/>
    <xf numFmtId="0" fontId="7" fillId="46" borderId="0" xfId="807" applyFont="1" applyFill="1" applyBorder="1"/>
    <xf numFmtId="0" fontId="7" fillId="46" borderId="90" xfId="807" applyFont="1" applyFill="1" applyBorder="1"/>
    <xf numFmtId="0" fontId="13" fillId="46" borderId="89" xfId="807" applyFont="1" applyFill="1" applyBorder="1"/>
    <xf numFmtId="0" fontId="7" fillId="46" borderId="92" xfId="807" applyFont="1" applyFill="1" applyBorder="1" applyAlignment="1">
      <alignment horizontal="center"/>
    </xf>
    <xf numFmtId="0" fontId="7" fillId="46" borderId="93" xfId="807" applyFont="1" applyFill="1" applyBorder="1" applyAlignment="1">
      <alignment horizontal="center"/>
    </xf>
    <xf numFmtId="0" fontId="7" fillId="46" borderId="94" xfId="807" applyFont="1" applyFill="1" applyBorder="1"/>
    <xf numFmtId="11" fontId="7" fillId="46" borderId="95" xfId="807" applyNumberFormat="1" applyFont="1" applyFill="1" applyBorder="1"/>
    <xf numFmtId="11" fontId="7" fillId="46" borderId="96" xfId="807" applyNumberFormat="1" applyFont="1" applyFill="1" applyBorder="1"/>
    <xf numFmtId="0" fontId="7" fillId="46" borderId="97" xfId="807" applyFont="1" applyFill="1" applyBorder="1"/>
    <xf numFmtId="11" fontId="7" fillId="46" borderId="98" xfId="807" applyNumberFormat="1" applyFont="1" applyFill="1" applyBorder="1"/>
    <xf numFmtId="11" fontId="7" fillId="46" borderId="99" xfId="807" applyNumberFormat="1" applyFont="1" applyFill="1" applyBorder="1"/>
    <xf numFmtId="11" fontId="7" fillId="46" borderId="0" xfId="807" applyNumberFormat="1" applyFont="1" applyFill="1" applyBorder="1"/>
    <xf numFmtId="9" fontId="7" fillId="46" borderId="0" xfId="4" applyFont="1" applyFill="1" applyBorder="1"/>
    <xf numFmtId="0" fontId="7" fillId="46" borderId="100" xfId="807" applyFont="1" applyFill="1" applyBorder="1"/>
    <xf numFmtId="0" fontId="7" fillId="46" borderId="101" xfId="807" applyFont="1" applyFill="1" applyBorder="1"/>
    <xf numFmtId="0" fontId="7" fillId="46" borderId="102" xfId="807" applyFont="1" applyFill="1" applyBorder="1"/>
    <xf numFmtId="0" fontId="91" fillId="46" borderId="91" xfId="807" applyFont="1" applyFill="1" applyBorder="1"/>
    <xf numFmtId="11" fontId="7" fillId="0" borderId="103" xfId="807" applyNumberFormat="1" applyFont="1" applyBorder="1"/>
    <xf numFmtId="11" fontId="7" fillId="0" borderId="11" xfId="807" applyNumberFormat="1" applyFont="1" applyBorder="1"/>
    <xf numFmtId="0" fontId="13" fillId="40" borderId="0" xfId="807" applyFont="1" applyFill="1"/>
    <xf numFmtId="0" fontId="7" fillId="40" borderId="0" xfId="807" applyFont="1" applyFill="1"/>
    <xf numFmtId="0" fontId="75" fillId="40" borderId="79" xfId="807" applyFont="1" applyFill="1" applyBorder="1"/>
    <xf numFmtId="0" fontId="5" fillId="40" borderId="79" xfId="807" applyFont="1" applyFill="1" applyBorder="1" applyAlignment="1">
      <alignment horizontal="center"/>
    </xf>
    <xf numFmtId="0" fontId="7" fillId="40" borderId="83" xfId="807" applyFont="1" applyFill="1" applyBorder="1"/>
    <xf numFmtId="11" fontId="7" fillId="40" borderId="80" xfId="807" applyNumberFormat="1" applyFont="1" applyFill="1" applyBorder="1"/>
    <xf numFmtId="0" fontId="7" fillId="40" borderId="84" xfId="807" applyFont="1" applyFill="1" applyBorder="1"/>
    <xf numFmtId="11" fontId="7" fillId="40" borderId="18" xfId="807" applyNumberFormat="1" applyFont="1" applyFill="1" applyBorder="1"/>
    <xf numFmtId="0" fontId="7" fillId="40" borderId="85" xfId="807" applyFont="1" applyFill="1" applyBorder="1"/>
    <xf numFmtId="11" fontId="7" fillId="40" borderId="81" xfId="807" applyNumberFormat="1" applyFont="1" applyFill="1" applyBorder="1"/>
    <xf numFmtId="0" fontId="1" fillId="0" borderId="0" xfId="931"/>
    <xf numFmtId="0" fontId="1" fillId="44" borderId="104" xfId="931" applyFill="1" applyBorder="1" applyProtection="1">
      <protection locked="0"/>
    </xf>
    <xf numFmtId="0" fontId="1" fillId="44" borderId="67" xfId="931" applyFill="1" applyBorder="1" applyProtection="1">
      <protection locked="0"/>
    </xf>
    <xf numFmtId="0" fontId="86" fillId="45" borderId="0" xfId="931" applyFont="1" applyFill="1"/>
    <xf numFmtId="0" fontId="86" fillId="45" borderId="0" xfId="931" quotePrefix="1" applyFont="1" applyFill="1"/>
    <xf numFmtId="0" fontId="1" fillId="45" borderId="0" xfId="931" applyFill="1"/>
    <xf numFmtId="0" fontId="1" fillId="0" borderId="68" xfId="931" applyBorder="1"/>
    <xf numFmtId="0" fontId="86" fillId="45" borderId="68" xfId="931" applyFont="1" applyFill="1" applyBorder="1"/>
    <xf numFmtId="0" fontId="1" fillId="45" borderId="68" xfId="931" applyFill="1" applyBorder="1"/>
    <xf numFmtId="0" fontId="1" fillId="0" borderId="0" xfId="931" quotePrefix="1"/>
    <xf numFmtId="0" fontId="5" fillId="0" borderId="0" xfId="3" applyFont="1" applyBorder="1" applyProtection="1">
      <protection locked="0"/>
    </xf>
    <xf numFmtId="0" fontId="7" fillId="0" borderId="105" xfId="0" applyFont="1" applyBorder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105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105" xfId="0" applyFont="1" applyBorder="1" applyAlignment="1">
      <alignment horizontal="center" vertical="center"/>
    </xf>
    <xf numFmtId="0" fontId="19" fillId="47" borderId="105" xfId="0" applyFont="1" applyFill="1" applyBorder="1" applyAlignment="1">
      <alignment vertical="center"/>
    </xf>
    <xf numFmtId="0" fontId="7" fillId="47" borderId="0" xfId="0" applyFont="1" applyFill="1" applyAlignment="1">
      <alignment vertical="center"/>
    </xf>
    <xf numFmtId="0" fontId="7" fillId="47" borderId="105" xfId="0" applyFont="1" applyFill="1" applyBorder="1" applyAlignment="1">
      <alignment vertical="center"/>
    </xf>
    <xf numFmtId="0" fontId="7" fillId="0" borderId="105" xfId="0" applyFont="1" applyBorder="1" applyAlignment="1">
      <alignment horizontal="right" vertical="center"/>
    </xf>
    <xf numFmtId="0" fontId="7" fillId="0" borderId="106" xfId="0" applyFont="1" applyBorder="1" applyAlignment="1">
      <alignment horizontal="right" vertical="center"/>
    </xf>
    <xf numFmtId="0" fontId="19" fillId="47" borderId="105" xfId="0" applyFont="1" applyFill="1" applyBorder="1" applyAlignment="1">
      <alignment horizontal="right" vertical="center"/>
    </xf>
    <xf numFmtId="0" fontId="5" fillId="47" borderId="0" xfId="0" applyFont="1" applyFill="1" applyAlignment="1">
      <alignment vertical="center"/>
    </xf>
    <xf numFmtId="0" fontId="5" fillId="47" borderId="105" xfId="0" applyFont="1" applyFill="1" applyBorder="1" applyAlignment="1">
      <alignment vertical="center"/>
    </xf>
    <xf numFmtId="166" fontId="7" fillId="0" borderId="0" xfId="0" applyNumberFormat="1" applyFont="1" applyAlignment="1">
      <alignment horizontal="right" vertical="center"/>
    </xf>
    <xf numFmtId="2" fontId="5" fillId="0" borderId="0" xfId="0" applyNumberFormat="1" applyFont="1" applyAlignment="1">
      <alignment horizontal="right" vertical="center"/>
    </xf>
    <xf numFmtId="2" fontId="5" fillId="0" borderId="105" xfId="0" applyNumberFormat="1" applyFont="1" applyBorder="1" applyAlignment="1">
      <alignment horizontal="right" vertical="center"/>
    </xf>
    <xf numFmtId="3" fontId="7" fillId="40" borderId="4" xfId="0" applyNumberFormat="1" applyFont="1" applyFill="1" applyBorder="1" applyAlignment="1">
      <alignment horizontal="right"/>
    </xf>
    <xf numFmtId="3" fontId="7" fillId="40" borderId="5" xfId="0" applyNumberFormat="1" applyFont="1" applyFill="1" applyBorder="1" applyAlignment="1">
      <alignment horizontal="right"/>
    </xf>
    <xf numFmtId="4" fontId="7" fillId="40" borderId="6" xfId="0" applyNumberFormat="1" applyFont="1" applyFill="1" applyBorder="1" applyAlignment="1">
      <alignment horizontal="right"/>
    </xf>
    <xf numFmtId="3" fontId="7" fillId="40" borderId="5" xfId="0" applyNumberFormat="1" applyFont="1" applyFill="1" applyBorder="1"/>
    <xf numFmtId="3" fontId="7" fillId="40" borderId="6" xfId="0" applyNumberFormat="1" applyFont="1" applyFill="1" applyBorder="1" applyAlignment="1">
      <alignment horizontal="right"/>
    </xf>
    <xf numFmtId="3" fontId="7" fillId="40" borderId="3" xfId="0" applyNumberFormat="1" applyFont="1" applyFill="1" applyBorder="1" applyAlignment="1">
      <alignment horizontal="right"/>
    </xf>
    <xf numFmtId="3" fontId="7" fillId="40" borderId="0" xfId="0" applyNumberFormat="1" applyFont="1" applyFill="1" applyBorder="1" applyAlignment="1">
      <alignment horizontal="right"/>
    </xf>
    <xf numFmtId="4" fontId="7" fillId="40" borderId="7" xfId="0" applyNumberFormat="1" applyFont="1" applyFill="1" applyBorder="1" applyAlignment="1">
      <alignment horizontal="right"/>
    </xf>
    <xf numFmtId="3" fontId="7" fillId="40" borderId="0" xfId="0" applyNumberFormat="1" applyFont="1" applyFill="1" applyBorder="1"/>
    <xf numFmtId="3" fontId="7" fillId="40" borderId="7" xfId="0" applyNumberFormat="1" applyFont="1" applyFill="1" applyBorder="1" applyAlignment="1">
      <alignment horizontal="right"/>
    </xf>
    <xf numFmtId="3" fontId="7" fillId="40" borderId="9" xfId="0" applyNumberFormat="1" applyFont="1" applyFill="1" applyBorder="1" applyAlignment="1">
      <alignment horizontal="right"/>
    </xf>
    <xf numFmtId="3" fontId="7" fillId="40" borderId="2" xfId="0" applyNumberFormat="1" applyFont="1" applyFill="1" applyBorder="1" applyAlignment="1">
      <alignment horizontal="right"/>
    </xf>
    <xf numFmtId="4" fontId="7" fillId="40" borderId="8" xfId="0" applyNumberFormat="1" applyFont="1" applyFill="1" applyBorder="1" applyAlignment="1">
      <alignment horizontal="right"/>
    </xf>
    <xf numFmtId="3" fontId="7" fillId="40" borderId="2" xfId="0" applyNumberFormat="1" applyFont="1" applyFill="1" applyBorder="1"/>
    <xf numFmtId="3" fontId="7" fillId="40" borderId="8" xfId="0" applyNumberFormat="1" applyFont="1" applyFill="1" applyBorder="1" applyAlignment="1">
      <alignment horizontal="right"/>
    </xf>
    <xf numFmtId="3" fontId="7" fillId="40" borderId="3" xfId="3" applyNumberFormat="1" applyFont="1" applyFill="1" applyBorder="1" applyAlignment="1" applyProtection="1">
      <alignment horizontal="right"/>
      <protection locked="0"/>
    </xf>
    <xf numFmtId="3" fontId="7" fillId="40" borderId="0" xfId="3" applyNumberFormat="1" applyFont="1" applyFill="1" applyBorder="1" applyAlignment="1" applyProtection="1">
      <alignment horizontal="right"/>
      <protection locked="0"/>
    </xf>
    <xf numFmtId="3" fontId="7" fillId="40" borderId="7" xfId="3" applyNumberFormat="1" applyFont="1" applyFill="1" applyBorder="1" applyAlignment="1" applyProtection="1">
      <alignment horizontal="right"/>
      <protection locked="0"/>
    </xf>
    <xf numFmtId="3" fontId="7" fillId="40" borderId="4" xfId="3" applyNumberFormat="1" applyFont="1" applyFill="1" applyBorder="1" applyAlignment="1" applyProtection="1">
      <alignment horizontal="right"/>
      <protection locked="0"/>
    </xf>
    <xf numFmtId="3" fontId="7" fillId="40" borderId="6" xfId="3" applyNumberFormat="1" applyFont="1" applyFill="1" applyBorder="1" applyAlignment="1" applyProtection="1">
      <alignment horizontal="right"/>
      <protection locked="0"/>
    </xf>
    <xf numFmtId="3" fontId="7" fillId="40" borderId="9" xfId="3" applyNumberFormat="1" applyFont="1" applyFill="1" applyBorder="1" applyAlignment="1" applyProtection="1">
      <alignment horizontal="right"/>
      <protection locked="0"/>
    </xf>
    <xf numFmtId="3" fontId="7" fillId="40" borderId="2" xfId="3" applyNumberFormat="1" applyFont="1" applyFill="1" applyBorder="1" applyAlignment="1" applyProtection="1">
      <alignment horizontal="right"/>
      <protection locked="0"/>
    </xf>
    <xf numFmtId="3" fontId="7" fillId="40" borderId="8" xfId="3" applyNumberFormat="1" applyFont="1" applyFill="1" applyBorder="1" applyAlignment="1" applyProtection="1">
      <alignment horizontal="right"/>
      <protection locked="0"/>
    </xf>
    <xf numFmtId="2" fontId="7" fillId="48" borderId="4" xfId="2" applyNumberFormat="1" applyFont="1" applyFill="1" applyBorder="1"/>
    <xf numFmtId="2" fontId="7" fillId="48" borderId="6" xfId="2" applyNumberFormat="1" applyFont="1" applyFill="1" applyBorder="1"/>
    <xf numFmtId="2" fontId="7" fillId="48" borderId="0" xfId="2" applyNumberFormat="1" applyFont="1" applyFill="1" applyBorder="1"/>
    <xf numFmtId="2" fontId="7" fillId="48" borderId="108" xfId="2" applyNumberFormat="1" applyFont="1" applyFill="1" applyBorder="1" applyAlignment="1">
      <alignment horizontal="right"/>
    </xf>
    <xf numFmtId="2" fontId="7" fillId="48" borderId="109" xfId="2" applyNumberFormat="1" applyFont="1" applyFill="1" applyBorder="1" applyAlignment="1">
      <alignment horizontal="right"/>
    </xf>
    <xf numFmtId="2" fontId="7" fillId="48" borderId="110" xfId="2" applyNumberFormat="1" applyFont="1" applyFill="1" applyBorder="1" applyAlignment="1">
      <alignment horizontal="right"/>
    </xf>
    <xf numFmtId="2" fontId="7" fillId="48" borderId="3" xfId="2" applyNumberFormat="1" applyFont="1" applyFill="1" applyBorder="1"/>
    <xf numFmtId="2" fontId="7" fillId="48" borderId="7" xfId="2" applyNumberFormat="1" applyFont="1" applyFill="1" applyBorder="1"/>
    <xf numFmtId="2" fontId="7" fillId="48" borderId="111" xfId="2" applyNumberFormat="1" applyFont="1" applyFill="1" applyBorder="1" applyAlignment="1">
      <alignment horizontal="right"/>
    </xf>
    <xf numFmtId="2" fontId="7" fillId="48" borderId="0" xfId="2" applyNumberFormat="1" applyFont="1" applyFill="1" applyBorder="1" applyAlignment="1">
      <alignment horizontal="right"/>
    </xf>
    <xf numFmtId="2" fontId="7" fillId="48" borderId="112" xfId="2" applyNumberFormat="1" applyFont="1" applyFill="1" applyBorder="1" applyAlignment="1">
      <alignment horizontal="right"/>
    </xf>
    <xf numFmtId="2" fontId="7" fillId="48" borderId="9" xfId="2" applyNumberFormat="1" applyFont="1" applyFill="1" applyBorder="1"/>
    <xf numFmtId="2" fontId="7" fillId="48" borderId="8" xfId="2" applyNumberFormat="1" applyFont="1" applyFill="1" applyBorder="1"/>
    <xf numFmtId="2" fontId="7" fillId="48" borderId="113" xfId="2" applyNumberFormat="1" applyFont="1" applyFill="1" applyBorder="1" applyAlignment="1">
      <alignment horizontal="right"/>
    </xf>
    <xf numFmtId="2" fontId="7" fillId="48" borderId="114" xfId="2" applyNumberFormat="1" applyFont="1" applyFill="1" applyBorder="1" applyAlignment="1">
      <alignment horizontal="right"/>
    </xf>
    <xf numFmtId="2" fontId="7" fillId="48" borderId="115" xfId="2" applyNumberFormat="1" applyFont="1" applyFill="1" applyBorder="1" applyAlignment="1">
      <alignment horizontal="right"/>
    </xf>
    <xf numFmtId="166" fontId="7" fillId="0" borderId="105" xfId="0" applyNumberFormat="1" applyFont="1" applyBorder="1" applyAlignment="1">
      <alignment horizontal="right" vertical="center"/>
    </xf>
    <xf numFmtId="2" fontId="7" fillId="0" borderId="0" xfId="0" applyNumberFormat="1" applyFont="1" applyAlignment="1">
      <alignment horizontal="right" vertical="center"/>
    </xf>
    <xf numFmtId="0" fontId="7" fillId="40" borderId="0" xfId="3" applyFont="1" applyFill="1" applyBorder="1" applyAlignment="1" applyProtection="1">
      <alignment horizontal="center"/>
      <protection locked="0"/>
    </xf>
    <xf numFmtId="0" fontId="22" fillId="40" borderId="14" xfId="0" applyFont="1" applyFill="1" applyBorder="1" applyAlignment="1">
      <alignment horizontal="center"/>
    </xf>
    <xf numFmtId="0" fontId="22" fillId="40" borderId="15" xfId="0" applyFont="1" applyFill="1" applyBorder="1" applyAlignment="1">
      <alignment horizontal="center"/>
    </xf>
    <xf numFmtId="0" fontId="22" fillId="40" borderId="16" xfId="0" applyFont="1" applyFill="1" applyBorder="1" applyAlignment="1">
      <alignment horizontal="center"/>
    </xf>
    <xf numFmtId="0" fontId="21" fillId="39" borderId="0" xfId="3" applyFont="1" applyFill="1" applyBorder="1" applyAlignment="1" applyProtection="1">
      <alignment horizontal="center"/>
    </xf>
    <xf numFmtId="0" fontId="4" fillId="39" borderId="0" xfId="0" applyFont="1" applyFill="1" applyBorder="1" applyAlignment="1">
      <alignment horizontal="center"/>
    </xf>
    <xf numFmtId="0" fontId="5" fillId="40" borderId="14" xfId="3" applyFont="1" applyFill="1" applyBorder="1" applyAlignment="1" applyProtection="1">
      <alignment horizontal="center"/>
      <protection locked="0"/>
    </xf>
    <xf numFmtId="0" fontId="5" fillId="40" borderId="15" xfId="3" applyFont="1" applyFill="1" applyBorder="1" applyAlignment="1" applyProtection="1">
      <alignment horizontal="center"/>
      <protection locked="0"/>
    </xf>
    <xf numFmtId="0" fontId="7" fillId="40" borderId="15" xfId="3" applyFont="1" applyFill="1" applyBorder="1" applyAlignment="1" applyProtection="1">
      <alignment horizontal="right"/>
      <protection locked="0"/>
    </xf>
    <xf numFmtId="0" fontId="7" fillId="40" borderId="16" xfId="3" applyFont="1" applyFill="1" applyBorder="1" applyAlignment="1" applyProtection="1">
      <alignment horizontal="right"/>
      <protection locked="0"/>
    </xf>
    <xf numFmtId="9" fontId="7" fillId="39" borderId="0" xfId="3" applyNumberFormat="1" applyFont="1" applyFill="1" applyBorder="1" applyAlignment="1" applyProtection="1">
      <alignment horizontal="center"/>
      <protection locked="0"/>
    </xf>
    <xf numFmtId="9" fontId="15" fillId="39" borderId="0" xfId="4" applyFont="1" applyFill="1" applyBorder="1" applyAlignment="1" applyProtection="1">
      <alignment horizontal="center"/>
      <protection locked="0"/>
    </xf>
    <xf numFmtId="0" fontId="5" fillId="40" borderId="0" xfId="3" applyFont="1" applyFill="1" applyBorder="1" applyAlignment="1" applyProtection="1">
      <alignment horizontal="center"/>
      <protection locked="0"/>
    </xf>
    <xf numFmtId="0" fontId="78" fillId="0" borderId="0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34" fillId="0" borderId="0" xfId="0" applyFont="1" applyFill="1" applyBorder="1" applyAlignment="1">
      <alignment horizontal="center"/>
    </xf>
    <xf numFmtId="0" fontId="34" fillId="0" borderId="23" xfId="0" applyFont="1" applyFill="1" applyBorder="1" applyAlignment="1">
      <alignment horizontal="center"/>
    </xf>
    <xf numFmtId="0" fontId="77" fillId="0" borderId="0" xfId="0" applyFont="1" applyFill="1" applyBorder="1" applyAlignment="1">
      <alignment horizontal="center"/>
    </xf>
    <xf numFmtId="0" fontId="7" fillId="0" borderId="0" xfId="0" applyFont="1" applyBorder="1" applyAlignment="1" applyProtection="1">
      <alignment horizontal="center"/>
    </xf>
    <xf numFmtId="0" fontId="7" fillId="0" borderId="7" xfId="0" applyFont="1" applyBorder="1" applyAlignment="1" applyProtection="1">
      <alignment horizontal="center"/>
    </xf>
    <xf numFmtId="2" fontId="6" fillId="0" borderId="0" xfId="0" applyNumberFormat="1" applyFont="1" applyBorder="1" applyAlignment="1" applyProtection="1">
      <alignment horizontal="center"/>
    </xf>
    <xf numFmtId="2" fontId="6" fillId="0" borderId="7" xfId="0" applyNumberFormat="1" applyFont="1" applyBorder="1" applyAlignment="1" applyProtection="1">
      <alignment horizontal="center"/>
    </xf>
    <xf numFmtId="0" fontId="7" fillId="0" borderId="107" xfId="0" applyFont="1" applyBorder="1" applyAlignment="1">
      <alignment horizontal="center" vertical="center" wrapText="1"/>
    </xf>
    <xf numFmtId="0" fontId="7" fillId="0" borderId="105" xfId="0" applyFont="1" applyBorder="1" applyAlignment="1">
      <alignment horizontal="center" vertical="center" wrapText="1"/>
    </xf>
    <xf numFmtId="0" fontId="5" fillId="0" borderId="107" xfId="0" applyFont="1" applyBorder="1" applyAlignment="1">
      <alignment horizontal="center" vertical="center" wrapText="1"/>
    </xf>
    <xf numFmtId="0" fontId="5" fillId="0" borderId="105" xfId="0" applyFont="1" applyBorder="1" applyAlignment="1">
      <alignment horizontal="center" vertical="center" wrapText="1"/>
    </xf>
    <xf numFmtId="0" fontId="86" fillId="45" borderId="0" xfId="931" applyFont="1" applyFill="1"/>
    <xf numFmtId="0" fontId="87" fillId="0" borderId="76" xfId="931" applyFont="1" applyBorder="1" applyAlignment="1">
      <alignment wrapText="1"/>
    </xf>
    <xf numFmtId="0" fontId="1" fillId="0" borderId="75" xfId="931" applyBorder="1"/>
    <xf numFmtId="0" fontId="1" fillId="0" borderId="74" xfId="931" applyBorder="1"/>
    <xf numFmtId="0" fontId="87" fillId="0" borderId="70" xfId="931" applyFont="1" applyBorder="1" applyAlignment="1">
      <alignment wrapText="1"/>
    </xf>
    <xf numFmtId="0" fontId="1" fillId="0" borderId="71" xfId="931" applyBorder="1"/>
    <xf numFmtId="0" fontId="1" fillId="0" borderId="69" xfId="931" applyBorder="1"/>
    <xf numFmtId="0" fontId="87" fillId="0" borderId="78" xfId="931" applyFont="1" applyBorder="1" applyAlignment="1">
      <alignment wrapText="1"/>
    </xf>
    <xf numFmtId="0" fontId="1" fillId="0" borderId="77" xfId="931" applyBorder="1"/>
    <xf numFmtId="0" fontId="87" fillId="0" borderId="73" xfId="931" applyFont="1" applyBorder="1" applyAlignment="1">
      <alignment wrapText="1"/>
    </xf>
    <xf numFmtId="0" fontId="1" fillId="0" borderId="72" xfId="931" applyBorder="1"/>
    <xf numFmtId="0" fontId="86" fillId="45" borderId="68" xfId="931" applyFont="1" applyFill="1" applyBorder="1"/>
  </cellXfs>
  <cellStyles count="932">
    <cellStyle name="20% - Accent1 2" xfId="7" xr:uid="{00000000-0005-0000-0000-000000000000}"/>
    <cellStyle name="20% - Accent1 2 2" xfId="8" xr:uid="{00000000-0005-0000-0000-000001000000}"/>
    <cellStyle name="20% - Accent1 2 2 2" xfId="9" xr:uid="{00000000-0005-0000-0000-000002000000}"/>
    <cellStyle name="20% - Accent1 2 3" xfId="10" xr:uid="{00000000-0005-0000-0000-000003000000}"/>
    <cellStyle name="20% - Accent1 2 3 2" xfId="11" xr:uid="{00000000-0005-0000-0000-000004000000}"/>
    <cellStyle name="20% - Accent1 2 4" xfId="12" xr:uid="{00000000-0005-0000-0000-000005000000}"/>
    <cellStyle name="20% - Accent1 2 4 2" xfId="13" xr:uid="{00000000-0005-0000-0000-000006000000}"/>
    <cellStyle name="20% - Accent1 2 5" xfId="14" xr:uid="{00000000-0005-0000-0000-000007000000}"/>
    <cellStyle name="20% - Accent1 2 5 2" xfId="15" xr:uid="{00000000-0005-0000-0000-000008000000}"/>
    <cellStyle name="20% - Accent1 2 6" xfId="16" xr:uid="{00000000-0005-0000-0000-000009000000}"/>
    <cellStyle name="20% - Accent1 2 6 2" xfId="17" xr:uid="{00000000-0005-0000-0000-00000A000000}"/>
    <cellStyle name="20% - Accent1 2 7" xfId="18" xr:uid="{00000000-0005-0000-0000-00000B000000}"/>
    <cellStyle name="20% - Accent1 2 7 2" xfId="19" xr:uid="{00000000-0005-0000-0000-00000C000000}"/>
    <cellStyle name="20% - Accent1 2 8" xfId="20" xr:uid="{00000000-0005-0000-0000-00000D000000}"/>
    <cellStyle name="20% - Accent1 2 8 2" xfId="21" xr:uid="{00000000-0005-0000-0000-00000E000000}"/>
    <cellStyle name="20% - Accent1 2 9" xfId="22" xr:uid="{00000000-0005-0000-0000-00000F000000}"/>
    <cellStyle name="20% - Accent1 3" xfId="23" xr:uid="{00000000-0005-0000-0000-000010000000}"/>
    <cellStyle name="20% - Accent1 3 2" xfId="24" xr:uid="{00000000-0005-0000-0000-000011000000}"/>
    <cellStyle name="20% - Accent1 4" xfId="25" xr:uid="{00000000-0005-0000-0000-000012000000}"/>
    <cellStyle name="20% - Accent1 4 2" xfId="26" xr:uid="{00000000-0005-0000-0000-000013000000}"/>
    <cellStyle name="20% - Accent1 5" xfId="27" xr:uid="{00000000-0005-0000-0000-000014000000}"/>
    <cellStyle name="20% - Accent1 5 2" xfId="28" xr:uid="{00000000-0005-0000-0000-000015000000}"/>
    <cellStyle name="20% - Accent1 6" xfId="29" xr:uid="{00000000-0005-0000-0000-000016000000}"/>
    <cellStyle name="20% - Accent1 6 2" xfId="30" xr:uid="{00000000-0005-0000-0000-000017000000}"/>
    <cellStyle name="20% - Accent1 7" xfId="31" xr:uid="{00000000-0005-0000-0000-000018000000}"/>
    <cellStyle name="20% - Accent1 7 2" xfId="32" xr:uid="{00000000-0005-0000-0000-000019000000}"/>
    <cellStyle name="20% - Accent1 8" xfId="33" xr:uid="{00000000-0005-0000-0000-00001A000000}"/>
    <cellStyle name="20% - Accent1 8 2" xfId="34" xr:uid="{00000000-0005-0000-0000-00001B000000}"/>
    <cellStyle name="20% - Accent1 9" xfId="6" xr:uid="{00000000-0005-0000-0000-00001C000000}"/>
    <cellStyle name="20% - Accent2 2" xfId="36" xr:uid="{00000000-0005-0000-0000-00001D000000}"/>
    <cellStyle name="20% - Accent2 2 2" xfId="37" xr:uid="{00000000-0005-0000-0000-00001E000000}"/>
    <cellStyle name="20% - Accent2 2 2 2" xfId="38" xr:uid="{00000000-0005-0000-0000-00001F000000}"/>
    <cellStyle name="20% - Accent2 2 3" xfId="39" xr:uid="{00000000-0005-0000-0000-000020000000}"/>
    <cellStyle name="20% - Accent2 2 3 2" xfId="40" xr:uid="{00000000-0005-0000-0000-000021000000}"/>
    <cellStyle name="20% - Accent2 2 4" xfId="41" xr:uid="{00000000-0005-0000-0000-000022000000}"/>
    <cellStyle name="20% - Accent2 2 4 2" xfId="42" xr:uid="{00000000-0005-0000-0000-000023000000}"/>
    <cellStyle name="20% - Accent2 2 5" xfId="43" xr:uid="{00000000-0005-0000-0000-000024000000}"/>
    <cellStyle name="20% - Accent2 2 5 2" xfId="44" xr:uid="{00000000-0005-0000-0000-000025000000}"/>
    <cellStyle name="20% - Accent2 2 6" xfId="45" xr:uid="{00000000-0005-0000-0000-000026000000}"/>
    <cellStyle name="20% - Accent2 2 6 2" xfId="46" xr:uid="{00000000-0005-0000-0000-000027000000}"/>
    <cellStyle name="20% - Accent2 2 7" xfId="47" xr:uid="{00000000-0005-0000-0000-000028000000}"/>
    <cellStyle name="20% - Accent2 2 7 2" xfId="48" xr:uid="{00000000-0005-0000-0000-000029000000}"/>
    <cellStyle name="20% - Accent2 2 8" xfId="49" xr:uid="{00000000-0005-0000-0000-00002A000000}"/>
    <cellStyle name="20% - Accent2 2 8 2" xfId="50" xr:uid="{00000000-0005-0000-0000-00002B000000}"/>
    <cellStyle name="20% - Accent2 2 9" xfId="51" xr:uid="{00000000-0005-0000-0000-00002C000000}"/>
    <cellStyle name="20% - Accent2 3" xfId="52" xr:uid="{00000000-0005-0000-0000-00002D000000}"/>
    <cellStyle name="20% - Accent2 3 2" xfId="53" xr:uid="{00000000-0005-0000-0000-00002E000000}"/>
    <cellStyle name="20% - Accent2 4" xfId="54" xr:uid="{00000000-0005-0000-0000-00002F000000}"/>
    <cellStyle name="20% - Accent2 4 2" xfId="55" xr:uid="{00000000-0005-0000-0000-000030000000}"/>
    <cellStyle name="20% - Accent2 5" xfId="56" xr:uid="{00000000-0005-0000-0000-000031000000}"/>
    <cellStyle name="20% - Accent2 5 2" xfId="57" xr:uid="{00000000-0005-0000-0000-000032000000}"/>
    <cellStyle name="20% - Accent2 6" xfId="58" xr:uid="{00000000-0005-0000-0000-000033000000}"/>
    <cellStyle name="20% - Accent2 6 2" xfId="59" xr:uid="{00000000-0005-0000-0000-000034000000}"/>
    <cellStyle name="20% - Accent2 7" xfId="60" xr:uid="{00000000-0005-0000-0000-000035000000}"/>
    <cellStyle name="20% - Accent2 7 2" xfId="61" xr:uid="{00000000-0005-0000-0000-000036000000}"/>
    <cellStyle name="20% - Accent2 8" xfId="62" xr:uid="{00000000-0005-0000-0000-000037000000}"/>
    <cellStyle name="20% - Accent2 8 2" xfId="63" xr:uid="{00000000-0005-0000-0000-000038000000}"/>
    <cellStyle name="20% - Accent2 9" xfId="35" xr:uid="{00000000-0005-0000-0000-000039000000}"/>
    <cellStyle name="20% - Accent3 2" xfId="65" xr:uid="{00000000-0005-0000-0000-00003A000000}"/>
    <cellStyle name="20% - Accent3 2 2" xfId="66" xr:uid="{00000000-0005-0000-0000-00003B000000}"/>
    <cellStyle name="20% - Accent3 2 2 2" xfId="67" xr:uid="{00000000-0005-0000-0000-00003C000000}"/>
    <cellStyle name="20% - Accent3 2 3" xfId="68" xr:uid="{00000000-0005-0000-0000-00003D000000}"/>
    <cellStyle name="20% - Accent3 2 3 2" xfId="69" xr:uid="{00000000-0005-0000-0000-00003E000000}"/>
    <cellStyle name="20% - Accent3 2 4" xfId="70" xr:uid="{00000000-0005-0000-0000-00003F000000}"/>
    <cellStyle name="20% - Accent3 2 4 2" xfId="71" xr:uid="{00000000-0005-0000-0000-000040000000}"/>
    <cellStyle name="20% - Accent3 2 5" xfId="72" xr:uid="{00000000-0005-0000-0000-000041000000}"/>
    <cellStyle name="20% - Accent3 2 5 2" xfId="73" xr:uid="{00000000-0005-0000-0000-000042000000}"/>
    <cellStyle name="20% - Accent3 2 6" xfId="74" xr:uid="{00000000-0005-0000-0000-000043000000}"/>
    <cellStyle name="20% - Accent3 2 6 2" xfId="75" xr:uid="{00000000-0005-0000-0000-000044000000}"/>
    <cellStyle name="20% - Accent3 2 7" xfId="76" xr:uid="{00000000-0005-0000-0000-000045000000}"/>
    <cellStyle name="20% - Accent3 2 7 2" xfId="77" xr:uid="{00000000-0005-0000-0000-000046000000}"/>
    <cellStyle name="20% - Accent3 2 8" xfId="78" xr:uid="{00000000-0005-0000-0000-000047000000}"/>
    <cellStyle name="20% - Accent3 2 8 2" xfId="79" xr:uid="{00000000-0005-0000-0000-000048000000}"/>
    <cellStyle name="20% - Accent3 2 9" xfId="80" xr:uid="{00000000-0005-0000-0000-000049000000}"/>
    <cellStyle name="20% - Accent3 3" xfId="81" xr:uid="{00000000-0005-0000-0000-00004A000000}"/>
    <cellStyle name="20% - Accent3 3 2" xfId="82" xr:uid="{00000000-0005-0000-0000-00004B000000}"/>
    <cellStyle name="20% - Accent3 4" xfId="83" xr:uid="{00000000-0005-0000-0000-00004C000000}"/>
    <cellStyle name="20% - Accent3 4 2" xfId="84" xr:uid="{00000000-0005-0000-0000-00004D000000}"/>
    <cellStyle name="20% - Accent3 5" xfId="85" xr:uid="{00000000-0005-0000-0000-00004E000000}"/>
    <cellStyle name="20% - Accent3 5 2" xfId="86" xr:uid="{00000000-0005-0000-0000-00004F000000}"/>
    <cellStyle name="20% - Accent3 6" xfId="87" xr:uid="{00000000-0005-0000-0000-000050000000}"/>
    <cellStyle name="20% - Accent3 6 2" xfId="88" xr:uid="{00000000-0005-0000-0000-000051000000}"/>
    <cellStyle name="20% - Accent3 7" xfId="89" xr:uid="{00000000-0005-0000-0000-000052000000}"/>
    <cellStyle name="20% - Accent3 7 2" xfId="90" xr:uid="{00000000-0005-0000-0000-000053000000}"/>
    <cellStyle name="20% - Accent3 8" xfId="91" xr:uid="{00000000-0005-0000-0000-000054000000}"/>
    <cellStyle name="20% - Accent3 8 2" xfId="92" xr:uid="{00000000-0005-0000-0000-000055000000}"/>
    <cellStyle name="20% - Accent3 9" xfId="64" xr:uid="{00000000-0005-0000-0000-000056000000}"/>
    <cellStyle name="20% - Accent4 2" xfId="94" xr:uid="{00000000-0005-0000-0000-000057000000}"/>
    <cellStyle name="20% - Accent4 2 2" xfId="95" xr:uid="{00000000-0005-0000-0000-000058000000}"/>
    <cellStyle name="20% - Accent4 2 2 2" xfId="96" xr:uid="{00000000-0005-0000-0000-000059000000}"/>
    <cellStyle name="20% - Accent4 2 3" xfId="97" xr:uid="{00000000-0005-0000-0000-00005A000000}"/>
    <cellStyle name="20% - Accent4 2 3 2" xfId="98" xr:uid="{00000000-0005-0000-0000-00005B000000}"/>
    <cellStyle name="20% - Accent4 2 4" xfId="99" xr:uid="{00000000-0005-0000-0000-00005C000000}"/>
    <cellStyle name="20% - Accent4 2 4 2" xfId="100" xr:uid="{00000000-0005-0000-0000-00005D000000}"/>
    <cellStyle name="20% - Accent4 2 5" xfId="101" xr:uid="{00000000-0005-0000-0000-00005E000000}"/>
    <cellStyle name="20% - Accent4 2 5 2" xfId="102" xr:uid="{00000000-0005-0000-0000-00005F000000}"/>
    <cellStyle name="20% - Accent4 2 6" xfId="103" xr:uid="{00000000-0005-0000-0000-000060000000}"/>
    <cellStyle name="20% - Accent4 2 6 2" xfId="104" xr:uid="{00000000-0005-0000-0000-000061000000}"/>
    <cellStyle name="20% - Accent4 2 7" xfId="105" xr:uid="{00000000-0005-0000-0000-000062000000}"/>
    <cellStyle name="20% - Accent4 2 7 2" xfId="106" xr:uid="{00000000-0005-0000-0000-000063000000}"/>
    <cellStyle name="20% - Accent4 2 8" xfId="107" xr:uid="{00000000-0005-0000-0000-000064000000}"/>
    <cellStyle name="20% - Accent4 2 8 2" xfId="108" xr:uid="{00000000-0005-0000-0000-000065000000}"/>
    <cellStyle name="20% - Accent4 2 9" xfId="109" xr:uid="{00000000-0005-0000-0000-000066000000}"/>
    <cellStyle name="20% - Accent4 3" xfId="110" xr:uid="{00000000-0005-0000-0000-000067000000}"/>
    <cellStyle name="20% - Accent4 3 2" xfId="111" xr:uid="{00000000-0005-0000-0000-000068000000}"/>
    <cellStyle name="20% - Accent4 4" xfId="112" xr:uid="{00000000-0005-0000-0000-000069000000}"/>
    <cellStyle name="20% - Accent4 4 2" xfId="113" xr:uid="{00000000-0005-0000-0000-00006A000000}"/>
    <cellStyle name="20% - Accent4 5" xfId="114" xr:uid="{00000000-0005-0000-0000-00006B000000}"/>
    <cellStyle name="20% - Accent4 5 2" xfId="115" xr:uid="{00000000-0005-0000-0000-00006C000000}"/>
    <cellStyle name="20% - Accent4 6" xfId="116" xr:uid="{00000000-0005-0000-0000-00006D000000}"/>
    <cellStyle name="20% - Accent4 6 2" xfId="117" xr:uid="{00000000-0005-0000-0000-00006E000000}"/>
    <cellStyle name="20% - Accent4 7" xfId="118" xr:uid="{00000000-0005-0000-0000-00006F000000}"/>
    <cellStyle name="20% - Accent4 7 2" xfId="119" xr:uid="{00000000-0005-0000-0000-000070000000}"/>
    <cellStyle name="20% - Accent4 8" xfId="120" xr:uid="{00000000-0005-0000-0000-000071000000}"/>
    <cellStyle name="20% - Accent4 8 2" xfId="121" xr:uid="{00000000-0005-0000-0000-000072000000}"/>
    <cellStyle name="20% - Accent4 9" xfId="93" xr:uid="{00000000-0005-0000-0000-000073000000}"/>
    <cellStyle name="20% - Accent5 2" xfId="123" xr:uid="{00000000-0005-0000-0000-000074000000}"/>
    <cellStyle name="20% - Accent5 2 2" xfId="124" xr:uid="{00000000-0005-0000-0000-000075000000}"/>
    <cellStyle name="20% - Accent5 2 2 2" xfId="125" xr:uid="{00000000-0005-0000-0000-000076000000}"/>
    <cellStyle name="20% - Accent5 2 3" xfId="126" xr:uid="{00000000-0005-0000-0000-000077000000}"/>
    <cellStyle name="20% - Accent5 2 3 2" xfId="127" xr:uid="{00000000-0005-0000-0000-000078000000}"/>
    <cellStyle name="20% - Accent5 2 4" xfId="128" xr:uid="{00000000-0005-0000-0000-000079000000}"/>
    <cellStyle name="20% - Accent5 2 4 2" xfId="129" xr:uid="{00000000-0005-0000-0000-00007A000000}"/>
    <cellStyle name="20% - Accent5 2 5" xfId="130" xr:uid="{00000000-0005-0000-0000-00007B000000}"/>
    <cellStyle name="20% - Accent5 2 5 2" xfId="131" xr:uid="{00000000-0005-0000-0000-00007C000000}"/>
    <cellStyle name="20% - Accent5 2 6" xfId="132" xr:uid="{00000000-0005-0000-0000-00007D000000}"/>
    <cellStyle name="20% - Accent5 2 6 2" xfId="133" xr:uid="{00000000-0005-0000-0000-00007E000000}"/>
    <cellStyle name="20% - Accent5 2 7" xfId="134" xr:uid="{00000000-0005-0000-0000-00007F000000}"/>
    <cellStyle name="20% - Accent5 2 7 2" xfId="135" xr:uid="{00000000-0005-0000-0000-000080000000}"/>
    <cellStyle name="20% - Accent5 2 8" xfId="136" xr:uid="{00000000-0005-0000-0000-000081000000}"/>
    <cellStyle name="20% - Accent5 2 8 2" xfId="137" xr:uid="{00000000-0005-0000-0000-000082000000}"/>
    <cellStyle name="20% - Accent5 2 9" xfId="138" xr:uid="{00000000-0005-0000-0000-000083000000}"/>
    <cellStyle name="20% - Accent5 3" xfId="139" xr:uid="{00000000-0005-0000-0000-000084000000}"/>
    <cellStyle name="20% - Accent5 3 2" xfId="140" xr:uid="{00000000-0005-0000-0000-000085000000}"/>
    <cellStyle name="20% - Accent5 4" xfId="141" xr:uid="{00000000-0005-0000-0000-000086000000}"/>
    <cellStyle name="20% - Accent5 4 2" xfId="142" xr:uid="{00000000-0005-0000-0000-000087000000}"/>
    <cellStyle name="20% - Accent5 5" xfId="143" xr:uid="{00000000-0005-0000-0000-000088000000}"/>
    <cellStyle name="20% - Accent5 5 2" xfId="144" xr:uid="{00000000-0005-0000-0000-000089000000}"/>
    <cellStyle name="20% - Accent5 6" xfId="145" xr:uid="{00000000-0005-0000-0000-00008A000000}"/>
    <cellStyle name="20% - Accent5 6 2" xfId="146" xr:uid="{00000000-0005-0000-0000-00008B000000}"/>
    <cellStyle name="20% - Accent5 7" xfId="147" xr:uid="{00000000-0005-0000-0000-00008C000000}"/>
    <cellStyle name="20% - Accent5 7 2" xfId="148" xr:uid="{00000000-0005-0000-0000-00008D000000}"/>
    <cellStyle name="20% - Accent5 8" xfId="149" xr:uid="{00000000-0005-0000-0000-00008E000000}"/>
    <cellStyle name="20% - Accent5 8 2" xfId="150" xr:uid="{00000000-0005-0000-0000-00008F000000}"/>
    <cellStyle name="20% - Accent5 9" xfId="122" xr:uid="{00000000-0005-0000-0000-000090000000}"/>
    <cellStyle name="20% - Accent6 2" xfId="152" xr:uid="{00000000-0005-0000-0000-000091000000}"/>
    <cellStyle name="20% - Accent6 2 2" xfId="153" xr:uid="{00000000-0005-0000-0000-000092000000}"/>
    <cellStyle name="20% - Accent6 2 2 2" xfId="154" xr:uid="{00000000-0005-0000-0000-000093000000}"/>
    <cellStyle name="20% - Accent6 2 3" xfId="155" xr:uid="{00000000-0005-0000-0000-000094000000}"/>
    <cellStyle name="20% - Accent6 2 3 2" xfId="156" xr:uid="{00000000-0005-0000-0000-000095000000}"/>
    <cellStyle name="20% - Accent6 2 4" xfId="157" xr:uid="{00000000-0005-0000-0000-000096000000}"/>
    <cellStyle name="20% - Accent6 2 4 2" xfId="158" xr:uid="{00000000-0005-0000-0000-000097000000}"/>
    <cellStyle name="20% - Accent6 2 5" xfId="159" xr:uid="{00000000-0005-0000-0000-000098000000}"/>
    <cellStyle name="20% - Accent6 2 5 2" xfId="160" xr:uid="{00000000-0005-0000-0000-000099000000}"/>
    <cellStyle name="20% - Accent6 2 6" xfId="161" xr:uid="{00000000-0005-0000-0000-00009A000000}"/>
    <cellStyle name="20% - Accent6 2 6 2" xfId="162" xr:uid="{00000000-0005-0000-0000-00009B000000}"/>
    <cellStyle name="20% - Accent6 2 7" xfId="163" xr:uid="{00000000-0005-0000-0000-00009C000000}"/>
    <cellStyle name="20% - Accent6 2 7 2" xfId="164" xr:uid="{00000000-0005-0000-0000-00009D000000}"/>
    <cellStyle name="20% - Accent6 2 8" xfId="165" xr:uid="{00000000-0005-0000-0000-00009E000000}"/>
    <cellStyle name="20% - Accent6 2 8 2" xfId="166" xr:uid="{00000000-0005-0000-0000-00009F000000}"/>
    <cellStyle name="20% - Accent6 2 9" xfId="167" xr:uid="{00000000-0005-0000-0000-0000A0000000}"/>
    <cellStyle name="20% - Accent6 3" xfId="168" xr:uid="{00000000-0005-0000-0000-0000A1000000}"/>
    <cellStyle name="20% - Accent6 3 2" xfId="169" xr:uid="{00000000-0005-0000-0000-0000A2000000}"/>
    <cellStyle name="20% - Accent6 4" xfId="170" xr:uid="{00000000-0005-0000-0000-0000A3000000}"/>
    <cellStyle name="20% - Accent6 4 2" xfId="171" xr:uid="{00000000-0005-0000-0000-0000A4000000}"/>
    <cellStyle name="20% - Accent6 5" xfId="172" xr:uid="{00000000-0005-0000-0000-0000A5000000}"/>
    <cellStyle name="20% - Accent6 5 2" xfId="173" xr:uid="{00000000-0005-0000-0000-0000A6000000}"/>
    <cellStyle name="20% - Accent6 6" xfId="174" xr:uid="{00000000-0005-0000-0000-0000A7000000}"/>
    <cellStyle name="20% - Accent6 6 2" xfId="175" xr:uid="{00000000-0005-0000-0000-0000A8000000}"/>
    <cellStyle name="20% - Accent6 7" xfId="176" xr:uid="{00000000-0005-0000-0000-0000A9000000}"/>
    <cellStyle name="20% - Accent6 7 2" xfId="177" xr:uid="{00000000-0005-0000-0000-0000AA000000}"/>
    <cellStyle name="20% - Accent6 8" xfId="178" xr:uid="{00000000-0005-0000-0000-0000AB000000}"/>
    <cellStyle name="20% - Accent6 8 2" xfId="179" xr:uid="{00000000-0005-0000-0000-0000AC000000}"/>
    <cellStyle name="20% - Accent6 9" xfId="151" xr:uid="{00000000-0005-0000-0000-0000AD000000}"/>
    <cellStyle name="2x indented GHG Textfiels" xfId="180" xr:uid="{00000000-0005-0000-0000-0000AE000000}"/>
    <cellStyle name="40% - Accent1 2" xfId="182" xr:uid="{00000000-0005-0000-0000-0000AF000000}"/>
    <cellStyle name="40% - Accent1 2 2" xfId="183" xr:uid="{00000000-0005-0000-0000-0000B0000000}"/>
    <cellStyle name="40% - Accent1 2 2 2" xfId="184" xr:uid="{00000000-0005-0000-0000-0000B1000000}"/>
    <cellStyle name="40% - Accent1 2 3" xfId="185" xr:uid="{00000000-0005-0000-0000-0000B2000000}"/>
    <cellStyle name="40% - Accent1 2 3 2" xfId="186" xr:uid="{00000000-0005-0000-0000-0000B3000000}"/>
    <cellStyle name="40% - Accent1 2 4" xfId="187" xr:uid="{00000000-0005-0000-0000-0000B4000000}"/>
    <cellStyle name="40% - Accent1 2 4 2" xfId="188" xr:uid="{00000000-0005-0000-0000-0000B5000000}"/>
    <cellStyle name="40% - Accent1 2 5" xfId="189" xr:uid="{00000000-0005-0000-0000-0000B6000000}"/>
    <cellStyle name="40% - Accent1 2 5 2" xfId="190" xr:uid="{00000000-0005-0000-0000-0000B7000000}"/>
    <cellStyle name="40% - Accent1 2 6" xfId="191" xr:uid="{00000000-0005-0000-0000-0000B8000000}"/>
    <cellStyle name="40% - Accent1 2 6 2" xfId="192" xr:uid="{00000000-0005-0000-0000-0000B9000000}"/>
    <cellStyle name="40% - Accent1 2 7" xfId="193" xr:uid="{00000000-0005-0000-0000-0000BA000000}"/>
    <cellStyle name="40% - Accent1 2 7 2" xfId="194" xr:uid="{00000000-0005-0000-0000-0000BB000000}"/>
    <cellStyle name="40% - Accent1 2 8" xfId="195" xr:uid="{00000000-0005-0000-0000-0000BC000000}"/>
    <cellStyle name="40% - Accent1 2 8 2" xfId="196" xr:uid="{00000000-0005-0000-0000-0000BD000000}"/>
    <cellStyle name="40% - Accent1 2 9" xfId="197" xr:uid="{00000000-0005-0000-0000-0000BE000000}"/>
    <cellStyle name="40% - Accent1 3" xfId="198" xr:uid="{00000000-0005-0000-0000-0000BF000000}"/>
    <cellStyle name="40% - Accent1 3 2" xfId="199" xr:uid="{00000000-0005-0000-0000-0000C0000000}"/>
    <cellStyle name="40% - Accent1 4" xfId="200" xr:uid="{00000000-0005-0000-0000-0000C1000000}"/>
    <cellStyle name="40% - Accent1 4 2" xfId="201" xr:uid="{00000000-0005-0000-0000-0000C2000000}"/>
    <cellStyle name="40% - Accent1 5" xfId="202" xr:uid="{00000000-0005-0000-0000-0000C3000000}"/>
    <cellStyle name="40% - Accent1 5 2" xfId="203" xr:uid="{00000000-0005-0000-0000-0000C4000000}"/>
    <cellStyle name="40% - Accent1 6" xfId="204" xr:uid="{00000000-0005-0000-0000-0000C5000000}"/>
    <cellStyle name="40% - Accent1 6 2" xfId="205" xr:uid="{00000000-0005-0000-0000-0000C6000000}"/>
    <cellStyle name="40% - Accent1 7" xfId="206" xr:uid="{00000000-0005-0000-0000-0000C7000000}"/>
    <cellStyle name="40% - Accent1 7 2" xfId="207" xr:uid="{00000000-0005-0000-0000-0000C8000000}"/>
    <cellStyle name="40% - Accent1 8" xfId="208" xr:uid="{00000000-0005-0000-0000-0000C9000000}"/>
    <cellStyle name="40% - Accent1 8 2" xfId="209" xr:uid="{00000000-0005-0000-0000-0000CA000000}"/>
    <cellStyle name="40% - Accent1 9" xfId="181" xr:uid="{00000000-0005-0000-0000-0000CB000000}"/>
    <cellStyle name="40% - Accent2 2" xfId="211" xr:uid="{00000000-0005-0000-0000-0000CC000000}"/>
    <cellStyle name="40% - Accent2 2 2" xfId="212" xr:uid="{00000000-0005-0000-0000-0000CD000000}"/>
    <cellStyle name="40% - Accent2 2 2 2" xfId="213" xr:uid="{00000000-0005-0000-0000-0000CE000000}"/>
    <cellStyle name="40% - Accent2 2 3" xfId="214" xr:uid="{00000000-0005-0000-0000-0000CF000000}"/>
    <cellStyle name="40% - Accent2 2 3 2" xfId="215" xr:uid="{00000000-0005-0000-0000-0000D0000000}"/>
    <cellStyle name="40% - Accent2 2 4" xfId="216" xr:uid="{00000000-0005-0000-0000-0000D1000000}"/>
    <cellStyle name="40% - Accent2 2 4 2" xfId="217" xr:uid="{00000000-0005-0000-0000-0000D2000000}"/>
    <cellStyle name="40% - Accent2 2 5" xfId="218" xr:uid="{00000000-0005-0000-0000-0000D3000000}"/>
    <cellStyle name="40% - Accent2 2 5 2" xfId="219" xr:uid="{00000000-0005-0000-0000-0000D4000000}"/>
    <cellStyle name="40% - Accent2 2 6" xfId="220" xr:uid="{00000000-0005-0000-0000-0000D5000000}"/>
    <cellStyle name="40% - Accent2 2 6 2" xfId="221" xr:uid="{00000000-0005-0000-0000-0000D6000000}"/>
    <cellStyle name="40% - Accent2 2 7" xfId="222" xr:uid="{00000000-0005-0000-0000-0000D7000000}"/>
    <cellStyle name="40% - Accent2 2 7 2" xfId="223" xr:uid="{00000000-0005-0000-0000-0000D8000000}"/>
    <cellStyle name="40% - Accent2 2 8" xfId="224" xr:uid="{00000000-0005-0000-0000-0000D9000000}"/>
    <cellStyle name="40% - Accent2 2 8 2" xfId="225" xr:uid="{00000000-0005-0000-0000-0000DA000000}"/>
    <cellStyle name="40% - Accent2 2 9" xfId="226" xr:uid="{00000000-0005-0000-0000-0000DB000000}"/>
    <cellStyle name="40% - Accent2 3" xfId="227" xr:uid="{00000000-0005-0000-0000-0000DC000000}"/>
    <cellStyle name="40% - Accent2 3 2" xfId="228" xr:uid="{00000000-0005-0000-0000-0000DD000000}"/>
    <cellStyle name="40% - Accent2 4" xfId="229" xr:uid="{00000000-0005-0000-0000-0000DE000000}"/>
    <cellStyle name="40% - Accent2 4 2" xfId="230" xr:uid="{00000000-0005-0000-0000-0000DF000000}"/>
    <cellStyle name="40% - Accent2 5" xfId="231" xr:uid="{00000000-0005-0000-0000-0000E0000000}"/>
    <cellStyle name="40% - Accent2 5 2" xfId="232" xr:uid="{00000000-0005-0000-0000-0000E1000000}"/>
    <cellStyle name="40% - Accent2 6" xfId="233" xr:uid="{00000000-0005-0000-0000-0000E2000000}"/>
    <cellStyle name="40% - Accent2 6 2" xfId="234" xr:uid="{00000000-0005-0000-0000-0000E3000000}"/>
    <cellStyle name="40% - Accent2 7" xfId="235" xr:uid="{00000000-0005-0000-0000-0000E4000000}"/>
    <cellStyle name="40% - Accent2 7 2" xfId="236" xr:uid="{00000000-0005-0000-0000-0000E5000000}"/>
    <cellStyle name="40% - Accent2 8" xfId="237" xr:uid="{00000000-0005-0000-0000-0000E6000000}"/>
    <cellStyle name="40% - Accent2 8 2" xfId="238" xr:uid="{00000000-0005-0000-0000-0000E7000000}"/>
    <cellStyle name="40% - Accent2 9" xfId="210" xr:uid="{00000000-0005-0000-0000-0000E8000000}"/>
    <cellStyle name="40% - Accent3 2" xfId="240" xr:uid="{00000000-0005-0000-0000-0000E9000000}"/>
    <cellStyle name="40% - Accent3 2 2" xfId="241" xr:uid="{00000000-0005-0000-0000-0000EA000000}"/>
    <cellStyle name="40% - Accent3 2 2 2" xfId="242" xr:uid="{00000000-0005-0000-0000-0000EB000000}"/>
    <cellStyle name="40% - Accent3 2 3" xfId="243" xr:uid="{00000000-0005-0000-0000-0000EC000000}"/>
    <cellStyle name="40% - Accent3 2 3 2" xfId="244" xr:uid="{00000000-0005-0000-0000-0000ED000000}"/>
    <cellStyle name="40% - Accent3 2 4" xfId="245" xr:uid="{00000000-0005-0000-0000-0000EE000000}"/>
    <cellStyle name="40% - Accent3 2 4 2" xfId="246" xr:uid="{00000000-0005-0000-0000-0000EF000000}"/>
    <cellStyle name="40% - Accent3 2 5" xfId="247" xr:uid="{00000000-0005-0000-0000-0000F0000000}"/>
    <cellStyle name="40% - Accent3 2 5 2" xfId="248" xr:uid="{00000000-0005-0000-0000-0000F1000000}"/>
    <cellStyle name="40% - Accent3 2 6" xfId="249" xr:uid="{00000000-0005-0000-0000-0000F2000000}"/>
    <cellStyle name="40% - Accent3 2 6 2" xfId="250" xr:uid="{00000000-0005-0000-0000-0000F3000000}"/>
    <cellStyle name="40% - Accent3 2 7" xfId="251" xr:uid="{00000000-0005-0000-0000-0000F4000000}"/>
    <cellStyle name="40% - Accent3 2 7 2" xfId="252" xr:uid="{00000000-0005-0000-0000-0000F5000000}"/>
    <cellStyle name="40% - Accent3 2 8" xfId="253" xr:uid="{00000000-0005-0000-0000-0000F6000000}"/>
    <cellStyle name="40% - Accent3 2 8 2" xfId="254" xr:uid="{00000000-0005-0000-0000-0000F7000000}"/>
    <cellStyle name="40% - Accent3 2 9" xfId="255" xr:uid="{00000000-0005-0000-0000-0000F8000000}"/>
    <cellStyle name="40% - Accent3 3" xfId="256" xr:uid="{00000000-0005-0000-0000-0000F9000000}"/>
    <cellStyle name="40% - Accent3 3 2" xfId="257" xr:uid="{00000000-0005-0000-0000-0000FA000000}"/>
    <cellStyle name="40% - Accent3 4" xfId="258" xr:uid="{00000000-0005-0000-0000-0000FB000000}"/>
    <cellStyle name="40% - Accent3 4 2" xfId="259" xr:uid="{00000000-0005-0000-0000-0000FC000000}"/>
    <cellStyle name="40% - Accent3 5" xfId="260" xr:uid="{00000000-0005-0000-0000-0000FD000000}"/>
    <cellStyle name="40% - Accent3 5 2" xfId="261" xr:uid="{00000000-0005-0000-0000-0000FE000000}"/>
    <cellStyle name="40% - Accent3 6" xfId="262" xr:uid="{00000000-0005-0000-0000-0000FF000000}"/>
    <cellStyle name="40% - Accent3 6 2" xfId="263" xr:uid="{00000000-0005-0000-0000-000000010000}"/>
    <cellStyle name="40% - Accent3 7" xfId="264" xr:uid="{00000000-0005-0000-0000-000001010000}"/>
    <cellStyle name="40% - Accent3 7 2" xfId="265" xr:uid="{00000000-0005-0000-0000-000002010000}"/>
    <cellStyle name="40% - Accent3 8" xfId="266" xr:uid="{00000000-0005-0000-0000-000003010000}"/>
    <cellStyle name="40% - Accent3 8 2" xfId="267" xr:uid="{00000000-0005-0000-0000-000004010000}"/>
    <cellStyle name="40% - Accent3 9" xfId="239" xr:uid="{00000000-0005-0000-0000-000005010000}"/>
    <cellStyle name="40% - Accent4 2" xfId="269" xr:uid="{00000000-0005-0000-0000-000006010000}"/>
    <cellStyle name="40% - Accent4 2 2" xfId="270" xr:uid="{00000000-0005-0000-0000-000007010000}"/>
    <cellStyle name="40% - Accent4 2 2 2" xfId="271" xr:uid="{00000000-0005-0000-0000-000008010000}"/>
    <cellStyle name="40% - Accent4 2 3" xfId="272" xr:uid="{00000000-0005-0000-0000-000009010000}"/>
    <cellStyle name="40% - Accent4 2 3 2" xfId="273" xr:uid="{00000000-0005-0000-0000-00000A010000}"/>
    <cellStyle name="40% - Accent4 2 4" xfId="274" xr:uid="{00000000-0005-0000-0000-00000B010000}"/>
    <cellStyle name="40% - Accent4 2 4 2" xfId="275" xr:uid="{00000000-0005-0000-0000-00000C010000}"/>
    <cellStyle name="40% - Accent4 2 5" xfId="276" xr:uid="{00000000-0005-0000-0000-00000D010000}"/>
    <cellStyle name="40% - Accent4 2 5 2" xfId="277" xr:uid="{00000000-0005-0000-0000-00000E010000}"/>
    <cellStyle name="40% - Accent4 2 6" xfId="278" xr:uid="{00000000-0005-0000-0000-00000F010000}"/>
    <cellStyle name="40% - Accent4 2 6 2" xfId="279" xr:uid="{00000000-0005-0000-0000-000010010000}"/>
    <cellStyle name="40% - Accent4 2 7" xfId="280" xr:uid="{00000000-0005-0000-0000-000011010000}"/>
    <cellStyle name="40% - Accent4 2 7 2" xfId="281" xr:uid="{00000000-0005-0000-0000-000012010000}"/>
    <cellStyle name="40% - Accent4 2 8" xfId="282" xr:uid="{00000000-0005-0000-0000-000013010000}"/>
    <cellStyle name="40% - Accent4 2 8 2" xfId="283" xr:uid="{00000000-0005-0000-0000-000014010000}"/>
    <cellStyle name="40% - Accent4 2 9" xfId="284" xr:uid="{00000000-0005-0000-0000-000015010000}"/>
    <cellStyle name="40% - Accent4 3" xfId="285" xr:uid="{00000000-0005-0000-0000-000016010000}"/>
    <cellStyle name="40% - Accent4 3 2" xfId="286" xr:uid="{00000000-0005-0000-0000-000017010000}"/>
    <cellStyle name="40% - Accent4 4" xfId="287" xr:uid="{00000000-0005-0000-0000-000018010000}"/>
    <cellStyle name="40% - Accent4 4 2" xfId="288" xr:uid="{00000000-0005-0000-0000-000019010000}"/>
    <cellStyle name="40% - Accent4 5" xfId="289" xr:uid="{00000000-0005-0000-0000-00001A010000}"/>
    <cellStyle name="40% - Accent4 5 2" xfId="290" xr:uid="{00000000-0005-0000-0000-00001B010000}"/>
    <cellStyle name="40% - Accent4 6" xfId="291" xr:uid="{00000000-0005-0000-0000-00001C010000}"/>
    <cellStyle name="40% - Accent4 6 2" xfId="292" xr:uid="{00000000-0005-0000-0000-00001D010000}"/>
    <cellStyle name="40% - Accent4 7" xfId="293" xr:uid="{00000000-0005-0000-0000-00001E010000}"/>
    <cellStyle name="40% - Accent4 7 2" xfId="294" xr:uid="{00000000-0005-0000-0000-00001F010000}"/>
    <cellStyle name="40% - Accent4 8" xfId="295" xr:uid="{00000000-0005-0000-0000-000020010000}"/>
    <cellStyle name="40% - Accent4 8 2" xfId="296" xr:uid="{00000000-0005-0000-0000-000021010000}"/>
    <cellStyle name="40% - Accent4 9" xfId="268" xr:uid="{00000000-0005-0000-0000-000022010000}"/>
    <cellStyle name="40% - Accent5 2" xfId="298" xr:uid="{00000000-0005-0000-0000-000023010000}"/>
    <cellStyle name="40% - Accent5 2 2" xfId="299" xr:uid="{00000000-0005-0000-0000-000024010000}"/>
    <cellStyle name="40% - Accent5 2 2 2" xfId="300" xr:uid="{00000000-0005-0000-0000-000025010000}"/>
    <cellStyle name="40% - Accent5 2 3" xfId="301" xr:uid="{00000000-0005-0000-0000-000026010000}"/>
    <cellStyle name="40% - Accent5 2 3 2" xfId="302" xr:uid="{00000000-0005-0000-0000-000027010000}"/>
    <cellStyle name="40% - Accent5 2 4" xfId="303" xr:uid="{00000000-0005-0000-0000-000028010000}"/>
    <cellStyle name="40% - Accent5 2 4 2" xfId="304" xr:uid="{00000000-0005-0000-0000-000029010000}"/>
    <cellStyle name="40% - Accent5 2 5" xfId="305" xr:uid="{00000000-0005-0000-0000-00002A010000}"/>
    <cellStyle name="40% - Accent5 2 5 2" xfId="306" xr:uid="{00000000-0005-0000-0000-00002B010000}"/>
    <cellStyle name="40% - Accent5 2 6" xfId="307" xr:uid="{00000000-0005-0000-0000-00002C010000}"/>
    <cellStyle name="40% - Accent5 2 6 2" xfId="308" xr:uid="{00000000-0005-0000-0000-00002D010000}"/>
    <cellStyle name="40% - Accent5 2 7" xfId="309" xr:uid="{00000000-0005-0000-0000-00002E010000}"/>
    <cellStyle name="40% - Accent5 2 7 2" xfId="310" xr:uid="{00000000-0005-0000-0000-00002F010000}"/>
    <cellStyle name="40% - Accent5 2 8" xfId="311" xr:uid="{00000000-0005-0000-0000-000030010000}"/>
    <cellStyle name="40% - Accent5 2 8 2" xfId="312" xr:uid="{00000000-0005-0000-0000-000031010000}"/>
    <cellStyle name="40% - Accent5 2 9" xfId="313" xr:uid="{00000000-0005-0000-0000-000032010000}"/>
    <cellStyle name="40% - Accent5 3" xfId="314" xr:uid="{00000000-0005-0000-0000-000033010000}"/>
    <cellStyle name="40% - Accent5 3 2" xfId="315" xr:uid="{00000000-0005-0000-0000-000034010000}"/>
    <cellStyle name="40% - Accent5 4" xfId="316" xr:uid="{00000000-0005-0000-0000-000035010000}"/>
    <cellStyle name="40% - Accent5 4 2" xfId="317" xr:uid="{00000000-0005-0000-0000-000036010000}"/>
    <cellStyle name="40% - Accent5 5" xfId="318" xr:uid="{00000000-0005-0000-0000-000037010000}"/>
    <cellStyle name="40% - Accent5 5 2" xfId="319" xr:uid="{00000000-0005-0000-0000-000038010000}"/>
    <cellStyle name="40% - Accent5 6" xfId="320" xr:uid="{00000000-0005-0000-0000-000039010000}"/>
    <cellStyle name="40% - Accent5 6 2" xfId="321" xr:uid="{00000000-0005-0000-0000-00003A010000}"/>
    <cellStyle name="40% - Accent5 7" xfId="322" xr:uid="{00000000-0005-0000-0000-00003B010000}"/>
    <cellStyle name="40% - Accent5 7 2" xfId="323" xr:uid="{00000000-0005-0000-0000-00003C010000}"/>
    <cellStyle name="40% - Accent5 8" xfId="324" xr:uid="{00000000-0005-0000-0000-00003D010000}"/>
    <cellStyle name="40% - Accent5 8 2" xfId="325" xr:uid="{00000000-0005-0000-0000-00003E010000}"/>
    <cellStyle name="40% - Accent5 9" xfId="297" xr:uid="{00000000-0005-0000-0000-00003F010000}"/>
    <cellStyle name="40% - Accent6 2" xfId="327" xr:uid="{00000000-0005-0000-0000-000040010000}"/>
    <cellStyle name="40% - Accent6 2 2" xfId="328" xr:uid="{00000000-0005-0000-0000-000041010000}"/>
    <cellStyle name="40% - Accent6 2 2 2" xfId="329" xr:uid="{00000000-0005-0000-0000-000042010000}"/>
    <cellStyle name="40% - Accent6 2 3" xfId="330" xr:uid="{00000000-0005-0000-0000-000043010000}"/>
    <cellStyle name="40% - Accent6 2 3 2" xfId="331" xr:uid="{00000000-0005-0000-0000-000044010000}"/>
    <cellStyle name="40% - Accent6 2 4" xfId="332" xr:uid="{00000000-0005-0000-0000-000045010000}"/>
    <cellStyle name="40% - Accent6 2 4 2" xfId="333" xr:uid="{00000000-0005-0000-0000-000046010000}"/>
    <cellStyle name="40% - Accent6 2 5" xfId="334" xr:uid="{00000000-0005-0000-0000-000047010000}"/>
    <cellStyle name="40% - Accent6 2 5 2" xfId="335" xr:uid="{00000000-0005-0000-0000-000048010000}"/>
    <cellStyle name="40% - Accent6 2 6" xfId="336" xr:uid="{00000000-0005-0000-0000-000049010000}"/>
    <cellStyle name="40% - Accent6 2 6 2" xfId="337" xr:uid="{00000000-0005-0000-0000-00004A010000}"/>
    <cellStyle name="40% - Accent6 2 7" xfId="338" xr:uid="{00000000-0005-0000-0000-00004B010000}"/>
    <cellStyle name="40% - Accent6 2 7 2" xfId="339" xr:uid="{00000000-0005-0000-0000-00004C010000}"/>
    <cellStyle name="40% - Accent6 2 8" xfId="340" xr:uid="{00000000-0005-0000-0000-00004D010000}"/>
    <cellStyle name="40% - Accent6 2 8 2" xfId="341" xr:uid="{00000000-0005-0000-0000-00004E010000}"/>
    <cellStyle name="40% - Accent6 2 9" xfId="342" xr:uid="{00000000-0005-0000-0000-00004F010000}"/>
    <cellStyle name="40% - Accent6 3" xfId="343" xr:uid="{00000000-0005-0000-0000-000050010000}"/>
    <cellStyle name="40% - Accent6 3 2" xfId="344" xr:uid="{00000000-0005-0000-0000-000051010000}"/>
    <cellStyle name="40% - Accent6 4" xfId="345" xr:uid="{00000000-0005-0000-0000-000052010000}"/>
    <cellStyle name="40% - Accent6 4 2" xfId="346" xr:uid="{00000000-0005-0000-0000-000053010000}"/>
    <cellStyle name="40% - Accent6 5" xfId="347" xr:uid="{00000000-0005-0000-0000-000054010000}"/>
    <cellStyle name="40% - Accent6 5 2" xfId="348" xr:uid="{00000000-0005-0000-0000-000055010000}"/>
    <cellStyle name="40% - Accent6 6" xfId="349" xr:uid="{00000000-0005-0000-0000-000056010000}"/>
    <cellStyle name="40% - Accent6 6 2" xfId="350" xr:uid="{00000000-0005-0000-0000-000057010000}"/>
    <cellStyle name="40% - Accent6 7" xfId="351" xr:uid="{00000000-0005-0000-0000-000058010000}"/>
    <cellStyle name="40% - Accent6 7 2" xfId="352" xr:uid="{00000000-0005-0000-0000-000059010000}"/>
    <cellStyle name="40% - Accent6 8" xfId="353" xr:uid="{00000000-0005-0000-0000-00005A010000}"/>
    <cellStyle name="40% - Accent6 8 2" xfId="354" xr:uid="{00000000-0005-0000-0000-00005B010000}"/>
    <cellStyle name="40% - Accent6 9" xfId="326" xr:uid="{00000000-0005-0000-0000-00005C010000}"/>
    <cellStyle name="5x indented GHG Textfiels" xfId="355" xr:uid="{00000000-0005-0000-0000-00005D010000}"/>
    <cellStyle name="60% - Accent1 2" xfId="357" xr:uid="{00000000-0005-0000-0000-00005E010000}"/>
    <cellStyle name="60% - Accent1 2 2" xfId="358" xr:uid="{00000000-0005-0000-0000-00005F010000}"/>
    <cellStyle name="60% - Accent1 2 3" xfId="359" xr:uid="{00000000-0005-0000-0000-000060010000}"/>
    <cellStyle name="60% - Accent1 2 4" xfId="360" xr:uid="{00000000-0005-0000-0000-000061010000}"/>
    <cellStyle name="60% - Accent1 2 5" xfId="361" xr:uid="{00000000-0005-0000-0000-000062010000}"/>
    <cellStyle name="60% - Accent1 2 6" xfId="362" xr:uid="{00000000-0005-0000-0000-000063010000}"/>
    <cellStyle name="60% - Accent1 2 7" xfId="363" xr:uid="{00000000-0005-0000-0000-000064010000}"/>
    <cellStyle name="60% - Accent1 2 8" xfId="364" xr:uid="{00000000-0005-0000-0000-000065010000}"/>
    <cellStyle name="60% - Accent1 3" xfId="365" xr:uid="{00000000-0005-0000-0000-000066010000}"/>
    <cellStyle name="60% - Accent1 3 2" xfId="366" xr:uid="{00000000-0005-0000-0000-000067010000}"/>
    <cellStyle name="60% - Accent1 4" xfId="367" xr:uid="{00000000-0005-0000-0000-000068010000}"/>
    <cellStyle name="60% - Accent1 4 2" xfId="368" xr:uid="{00000000-0005-0000-0000-000069010000}"/>
    <cellStyle name="60% - Accent1 5" xfId="369" xr:uid="{00000000-0005-0000-0000-00006A010000}"/>
    <cellStyle name="60% - Accent1 5 2" xfId="370" xr:uid="{00000000-0005-0000-0000-00006B010000}"/>
    <cellStyle name="60% - Accent1 6" xfId="371" xr:uid="{00000000-0005-0000-0000-00006C010000}"/>
    <cellStyle name="60% - Accent1 6 2" xfId="372" xr:uid="{00000000-0005-0000-0000-00006D010000}"/>
    <cellStyle name="60% - Accent1 7" xfId="373" xr:uid="{00000000-0005-0000-0000-00006E010000}"/>
    <cellStyle name="60% - Accent1 7 2" xfId="374" xr:uid="{00000000-0005-0000-0000-00006F010000}"/>
    <cellStyle name="60% - Accent1 8" xfId="375" xr:uid="{00000000-0005-0000-0000-000070010000}"/>
    <cellStyle name="60% - Accent1 8 2" xfId="376" xr:uid="{00000000-0005-0000-0000-000071010000}"/>
    <cellStyle name="60% - Accent1 9" xfId="356" xr:uid="{00000000-0005-0000-0000-000072010000}"/>
    <cellStyle name="60% - Accent2 2" xfId="378" xr:uid="{00000000-0005-0000-0000-000073010000}"/>
    <cellStyle name="60% - Accent2 2 2" xfId="379" xr:uid="{00000000-0005-0000-0000-000074010000}"/>
    <cellStyle name="60% - Accent2 2 3" xfId="380" xr:uid="{00000000-0005-0000-0000-000075010000}"/>
    <cellStyle name="60% - Accent2 2 4" xfId="381" xr:uid="{00000000-0005-0000-0000-000076010000}"/>
    <cellStyle name="60% - Accent2 2 5" xfId="382" xr:uid="{00000000-0005-0000-0000-000077010000}"/>
    <cellStyle name="60% - Accent2 2 6" xfId="383" xr:uid="{00000000-0005-0000-0000-000078010000}"/>
    <cellStyle name="60% - Accent2 2 7" xfId="384" xr:uid="{00000000-0005-0000-0000-000079010000}"/>
    <cellStyle name="60% - Accent2 2 8" xfId="385" xr:uid="{00000000-0005-0000-0000-00007A010000}"/>
    <cellStyle name="60% - Accent2 3" xfId="386" xr:uid="{00000000-0005-0000-0000-00007B010000}"/>
    <cellStyle name="60% - Accent2 3 2" xfId="387" xr:uid="{00000000-0005-0000-0000-00007C010000}"/>
    <cellStyle name="60% - Accent2 4" xfId="388" xr:uid="{00000000-0005-0000-0000-00007D010000}"/>
    <cellStyle name="60% - Accent2 4 2" xfId="389" xr:uid="{00000000-0005-0000-0000-00007E010000}"/>
    <cellStyle name="60% - Accent2 5" xfId="390" xr:uid="{00000000-0005-0000-0000-00007F010000}"/>
    <cellStyle name="60% - Accent2 5 2" xfId="391" xr:uid="{00000000-0005-0000-0000-000080010000}"/>
    <cellStyle name="60% - Accent2 6" xfId="392" xr:uid="{00000000-0005-0000-0000-000081010000}"/>
    <cellStyle name="60% - Accent2 6 2" xfId="393" xr:uid="{00000000-0005-0000-0000-000082010000}"/>
    <cellStyle name="60% - Accent2 7" xfId="394" xr:uid="{00000000-0005-0000-0000-000083010000}"/>
    <cellStyle name="60% - Accent2 7 2" xfId="395" xr:uid="{00000000-0005-0000-0000-000084010000}"/>
    <cellStyle name="60% - Accent2 8" xfId="396" xr:uid="{00000000-0005-0000-0000-000085010000}"/>
    <cellStyle name="60% - Accent2 8 2" xfId="397" xr:uid="{00000000-0005-0000-0000-000086010000}"/>
    <cellStyle name="60% - Accent2 9" xfId="377" xr:uid="{00000000-0005-0000-0000-000087010000}"/>
    <cellStyle name="60% - Accent3 2" xfId="399" xr:uid="{00000000-0005-0000-0000-000088010000}"/>
    <cellStyle name="60% - Accent3 2 2" xfId="400" xr:uid="{00000000-0005-0000-0000-000089010000}"/>
    <cellStyle name="60% - Accent3 2 3" xfId="401" xr:uid="{00000000-0005-0000-0000-00008A010000}"/>
    <cellStyle name="60% - Accent3 2 4" xfId="402" xr:uid="{00000000-0005-0000-0000-00008B010000}"/>
    <cellStyle name="60% - Accent3 2 5" xfId="403" xr:uid="{00000000-0005-0000-0000-00008C010000}"/>
    <cellStyle name="60% - Accent3 2 6" xfId="404" xr:uid="{00000000-0005-0000-0000-00008D010000}"/>
    <cellStyle name="60% - Accent3 2 7" xfId="405" xr:uid="{00000000-0005-0000-0000-00008E010000}"/>
    <cellStyle name="60% - Accent3 2 8" xfId="406" xr:uid="{00000000-0005-0000-0000-00008F010000}"/>
    <cellStyle name="60% - Accent3 3" xfId="407" xr:uid="{00000000-0005-0000-0000-000090010000}"/>
    <cellStyle name="60% - Accent3 3 2" xfId="408" xr:uid="{00000000-0005-0000-0000-000091010000}"/>
    <cellStyle name="60% - Accent3 4" xfId="409" xr:uid="{00000000-0005-0000-0000-000092010000}"/>
    <cellStyle name="60% - Accent3 4 2" xfId="410" xr:uid="{00000000-0005-0000-0000-000093010000}"/>
    <cellStyle name="60% - Accent3 5" xfId="411" xr:uid="{00000000-0005-0000-0000-000094010000}"/>
    <cellStyle name="60% - Accent3 5 2" xfId="412" xr:uid="{00000000-0005-0000-0000-000095010000}"/>
    <cellStyle name="60% - Accent3 6" xfId="413" xr:uid="{00000000-0005-0000-0000-000096010000}"/>
    <cellStyle name="60% - Accent3 6 2" xfId="414" xr:uid="{00000000-0005-0000-0000-000097010000}"/>
    <cellStyle name="60% - Accent3 7" xfId="415" xr:uid="{00000000-0005-0000-0000-000098010000}"/>
    <cellStyle name="60% - Accent3 7 2" xfId="416" xr:uid="{00000000-0005-0000-0000-000099010000}"/>
    <cellStyle name="60% - Accent3 8" xfId="417" xr:uid="{00000000-0005-0000-0000-00009A010000}"/>
    <cellStyle name="60% - Accent3 8 2" xfId="418" xr:uid="{00000000-0005-0000-0000-00009B010000}"/>
    <cellStyle name="60% - Accent3 9" xfId="398" xr:uid="{00000000-0005-0000-0000-00009C010000}"/>
    <cellStyle name="60% - Accent4 2" xfId="420" xr:uid="{00000000-0005-0000-0000-00009D010000}"/>
    <cellStyle name="60% - Accent4 2 2" xfId="421" xr:uid="{00000000-0005-0000-0000-00009E010000}"/>
    <cellStyle name="60% - Accent4 2 3" xfId="422" xr:uid="{00000000-0005-0000-0000-00009F010000}"/>
    <cellStyle name="60% - Accent4 2 4" xfId="423" xr:uid="{00000000-0005-0000-0000-0000A0010000}"/>
    <cellStyle name="60% - Accent4 2 5" xfId="424" xr:uid="{00000000-0005-0000-0000-0000A1010000}"/>
    <cellStyle name="60% - Accent4 2 6" xfId="425" xr:uid="{00000000-0005-0000-0000-0000A2010000}"/>
    <cellStyle name="60% - Accent4 2 7" xfId="426" xr:uid="{00000000-0005-0000-0000-0000A3010000}"/>
    <cellStyle name="60% - Accent4 2 8" xfId="427" xr:uid="{00000000-0005-0000-0000-0000A4010000}"/>
    <cellStyle name="60% - Accent4 3" xfId="428" xr:uid="{00000000-0005-0000-0000-0000A5010000}"/>
    <cellStyle name="60% - Accent4 3 2" xfId="429" xr:uid="{00000000-0005-0000-0000-0000A6010000}"/>
    <cellStyle name="60% - Accent4 4" xfId="430" xr:uid="{00000000-0005-0000-0000-0000A7010000}"/>
    <cellStyle name="60% - Accent4 4 2" xfId="431" xr:uid="{00000000-0005-0000-0000-0000A8010000}"/>
    <cellStyle name="60% - Accent4 5" xfId="432" xr:uid="{00000000-0005-0000-0000-0000A9010000}"/>
    <cellStyle name="60% - Accent4 5 2" xfId="433" xr:uid="{00000000-0005-0000-0000-0000AA010000}"/>
    <cellStyle name="60% - Accent4 6" xfId="434" xr:uid="{00000000-0005-0000-0000-0000AB010000}"/>
    <cellStyle name="60% - Accent4 6 2" xfId="435" xr:uid="{00000000-0005-0000-0000-0000AC010000}"/>
    <cellStyle name="60% - Accent4 7" xfId="436" xr:uid="{00000000-0005-0000-0000-0000AD010000}"/>
    <cellStyle name="60% - Accent4 7 2" xfId="437" xr:uid="{00000000-0005-0000-0000-0000AE010000}"/>
    <cellStyle name="60% - Accent4 8" xfId="438" xr:uid="{00000000-0005-0000-0000-0000AF010000}"/>
    <cellStyle name="60% - Accent4 8 2" xfId="439" xr:uid="{00000000-0005-0000-0000-0000B0010000}"/>
    <cellStyle name="60% - Accent4 9" xfId="419" xr:uid="{00000000-0005-0000-0000-0000B1010000}"/>
    <cellStyle name="60% - Accent5 2" xfId="441" xr:uid="{00000000-0005-0000-0000-0000B2010000}"/>
    <cellStyle name="60% - Accent5 2 2" xfId="442" xr:uid="{00000000-0005-0000-0000-0000B3010000}"/>
    <cellStyle name="60% - Accent5 2 3" xfId="443" xr:uid="{00000000-0005-0000-0000-0000B4010000}"/>
    <cellStyle name="60% - Accent5 2 4" xfId="444" xr:uid="{00000000-0005-0000-0000-0000B5010000}"/>
    <cellStyle name="60% - Accent5 2 5" xfId="445" xr:uid="{00000000-0005-0000-0000-0000B6010000}"/>
    <cellStyle name="60% - Accent5 2 6" xfId="446" xr:uid="{00000000-0005-0000-0000-0000B7010000}"/>
    <cellStyle name="60% - Accent5 2 7" xfId="447" xr:uid="{00000000-0005-0000-0000-0000B8010000}"/>
    <cellStyle name="60% - Accent5 2 8" xfId="448" xr:uid="{00000000-0005-0000-0000-0000B9010000}"/>
    <cellStyle name="60% - Accent5 3" xfId="449" xr:uid="{00000000-0005-0000-0000-0000BA010000}"/>
    <cellStyle name="60% - Accent5 3 2" xfId="450" xr:uid="{00000000-0005-0000-0000-0000BB010000}"/>
    <cellStyle name="60% - Accent5 4" xfId="451" xr:uid="{00000000-0005-0000-0000-0000BC010000}"/>
    <cellStyle name="60% - Accent5 4 2" xfId="452" xr:uid="{00000000-0005-0000-0000-0000BD010000}"/>
    <cellStyle name="60% - Accent5 5" xfId="453" xr:uid="{00000000-0005-0000-0000-0000BE010000}"/>
    <cellStyle name="60% - Accent5 5 2" xfId="454" xr:uid="{00000000-0005-0000-0000-0000BF010000}"/>
    <cellStyle name="60% - Accent5 6" xfId="455" xr:uid="{00000000-0005-0000-0000-0000C0010000}"/>
    <cellStyle name="60% - Accent5 6 2" xfId="456" xr:uid="{00000000-0005-0000-0000-0000C1010000}"/>
    <cellStyle name="60% - Accent5 7" xfId="457" xr:uid="{00000000-0005-0000-0000-0000C2010000}"/>
    <cellStyle name="60% - Accent5 7 2" xfId="458" xr:uid="{00000000-0005-0000-0000-0000C3010000}"/>
    <cellStyle name="60% - Accent5 8" xfId="459" xr:uid="{00000000-0005-0000-0000-0000C4010000}"/>
    <cellStyle name="60% - Accent5 8 2" xfId="460" xr:uid="{00000000-0005-0000-0000-0000C5010000}"/>
    <cellStyle name="60% - Accent5 9" xfId="440" xr:uid="{00000000-0005-0000-0000-0000C6010000}"/>
    <cellStyle name="60% - Accent6 2" xfId="462" xr:uid="{00000000-0005-0000-0000-0000C7010000}"/>
    <cellStyle name="60% - Accent6 2 2" xfId="463" xr:uid="{00000000-0005-0000-0000-0000C8010000}"/>
    <cellStyle name="60% - Accent6 2 3" xfId="464" xr:uid="{00000000-0005-0000-0000-0000C9010000}"/>
    <cellStyle name="60% - Accent6 2 4" xfId="465" xr:uid="{00000000-0005-0000-0000-0000CA010000}"/>
    <cellStyle name="60% - Accent6 2 5" xfId="466" xr:uid="{00000000-0005-0000-0000-0000CB010000}"/>
    <cellStyle name="60% - Accent6 2 6" xfId="467" xr:uid="{00000000-0005-0000-0000-0000CC010000}"/>
    <cellStyle name="60% - Accent6 2 7" xfId="468" xr:uid="{00000000-0005-0000-0000-0000CD010000}"/>
    <cellStyle name="60% - Accent6 2 8" xfId="469" xr:uid="{00000000-0005-0000-0000-0000CE010000}"/>
    <cellStyle name="60% - Accent6 3" xfId="470" xr:uid="{00000000-0005-0000-0000-0000CF010000}"/>
    <cellStyle name="60% - Accent6 3 2" xfId="471" xr:uid="{00000000-0005-0000-0000-0000D0010000}"/>
    <cellStyle name="60% - Accent6 4" xfId="472" xr:uid="{00000000-0005-0000-0000-0000D1010000}"/>
    <cellStyle name="60% - Accent6 4 2" xfId="473" xr:uid="{00000000-0005-0000-0000-0000D2010000}"/>
    <cellStyle name="60% - Accent6 5" xfId="474" xr:uid="{00000000-0005-0000-0000-0000D3010000}"/>
    <cellStyle name="60% - Accent6 5 2" xfId="475" xr:uid="{00000000-0005-0000-0000-0000D4010000}"/>
    <cellStyle name="60% - Accent6 6" xfId="476" xr:uid="{00000000-0005-0000-0000-0000D5010000}"/>
    <cellStyle name="60% - Accent6 6 2" xfId="477" xr:uid="{00000000-0005-0000-0000-0000D6010000}"/>
    <cellStyle name="60% - Accent6 7" xfId="478" xr:uid="{00000000-0005-0000-0000-0000D7010000}"/>
    <cellStyle name="60% - Accent6 7 2" xfId="479" xr:uid="{00000000-0005-0000-0000-0000D8010000}"/>
    <cellStyle name="60% - Accent6 8" xfId="480" xr:uid="{00000000-0005-0000-0000-0000D9010000}"/>
    <cellStyle name="60% - Accent6 8 2" xfId="481" xr:uid="{00000000-0005-0000-0000-0000DA010000}"/>
    <cellStyle name="60% - Accent6 9" xfId="461" xr:uid="{00000000-0005-0000-0000-0000DB010000}"/>
    <cellStyle name="Accent1 2" xfId="483" xr:uid="{00000000-0005-0000-0000-0000DC010000}"/>
    <cellStyle name="Accent1 2 2" xfId="484" xr:uid="{00000000-0005-0000-0000-0000DD010000}"/>
    <cellStyle name="Accent1 2 3" xfId="485" xr:uid="{00000000-0005-0000-0000-0000DE010000}"/>
    <cellStyle name="Accent1 2 4" xfId="486" xr:uid="{00000000-0005-0000-0000-0000DF010000}"/>
    <cellStyle name="Accent1 2 5" xfId="487" xr:uid="{00000000-0005-0000-0000-0000E0010000}"/>
    <cellStyle name="Accent1 2 6" xfId="488" xr:uid="{00000000-0005-0000-0000-0000E1010000}"/>
    <cellStyle name="Accent1 2 7" xfId="489" xr:uid="{00000000-0005-0000-0000-0000E2010000}"/>
    <cellStyle name="Accent1 2 8" xfId="490" xr:uid="{00000000-0005-0000-0000-0000E3010000}"/>
    <cellStyle name="Accent1 3" xfId="491" xr:uid="{00000000-0005-0000-0000-0000E4010000}"/>
    <cellStyle name="Accent1 3 2" xfId="492" xr:uid="{00000000-0005-0000-0000-0000E5010000}"/>
    <cellStyle name="Accent1 4" xfId="493" xr:uid="{00000000-0005-0000-0000-0000E6010000}"/>
    <cellStyle name="Accent1 4 2" xfId="494" xr:uid="{00000000-0005-0000-0000-0000E7010000}"/>
    <cellStyle name="Accent1 5" xfId="495" xr:uid="{00000000-0005-0000-0000-0000E8010000}"/>
    <cellStyle name="Accent1 5 2" xfId="496" xr:uid="{00000000-0005-0000-0000-0000E9010000}"/>
    <cellStyle name="Accent1 6" xfId="497" xr:uid="{00000000-0005-0000-0000-0000EA010000}"/>
    <cellStyle name="Accent1 6 2" xfId="498" xr:uid="{00000000-0005-0000-0000-0000EB010000}"/>
    <cellStyle name="Accent1 7" xfId="499" xr:uid="{00000000-0005-0000-0000-0000EC010000}"/>
    <cellStyle name="Accent1 7 2" xfId="500" xr:uid="{00000000-0005-0000-0000-0000ED010000}"/>
    <cellStyle name="Accent1 8" xfId="501" xr:uid="{00000000-0005-0000-0000-0000EE010000}"/>
    <cellStyle name="Accent1 8 2" xfId="502" xr:uid="{00000000-0005-0000-0000-0000EF010000}"/>
    <cellStyle name="Accent1 9" xfId="482" xr:uid="{00000000-0005-0000-0000-0000F0010000}"/>
    <cellStyle name="Accent2 2" xfId="504" xr:uid="{00000000-0005-0000-0000-0000F1010000}"/>
    <cellStyle name="Accent2 2 2" xfId="505" xr:uid="{00000000-0005-0000-0000-0000F2010000}"/>
    <cellStyle name="Accent2 2 3" xfId="506" xr:uid="{00000000-0005-0000-0000-0000F3010000}"/>
    <cellStyle name="Accent2 2 4" xfId="507" xr:uid="{00000000-0005-0000-0000-0000F4010000}"/>
    <cellStyle name="Accent2 2 5" xfId="508" xr:uid="{00000000-0005-0000-0000-0000F5010000}"/>
    <cellStyle name="Accent2 2 6" xfId="509" xr:uid="{00000000-0005-0000-0000-0000F6010000}"/>
    <cellStyle name="Accent2 2 7" xfId="510" xr:uid="{00000000-0005-0000-0000-0000F7010000}"/>
    <cellStyle name="Accent2 2 8" xfId="511" xr:uid="{00000000-0005-0000-0000-0000F8010000}"/>
    <cellStyle name="Accent2 3" xfId="512" xr:uid="{00000000-0005-0000-0000-0000F9010000}"/>
    <cellStyle name="Accent2 3 2" xfId="513" xr:uid="{00000000-0005-0000-0000-0000FA010000}"/>
    <cellStyle name="Accent2 4" xfId="514" xr:uid="{00000000-0005-0000-0000-0000FB010000}"/>
    <cellStyle name="Accent2 4 2" xfId="515" xr:uid="{00000000-0005-0000-0000-0000FC010000}"/>
    <cellStyle name="Accent2 5" xfId="516" xr:uid="{00000000-0005-0000-0000-0000FD010000}"/>
    <cellStyle name="Accent2 5 2" xfId="517" xr:uid="{00000000-0005-0000-0000-0000FE010000}"/>
    <cellStyle name="Accent2 6" xfId="518" xr:uid="{00000000-0005-0000-0000-0000FF010000}"/>
    <cellStyle name="Accent2 6 2" xfId="519" xr:uid="{00000000-0005-0000-0000-000000020000}"/>
    <cellStyle name="Accent2 7" xfId="520" xr:uid="{00000000-0005-0000-0000-000001020000}"/>
    <cellStyle name="Accent2 8" xfId="521" xr:uid="{00000000-0005-0000-0000-000002020000}"/>
    <cellStyle name="Accent2 9" xfId="503" xr:uid="{00000000-0005-0000-0000-000003020000}"/>
    <cellStyle name="Accent3 2" xfId="523" xr:uid="{00000000-0005-0000-0000-000004020000}"/>
    <cellStyle name="Accent3 2 2" xfId="524" xr:uid="{00000000-0005-0000-0000-000005020000}"/>
    <cellStyle name="Accent3 2 3" xfId="525" xr:uid="{00000000-0005-0000-0000-000006020000}"/>
    <cellStyle name="Accent3 2 4" xfId="526" xr:uid="{00000000-0005-0000-0000-000007020000}"/>
    <cellStyle name="Accent3 2 5" xfId="527" xr:uid="{00000000-0005-0000-0000-000008020000}"/>
    <cellStyle name="Accent3 2 6" xfId="528" xr:uid="{00000000-0005-0000-0000-000009020000}"/>
    <cellStyle name="Accent3 2 7" xfId="529" xr:uid="{00000000-0005-0000-0000-00000A020000}"/>
    <cellStyle name="Accent3 2 8" xfId="530" xr:uid="{00000000-0005-0000-0000-00000B020000}"/>
    <cellStyle name="Accent3 3" xfId="531" xr:uid="{00000000-0005-0000-0000-00000C020000}"/>
    <cellStyle name="Accent3 4" xfId="532" xr:uid="{00000000-0005-0000-0000-00000D020000}"/>
    <cellStyle name="Accent3 5" xfId="533" xr:uid="{00000000-0005-0000-0000-00000E020000}"/>
    <cellStyle name="Accent3 6" xfId="534" xr:uid="{00000000-0005-0000-0000-00000F020000}"/>
    <cellStyle name="Accent3 7" xfId="535" xr:uid="{00000000-0005-0000-0000-000010020000}"/>
    <cellStyle name="Accent3 8" xfId="536" xr:uid="{00000000-0005-0000-0000-000011020000}"/>
    <cellStyle name="Accent3 9" xfId="522" xr:uid="{00000000-0005-0000-0000-000012020000}"/>
    <cellStyle name="Accent4 2" xfId="538" xr:uid="{00000000-0005-0000-0000-000013020000}"/>
    <cellStyle name="Accent4 2 2" xfId="539" xr:uid="{00000000-0005-0000-0000-000014020000}"/>
    <cellStyle name="Accent4 2 3" xfId="540" xr:uid="{00000000-0005-0000-0000-000015020000}"/>
    <cellStyle name="Accent4 2 4" xfId="541" xr:uid="{00000000-0005-0000-0000-000016020000}"/>
    <cellStyle name="Accent4 2 5" xfId="542" xr:uid="{00000000-0005-0000-0000-000017020000}"/>
    <cellStyle name="Accent4 2 6" xfId="543" xr:uid="{00000000-0005-0000-0000-000018020000}"/>
    <cellStyle name="Accent4 2 7" xfId="544" xr:uid="{00000000-0005-0000-0000-000019020000}"/>
    <cellStyle name="Accent4 2 8" xfId="545" xr:uid="{00000000-0005-0000-0000-00001A020000}"/>
    <cellStyle name="Accent4 3" xfId="546" xr:uid="{00000000-0005-0000-0000-00001B020000}"/>
    <cellStyle name="Accent4 4" xfId="547" xr:uid="{00000000-0005-0000-0000-00001C020000}"/>
    <cellStyle name="Accent4 5" xfId="548" xr:uid="{00000000-0005-0000-0000-00001D020000}"/>
    <cellStyle name="Accent4 6" xfId="549" xr:uid="{00000000-0005-0000-0000-00001E020000}"/>
    <cellStyle name="Accent4 7" xfId="550" xr:uid="{00000000-0005-0000-0000-00001F020000}"/>
    <cellStyle name="Accent4 8" xfId="551" xr:uid="{00000000-0005-0000-0000-000020020000}"/>
    <cellStyle name="Accent4 9" xfId="537" xr:uid="{00000000-0005-0000-0000-000021020000}"/>
    <cellStyle name="Accent5 2" xfId="553" xr:uid="{00000000-0005-0000-0000-000022020000}"/>
    <cellStyle name="Accent5 2 2" xfId="554" xr:uid="{00000000-0005-0000-0000-000023020000}"/>
    <cellStyle name="Accent5 2 3" xfId="555" xr:uid="{00000000-0005-0000-0000-000024020000}"/>
    <cellStyle name="Accent5 2 4" xfId="556" xr:uid="{00000000-0005-0000-0000-000025020000}"/>
    <cellStyle name="Accent5 2 5" xfId="557" xr:uid="{00000000-0005-0000-0000-000026020000}"/>
    <cellStyle name="Accent5 2 6" xfId="558" xr:uid="{00000000-0005-0000-0000-000027020000}"/>
    <cellStyle name="Accent5 2 7" xfId="559" xr:uid="{00000000-0005-0000-0000-000028020000}"/>
    <cellStyle name="Accent5 2 8" xfId="560" xr:uid="{00000000-0005-0000-0000-000029020000}"/>
    <cellStyle name="Accent5 3" xfId="561" xr:uid="{00000000-0005-0000-0000-00002A020000}"/>
    <cellStyle name="Accent5 4" xfId="562" xr:uid="{00000000-0005-0000-0000-00002B020000}"/>
    <cellStyle name="Accent5 5" xfId="563" xr:uid="{00000000-0005-0000-0000-00002C020000}"/>
    <cellStyle name="Accent5 6" xfId="564" xr:uid="{00000000-0005-0000-0000-00002D020000}"/>
    <cellStyle name="Accent5 7" xfId="565" xr:uid="{00000000-0005-0000-0000-00002E020000}"/>
    <cellStyle name="Accent5 8" xfId="566" xr:uid="{00000000-0005-0000-0000-00002F020000}"/>
    <cellStyle name="Accent5 9" xfId="552" xr:uid="{00000000-0005-0000-0000-000030020000}"/>
    <cellStyle name="Accent6 2" xfId="568" xr:uid="{00000000-0005-0000-0000-000031020000}"/>
    <cellStyle name="Accent6 2 2" xfId="569" xr:uid="{00000000-0005-0000-0000-000032020000}"/>
    <cellStyle name="Accent6 2 3" xfId="570" xr:uid="{00000000-0005-0000-0000-000033020000}"/>
    <cellStyle name="Accent6 2 4" xfId="571" xr:uid="{00000000-0005-0000-0000-000034020000}"/>
    <cellStyle name="Accent6 2 5" xfId="572" xr:uid="{00000000-0005-0000-0000-000035020000}"/>
    <cellStyle name="Accent6 2 6" xfId="573" xr:uid="{00000000-0005-0000-0000-000036020000}"/>
    <cellStyle name="Accent6 2 7" xfId="574" xr:uid="{00000000-0005-0000-0000-000037020000}"/>
    <cellStyle name="Accent6 2 8" xfId="575" xr:uid="{00000000-0005-0000-0000-000038020000}"/>
    <cellStyle name="Accent6 3" xfId="576" xr:uid="{00000000-0005-0000-0000-000039020000}"/>
    <cellStyle name="Accent6 4" xfId="577" xr:uid="{00000000-0005-0000-0000-00003A020000}"/>
    <cellStyle name="Accent6 5" xfId="578" xr:uid="{00000000-0005-0000-0000-00003B020000}"/>
    <cellStyle name="Accent6 6" xfId="579" xr:uid="{00000000-0005-0000-0000-00003C020000}"/>
    <cellStyle name="Accent6 7" xfId="580" xr:uid="{00000000-0005-0000-0000-00003D020000}"/>
    <cellStyle name="Accent6 8" xfId="581" xr:uid="{00000000-0005-0000-0000-00003E020000}"/>
    <cellStyle name="Accent6 9" xfId="567" xr:uid="{00000000-0005-0000-0000-00003F020000}"/>
    <cellStyle name="AutoLCA Data Entry" xfId="923" xr:uid="{00000000-0005-0000-0000-000040020000}"/>
    <cellStyle name="AutoLCA Expert" xfId="926" xr:uid="{00000000-0005-0000-0000-000041020000}"/>
    <cellStyle name="AutoLCA Formula" xfId="925" xr:uid="{00000000-0005-0000-0000-000042020000}"/>
    <cellStyle name="AutoLCA RefOut" xfId="924" xr:uid="{00000000-0005-0000-0000-000043020000}"/>
    <cellStyle name="Bad 2" xfId="583" xr:uid="{00000000-0005-0000-0000-000044020000}"/>
    <cellStyle name="Bad 2 2" xfId="584" xr:uid="{00000000-0005-0000-0000-000045020000}"/>
    <cellStyle name="Bad 2 3" xfId="585" xr:uid="{00000000-0005-0000-0000-000046020000}"/>
    <cellStyle name="Bad 2 4" xfId="586" xr:uid="{00000000-0005-0000-0000-000047020000}"/>
    <cellStyle name="Bad 2 5" xfId="587" xr:uid="{00000000-0005-0000-0000-000048020000}"/>
    <cellStyle name="Bad 2 6" xfId="588" xr:uid="{00000000-0005-0000-0000-000049020000}"/>
    <cellStyle name="Bad 2 7" xfId="589" xr:uid="{00000000-0005-0000-0000-00004A020000}"/>
    <cellStyle name="Bad 2 8" xfId="590" xr:uid="{00000000-0005-0000-0000-00004B020000}"/>
    <cellStyle name="Bad 3" xfId="591" xr:uid="{00000000-0005-0000-0000-00004C020000}"/>
    <cellStyle name="Bad 4" xfId="592" xr:uid="{00000000-0005-0000-0000-00004D020000}"/>
    <cellStyle name="Bad 5" xfId="593" xr:uid="{00000000-0005-0000-0000-00004E020000}"/>
    <cellStyle name="Bad 6" xfId="594" xr:uid="{00000000-0005-0000-0000-00004F020000}"/>
    <cellStyle name="Bad 7" xfId="595" xr:uid="{00000000-0005-0000-0000-000050020000}"/>
    <cellStyle name="Bad 8" xfId="596" xr:uid="{00000000-0005-0000-0000-000051020000}"/>
    <cellStyle name="Bad 9" xfId="582" xr:uid="{00000000-0005-0000-0000-000052020000}"/>
    <cellStyle name="Bold GHG Numbers (0.00)" xfId="597" xr:uid="{00000000-0005-0000-0000-000053020000}"/>
    <cellStyle name="Calculation 2" xfId="599" xr:uid="{00000000-0005-0000-0000-000054020000}"/>
    <cellStyle name="Calculation 2 2" xfId="600" xr:uid="{00000000-0005-0000-0000-000055020000}"/>
    <cellStyle name="Calculation 2 3" xfId="601" xr:uid="{00000000-0005-0000-0000-000056020000}"/>
    <cellStyle name="Calculation 2 4" xfId="602" xr:uid="{00000000-0005-0000-0000-000057020000}"/>
    <cellStyle name="Calculation 2 5" xfId="603" xr:uid="{00000000-0005-0000-0000-000058020000}"/>
    <cellStyle name="Calculation 2 6" xfId="604" xr:uid="{00000000-0005-0000-0000-000059020000}"/>
    <cellStyle name="Calculation 2 7" xfId="605" xr:uid="{00000000-0005-0000-0000-00005A020000}"/>
    <cellStyle name="Calculation 2 8" xfId="606" xr:uid="{00000000-0005-0000-0000-00005B020000}"/>
    <cellStyle name="Calculation 3" xfId="607" xr:uid="{00000000-0005-0000-0000-00005C020000}"/>
    <cellStyle name="Calculation 4" xfId="608" xr:uid="{00000000-0005-0000-0000-00005D020000}"/>
    <cellStyle name="Calculation 5" xfId="609" xr:uid="{00000000-0005-0000-0000-00005E020000}"/>
    <cellStyle name="Calculation 6" xfId="610" xr:uid="{00000000-0005-0000-0000-00005F020000}"/>
    <cellStyle name="Calculation 7" xfId="611" xr:uid="{00000000-0005-0000-0000-000060020000}"/>
    <cellStyle name="Calculation 8" xfId="612" xr:uid="{00000000-0005-0000-0000-000061020000}"/>
    <cellStyle name="Calculation 9" xfId="598" xr:uid="{00000000-0005-0000-0000-000062020000}"/>
    <cellStyle name="Check Cell 2" xfId="614" xr:uid="{00000000-0005-0000-0000-000063020000}"/>
    <cellStyle name="Check Cell 2 2" xfId="615" xr:uid="{00000000-0005-0000-0000-000064020000}"/>
    <cellStyle name="Check Cell 2 3" xfId="616" xr:uid="{00000000-0005-0000-0000-000065020000}"/>
    <cellStyle name="Check Cell 2 4" xfId="617" xr:uid="{00000000-0005-0000-0000-000066020000}"/>
    <cellStyle name="Check Cell 2 5" xfId="618" xr:uid="{00000000-0005-0000-0000-000067020000}"/>
    <cellStyle name="Check Cell 2 6" xfId="619" xr:uid="{00000000-0005-0000-0000-000068020000}"/>
    <cellStyle name="Check Cell 2 7" xfId="620" xr:uid="{00000000-0005-0000-0000-000069020000}"/>
    <cellStyle name="Check Cell 2 8" xfId="621" xr:uid="{00000000-0005-0000-0000-00006A020000}"/>
    <cellStyle name="Check Cell 3" xfId="622" xr:uid="{00000000-0005-0000-0000-00006B020000}"/>
    <cellStyle name="Check Cell 4" xfId="623" xr:uid="{00000000-0005-0000-0000-00006C020000}"/>
    <cellStyle name="Check Cell 5" xfId="624" xr:uid="{00000000-0005-0000-0000-00006D020000}"/>
    <cellStyle name="Check Cell 6" xfId="625" xr:uid="{00000000-0005-0000-0000-00006E020000}"/>
    <cellStyle name="Check Cell 7" xfId="626" xr:uid="{00000000-0005-0000-0000-00006F020000}"/>
    <cellStyle name="Check Cell 8" xfId="627" xr:uid="{00000000-0005-0000-0000-000070020000}"/>
    <cellStyle name="Check Cell 9" xfId="613" xr:uid="{00000000-0005-0000-0000-000071020000}"/>
    <cellStyle name="Comma" xfId="1" builtinId="3"/>
    <cellStyle name="Comma 2" xfId="629" xr:uid="{00000000-0005-0000-0000-000073020000}"/>
    <cellStyle name="Comma 2 2" xfId="630" xr:uid="{00000000-0005-0000-0000-000074020000}"/>
    <cellStyle name="Comma 3" xfId="631" xr:uid="{00000000-0005-0000-0000-000075020000}"/>
    <cellStyle name="Comma 3 2" xfId="632" xr:uid="{00000000-0005-0000-0000-000076020000}"/>
    <cellStyle name="Comma 3 3" xfId="633" xr:uid="{00000000-0005-0000-0000-000077020000}"/>
    <cellStyle name="Comma 3 4" xfId="634" xr:uid="{00000000-0005-0000-0000-000078020000}"/>
    <cellStyle name="Comma 3 5" xfId="635" xr:uid="{00000000-0005-0000-0000-000079020000}"/>
    <cellStyle name="Comma 3 6" xfId="636" xr:uid="{00000000-0005-0000-0000-00007A020000}"/>
    <cellStyle name="Comma 3 7" xfId="637" xr:uid="{00000000-0005-0000-0000-00007B020000}"/>
    <cellStyle name="Comma 3 8" xfId="638" xr:uid="{00000000-0005-0000-0000-00007C020000}"/>
    <cellStyle name="Comma 3 9" xfId="920" xr:uid="{00000000-0005-0000-0000-00007D020000}"/>
    <cellStyle name="Comma 3 9 2" xfId="928" xr:uid="{00000000-0005-0000-0000-00007E020000}"/>
    <cellStyle name="Comma 4" xfId="639" xr:uid="{00000000-0005-0000-0000-00007F020000}"/>
    <cellStyle name="Comma 5" xfId="628" xr:uid="{00000000-0005-0000-0000-000080020000}"/>
    <cellStyle name="Explanatory Text 2" xfId="641" xr:uid="{00000000-0005-0000-0000-000081020000}"/>
    <cellStyle name="Explanatory Text 2 2" xfId="642" xr:uid="{00000000-0005-0000-0000-000082020000}"/>
    <cellStyle name="Explanatory Text 2 3" xfId="643" xr:uid="{00000000-0005-0000-0000-000083020000}"/>
    <cellStyle name="Explanatory Text 2 4" xfId="644" xr:uid="{00000000-0005-0000-0000-000084020000}"/>
    <cellStyle name="Explanatory Text 2 5" xfId="645" xr:uid="{00000000-0005-0000-0000-000085020000}"/>
    <cellStyle name="Explanatory Text 2 6" xfId="646" xr:uid="{00000000-0005-0000-0000-000086020000}"/>
    <cellStyle name="Explanatory Text 2 7" xfId="647" xr:uid="{00000000-0005-0000-0000-000087020000}"/>
    <cellStyle name="Explanatory Text 2 8" xfId="648" xr:uid="{00000000-0005-0000-0000-000088020000}"/>
    <cellStyle name="Explanatory Text 3" xfId="649" xr:uid="{00000000-0005-0000-0000-000089020000}"/>
    <cellStyle name="Explanatory Text 4" xfId="650" xr:uid="{00000000-0005-0000-0000-00008A020000}"/>
    <cellStyle name="Explanatory Text 5" xfId="651" xr:uid="{00000000-0005-0000-0000-00008B020000}"/>
    <cellStyle name="Explanatory Text 6" xfId="652" xr:uid="{00000000-0005-0000-0000-00008C020000}"/>
    <cellStyle name="Explanatory Text 7" xfId="653" xr:uid="{00000000-0005-0000-0000-00008D020000}"/>
    <cellStyle name="Explanatory Text 8" xfId="654" xr:uid="{00000000-0005-0000-0000-00008E020000}"/>
    <cellStyle name="Explanatory Text 9" xfId="640" xr:uid="{00000000-0005-0000-0000-00008F020000}"/>
    <cellStyle name="Good 2" xfId="656" xr:uid="{00000000-0005-0000-0000-000090020000}"/>
    <cellStyle name="Good 2 2" xfId="657" xr:uid="{00000000-0005-0000-0000-000091020000}"/>
    <cellStyle name="Good 2 3" xfId="658" xr:uid="{00000000-0005-0000-0000-000092020000}"/>
    <cellStyle name="Good 2 4" xfId="659" xr:uid="{00000000-0005-0000-0000-000093020000}"/>
    <cellStyle name="Good 2 5" xfId="660" xr:uid="{00000000-0005-0000-0000-000094020000}"/>
    <cellStyle name="Good 2 6" xfId="661" xr:uid="{00000000-0005-0000-0000-000095020000}"/>
    <cellStyle name="Good 2 7" xfId="662" xr:uid="{00000000-0005-0000-0000-000096020000}"/>
    <cellStyle name="Good 2 8" xfId="663" xr:uid="{00000000-0005-0000-0000-000097020000}"/>
    <cellStyle name="Good 3" xfId="664" xr:uid="{00000000-0005-0000-0000-000098020000}"/>
    <cellStyle name="Good 4" xfId="665" xr:uid="{00000000-0005-0000-0000-000099020000}"/>
    <cellStyle name="Good 5" xfId="666" xr:uid="{00000000-0005-0000-0000-00009A020000}"/>
    <cellStyle name="Good 6" xfId="667" xr:uid="{00000000-0005-0000-0000-00009B020000}"/>
    <cellStyle name="Good 7" xfId="668" xr:uid="{00000000-0005-0000-0000-00009C020000}"/>
    <cellStyle name="Good 8" xfId="669" xr:uid="{00000000-0005-0000-0000-00009D020000}"/>
    <cellStyle name="Good 9" xfId="655" xr:uid="{00000000-0005-0000-0000-00009E020000}"/>
    <cellStyle name="Heading 1 2" xfId="671" xr:uid="{00000000-0005-0000-0000-00009F020000}"/>
    <cellStyle name="Heading 1 2 2" xfId="672" xr:uid="{00000000-0005-0000-0000-0000A0020000}"/>
    <cellStyle name="Heading 1 2 3" xfId="673" xr:uid="{00000000-0005-0000-0000-0000A1020000}"/>
    <cellStyle name="Heading 1 2 4" xfId="674" xr:uid="{00000000-0005-0000-0000-0000A2020000}"/>
    <cellStyle name="Heading 1 2 5" xfId="675" xr:uid="{00000000-0005-0000-0000-0000A3020000}"/>
    <cellStyle name="Heading 1 2 6" xfId="676" xr:uid="{00000000-0005-0000-0000-0000A4020000}"/>
    <cellStyle name="Heading 1 2 7" xfId="677" xr:uid="{00000000-0005-0000-0000-0000A5020000}"/>
    <cellStyle name="Heading 1 2 8" xfId="678" xr:uid="{00000000-0005-0000-0000-0000A6020000}"/>
    <cellStyle name="Heading 1 3" xfId="679" xr:uid="{00000000-0005-0000-0000-0000A7020000}"/>
    <cellStyle name="Heading 1 4" xfId="680" xr:uid="{00000000-0005-0000-0000-0000A8020000}"/>
    <cellStyle name="Heading 1 5" xfId="681" xr:uid="{00000000-0005-0000-0000-0000A9020000}"/>
    <cellStyle name="Heading 1 6" xfId="682" xr:uid="{00000000-0005-0000-0000-0000AA020000}"/>
    <cellStyle name="Heading 1 7" xfId="683" xr:uid="{00000000-0005-0000-0000-0000AB020000}"/>
    <cellStyle name="Heading 1 8" xfId="684" xr:uid="{00000000-0005-0000-0000-0000AC020000}"/>
    <cellStyle name="Heading 1 9" xfId="670" xr:uid="{00000000-0005-0000-0000-0000AD020000}"/>
    <cellStyle name="Heading 2 2" xfId="686" xr:uid="{00000000-0005-0000-0000-0000AE020000}"/>
    <cellStyle name="Heading 2 2 2" xfId="687" xr:uid="{00000000-0005-0000-0000-0000AF020000}"/>
    <cellStyle name="Heading 2 2 3" xfId="688" xr:uid="{00000000-0005-0000-0000-0000B0020000}"/>
    <cellStyle name="Heading 2 2 4" xfId="689" xr:uid="{00000000-0005-0000-0000-0000B1020000}"/>
    <cellStyle name="Heading 2 2 5" xfId="690" xr:uid="{00000000-0005-0000-0000-0000B2020000}"/>
    <cellStyle name="Heading 2 2 6" xfId="691" xr:uid="{00000000-0005-0000-0000-0000B3020000}"/>
    <cellStyle name="Heading 2 2 7" xfId="692" xr:uid="{00000000-0005-0000-0000-0000B4020000}"/>
    <cellStyle name="Heading 2 2 8" xfId="693" xr:uid="{00000000-0005-0000-0000-0000B5020000}"/>
    <cellStyle name="Heading 2 3" xfId="694" xr:uid="{00000000-0005-0000-0000-0000B6020000}"/>
    <cellStyle name="Heading 2 4" xfId="695" xr:uid="{00000000-0005-0000-0000-0000B7020000}"/>
    <cellStyle name="Heading 2 5" xfId="696" xr:uid="{00000000-0005-0000-0000-0000B8020000}"/>
    <cellStyle name="Heading 2 6" xfId="697" xr:uid="{00000000-0005-0000-0000-0000B9020000}"/>
    <cellStyle name="Heading 2 7" xfId="698" xr:uid="{00000000-0005-0000-0000-0000BA020000}"/>
    <cellStyle name="Heading 2 8" xfId="699" xr:uid="{00000000-0005-0000-0000-0000BB020000}"/>
    <cellStyle name="Heading 2 9" xfId="685" xr:uid="{00000000-0005-0000-0000-0000BC020000}"/>
    <cellStyle name="Heading 3 2" xfId="701" xr:uid="{00000000-0005-0000-0000-0000BD020000}"/>
    <cellStyle name="Heading 3 2 2" xfId="702" xr:uid="{00000000-0005-0000-0000-0000BE020000}"/>
    <cellStyle name="Heading 3 2 3" xfId="703" xr:uid="{00000000-0005-0000-0000-0000BF020000}"/>
    <cellStyle name="Heading 3 2 4" xfId="704" xr:uid="{00000000-0005-0000-0000-0000C0020000}"/>
    <cellStyle name="Heading 3 2 5" xfId="705" xr:uid="{00000000-0005-0000-0000-0000C1020000}"/>
    <cellStyle name="Heading 3 2 6" xfId="706" xr:uid="{00000000-0005-0000-0000-0000C2020000}"/>
    <cellStyle name="Heading 3 2 7" xfId="707" xr:uid="{00000000-0005-0000-0000-0000C3020000}"/>
    <cellStyle name="Heading 3 2 8" xfId="708" xr:uid="{00000000-0005-0000-0000-0000C4020000}"/>
    <cellStyle name="Heading 3 3" xfId="709" xr:uid="{00000000-0005-0000-0000-0000C5020000}"/>
    <cellStyle name="Heading 3 4" xfId="710" xr:uid="{00000000-0005-0000-0000-0000C6020000}"/>
    <cellStyle name="Heading 3 5" xfId="711" xr:uid="{00000000-0005-0000-0000-0000C7020000}"/>
    <cellStyle name="Heading 3 6" xfId="712" xr:uid="{00000000-0005-0000-0000-0000C8020000}"/>
    <cellStyle name="Heading 3 7" xfId="713" xr:uid="{00000000-0005-0000-0000-0000C9020000}"/>
    <cellStyle name="Heading 3 8" xfId="714" xr:uid="{00000000-0005-0000-0000-0000CA020000}"/>
    <cellStyle name="Heading 3 9" xfId="700" xr:uid="{00000000-0005-0000-0000-0000CB020000}"/>
    <cellStyle name="Heading 4 2" xfId="716" xr:uid="{00000000-0005-0000-0000-0000CC020000}"/>
    <cellStyle name="Heading 4 2 2" xfId="717" xr:uid="{00000000-0005-0000-0000-0000CD020000}"/>
    <cellStyle name="Heading 4 2 3" xfId="718" xr:uid="{00000000-0005-0000-0000-0000CE020000}"/>
    <cellStyle name="Heading 4 2 4" xfId="719" xr:uid="{00000000-0005-0000-0000-0000CF020000}"/>
    <cellStyle name="Heading 4 2 5" xfId="720" xr:uid="{00000000-0005-0000-0000-0000D0020000}"/>
    <cellStyle name="Heading 4 2 6" xfId="721" xr:uid="{00000000-0005-0000-0000-0000D1020000}"/>
    <cellStyle name="Heading 4 2 7" xfId="722" xr:uid="{00000000-0005-0000-0000-0000D2020000}"/>
    <cellStyle name="Heading 4 2 8" xfId="723" xr:uid="{00000000-0005-0000-0000-0000D3020000}"/>
    <cellStyle name="Heading 4 3" xfId="724" xr:uid="{00000000-0005-0000-0000-0000D4020000}"/>
    <cellStyle name="Heading 4 4" xfId="725" xr:uid="{00000000-0005-0000-0000-0000D5020000}"/>
    <cellStyle name="Heading 4 5" xfId="726" xr:uid="{00000000-0005-0000-0000-0000D6020000}"/>
    <cellStyle name="Heading 4 6" xfId="727" xr:uid="{00000000-0005-0000-0000-0000D7020000}"/>
    <cellStyle name="Heading 4 7" xfId="728" xr:uid="{00000000-0005-0000-0000-0000D8020000}"/>
    <cellStyle name="Heading 4 8" xfId="729" xr:uid="{00000000-0005-0000-0000-0000D9020000}"/>
    <cellStyle name="Heading 4 9" xfId="715" xr:uid="{00000000-0005-0000-0000-0000DA020000}"/>
    <cellStyle name="Headline" xfId="730" xr:uid="{00000000-0005-0000-0000-0000DB020000}"/>
    <cellStyle name="Hyperlink 2" xfId="731" xr:uid="{00000000-0005-0000-0000-0000DC020000}"/>
    <cellStyle name="Hyperlink 2 2" xfId="732" xr:uid="{00000000-0005-0000-0000-0000DD020000}"/>
    <cellStyle name="Hyperlink 2 3" xfId="733" xr:uid="{00000000-0005-0000-0000-0000DE020000}"/>
    <cellStyle name="Hyperlink 2 4" xfId="734" xr:uid="{00000000-0005-0000-0000-0000DF020000}"/>
    <cellStyle name="Hyperlink 2 5" xfId="735" xr:uid="{00000000-0005-0000-0000-0000E0020000}"/>
    <cellStyle name="Hyperlink 2 6" xfId="736" xr:uid="{00000000-0005-0000-0000-0000E1020000}"/>
    <cellStyle name="Hyperlink 2 7" xfId="737" xr:uid="{00000000-0005-0000-0000-0000E2020000}"/>
    <cellStyle name="Hyperlink 2 8" xfId="738" xr:uid="{00000000-0005-0000-0000-0000E3020000}"/>
    <cellStyle name="Hyperlink 3" xfId="739" xr:uid="{00000000-0005-0000-0000-0000E4020000}"/>
    <cellStyle name="Hyperlink 4" xfId="740" xr:uid="{00000000-0005-0000-0000-0000E5020000}"/>
    <cellStyle name="Hyperlink 5" xfId="741" xr:uid="{00000000-0005-0000-0000-0000E6020000}"/>
    <cellStyle name="Hyperlink 6" xfId="742" xr:uid="{00000000-0005-0000-0000-0000E7020000}"/>
    <cellStyle name="Hyperlink 7" xfId="743" xr:uid="{00000000-0005-0000-0000-0000E8020000}"/>
    <cellStyle name="Hyperlink 8" xfId="744" xr:uid="{00000000-0005-0000-0000-0000E9020000}"/>
    <cellStyle name="Input 2" xfId="746" xr:uid="{00000000-0005-0000-0000-0000EA020000}"/>
    <cellStyle name="Input 2 2" xfId="747" xr:uid="{00000000-0005-0000-0000-0000EB020000}"/>
    <cellStyle name="Input 2 3" xfId="748" xr:uid="{00000000-0005-0000-0000-0000EC020000}"/>
    <cellStyle name="Input 2 4" xfId="749" xr:uid="{00000000-0005-0000-0000-0000ED020000}"/>
    <cellStyle name="Input 2 5" xfId="750" xr:uid="{00000000-0005-0000-0000-0000EE020000}"/>
    <cellStyle name="Input 2 6" xfId="751" xr:uid="{00000000-0005-0000-0000-0000EF020000}"/>
    <cellStyle name="Input 2 7" xfId="752" xr:uid="{00000000-0005-0000-0000-0000F0020000}"/>
    <cellStyle name="Input 2 8" xfId="753" xr:uid="{00000000-0005-0000-0000-0000F1020000}"/>
    <cellStyle name="Input 3" xfId="754" xr:uid="{00000000-0005-0000-0000-0000F2020000}"/>
    <cellStyle name="Input 4" xfId="755" xr:uid="{00000000-0005-0000-0000-0000F3020000}"/>
    <cellStyle name="Input 5" xfId="756" xr:uid="{00000000-0005-0000-0000-0000F4020000}"/>
    <cellStyle name="Input 6" xfId="757" xr:uid="{00000000-0005-0000-0000-0000F5020000}"/>
    <cellStyle name="Input 7" xfId="758" xr:uid="{00000000-0005-0000-0000-0000F6020000}"/>
    <cellStyle name="Input 8" xfId="759" xr:uid="{00000000-0005-0000-0000-0000F7020000}"/>
    <cellStyle name="Input 9" xfId="745" xr:uid="{00000000-0005-0000-0000-0000F8020000}"/>
    <cellStyle name="Linked Cell 2" xfId="761" xr:uid="{00000000-0005-0000-0000-0000F9020000}"/>
    <cellStyle name="Linked Cell 2 2" xfId="762" xr:uid="{00000000-0005-0000-0000-0000FA020000}"/>
    <cellStyle name="Linked Cell 2 3" xfId="763" xr:uid="{00000000-0005-0000-0000-0000FB020000}"/>
    <cellStyle name="Linked Cell 2 4" xfId="764" xr:uid="{00000000-0005-0000-0000-0000FC020000}"/>
    <cellStyle name="Linked Cell 2 5" xfId="765" xr:uid="{00000000-0005-0000-0000-0000FD020000}"/>
    <cellStyle name="Linked Cell 2 6" xfId="766" xr:uid="{00000000-0005-0000-0000-0000FE020000}"/>
    <cellStyle name="Linked Cell 2 7" xfId="767" xr:uid="{00000000-0005-0000-0000-0000FF020000}"/>
    <cellStyle name="Linked Cell 2 8" xfId="768" xr:uid="{00000000-0005-0000-0000-000000030000}"/>
    <cellStyle name="Linked Cell 3" xfId="769" xr:uid="{00000000-0005-0000-0000-000001030000}"/>
    <cellStyle name="Linked Cell 4" xfId="770" xr:uid="{00000000-0005-0000-0000-000002030000}"/>
    <cellStyle name="Linked Cell 5" xfId="771" xr:uid="{00000000-0005-0000-0000-000003030000}"/>
    <cellStyle name="Linked Cell 6" xfId="772" xr:uid="{00000000-0005-0000-0000-000004030000}"/>
    <cellStyle name="Linked Cell 7" xfId="773" xr:uid="{00000000-0005-0000-0000-000005030000}"/>
    <cellStyle name="Linked Cell 8" xfId="774" xr:uid="{00000000-0005-0000-0000-000006030000}"/>
    <cellStyle name="Linked Cell 9" xfId="760" xr:uid="{00000000-0005-0000-0000-000007030000}"/>
    <cellStyle name="Neutral 2" xfId="776" xr:uid="{00000000-0005-0000-0000-000008030000}"/>
    <cellStyle name="Neutral 2 2" xfId="777" xr:uid="{00000000-0005-0000-0000-000009030000}"/>
    <cellStyle name="Neutral 2 3" xfId="778" xr:uid="{00000000-0005-0000-0000-00000A030000}"/>
    <cellStyle name="Neutral 2 4" xfId="779" xr:uid="{00000000-0005-0000-0000-00000B030000}"/>
    <cellStyle name="Neutral 2 5" xfId="780" xr:uid="{00000000-0005-0000-0000-00000C030000}"/>
    <cellStyle name="Neutral 2 6" xfId="781" xr:uid="{00000000-0005-0000-0000-00000D030000}"/>
    <cellStyle name="Neutral 2 7" xfId="782" xr:uid="{00000000-0005-0000-0000-00000E030000}"/>
    <cellStyle name="Neutral 2 8" xfId="783" xr:uid="{00000000-0005-0000-0000-00000F030000}"/>
    <cellStyle name="Neutral 3" xfId="784" xr:uid="{00000000-0005-0000-0000-000010030000}"/>
    <cellStyle name="Neutral 4" xfId="785" xr:uid="{00000000-0005-0000-0000-000011030000}"/>
    <cellStyle name="Neutral 5" xfId="786" xr:uid="{00000000-0005-0000-0000-000012030000}"/>
    <cellStyle name="Neutral 6" xfId="787" xr:uid="{00000000-0005-0000-0000-000013030000}"/>
    <cellStyle name="Neutral 7" xfId="788" xr:uid="{00000000-0005-0000-0000-000014030000}"/>
    <cellStyle name="Neutral 8" xfId="789" xr:uid="{00000000-0005-0000-0000-000015030000}"/>
    <cellStyle name="Neutral 9" xfId="775" xr:uid="{00000000-0005-0000-0000-000016030000}"/>
    <cellStyle name="Normal" xfId="0" builtinId="0"/>
    <cellStyle name="Normal 10" xfId="790" xr:uid="{00000000-0005-0000-0000-000018030000}"/>
    <cellStyle name="Normal 11" xfId="791" xr:uid="{00000000-0005-0000-0000-000019030000}"/>
    <cellStyle name="Normal 12" xfId="792" xr:uid="{00000000-0005-0000-0000-00001A030000}"/>
    <cellStyle name="Normal 13" xfId="793" xr:uid="{00000000-0005-0000-0000-00001B030000}"/>
    <cellStyle name="Normal 14" xfId="794" xr:uid="{00000000-0005-0000-0000-00001C030000}"/>
    <cellStyle name="Normal 15" xfId="795" xr:uid="{00000000-0005-0000-0000-00001D030000}"/>
    <cellStyle name="Normal 16" xfId="796" xr:uid="{00000000-0005-0000-0000-00001E030000}"/>
    <cellStyle name="Normal 17" xfId="797" xr:uid="{00000000-0005-0000-0000-00001F030000}"/>
    <cellStyle name="Normal 18" xfId="798" xr:uid="{00000000-0005-0000-0000-000020030000}"/>
    <cellStyle name="Normal 19" xfId="799" xr:uid="{00000000-0005-0000-0000-000021030000}"/>
    <cellStyle name="Normal 2" xfId="800" xr:uid="{00000000-0005-0000-0000-000022030000}"/>
    <cellStyle name="Normal 20" xfId="801" xr:uid="{00000000-0005-0000-0000-000023030000}"/>
    <cellStyle name="Normal 21" xfId="802" xr:uid="{00000000-0005-0000-0000-000024030000}"/>
    <cellStyle name="Normal 22" xfId="803" xr:uid="{00000000-0005-0000-0000-000025030000}"/>
    <cellStyle name="Normal 23" xfId="804" xr:uid="{00000000-0005-0000-0000-000026030000}"/>
    <cellStyle name="Normal 24" xfId="5" xr:uid="{00000000-0005-0000-0000-000027030000}"/>
    <cellStyle name="Normal 25" xfId="927" xr:uid="{00000000-0005-0000-0000-000028030000}"/>
    <cellStyle name="Normal 26" xfId="930" xr:uid="{00000000-0005-0000-0000-000029030000}"/>
    <cellStyle name="Normal 27" xfId="931" xr:uid="{00000000-0005-0000-0000-00002A030000}"/>
    <cellStyle name="Normal 3" xfId="805" xr:uid="{00000000-0005-0000-0000-00002B030000}"/>
    <cellStyle name="Normal 4" xfId="806" xr:uid="{00000000-0005-0000-0000-00002C030000}"/>
    <cellStyle name="Normal 4 2" xfId="807" xr:uid="{00000000-0005-0000-0000-00002D030000}"/>
    <cellStyle name="Normal 4 2 2" xfId="808" xr:uid="{00000000-0005-0000-0000-00002E030000}"/>
    <cellStyle name="Normal 4 2 3" xfId="809" xr:uid="{00000000-0005-0000-0000-00002F030000}"/>
    <cellStyle name="Normal 4 2 4" xfId="810" xr:uid="{00000000-0005-0000-0000-000030030000}"/>
    <cellStyle name="Normal 4 2 5" xfId="811" xr:uid="{00000000-0005-0000-0000-000031030000}"/>
    <cellStyle name="Normal 4 2 6" xfId="812" xr:uid="{00000000-0005-0000-0000-000032030000}"/>
    <cellStyle name="Normal 4 2 7" xfId="813" xr:uid="{00000000-0005-0000-0000-000033030000}"/>
    <cellStyle name="Normal 4 2 8" xfId="814" xr:uid="{00000000-0005-0000-0000-000034030000}"/>
    <cellStyle name="Normal 4 2_GREET1_Import" xfId="815" xr:uid="{00000000-0005-0000-0000-000035030000}"/>
    <cellStyle name="Normal 4 3" xfId="816" xr:uid="{00000000-0005-0000-0000-000036030000}"/>
    <cellStyle name="Normal 4 4" xfId="817" xr:uid="{00000000-0005-0000-0000-000037030000}"/>
    <cellStyle name="Normal 4 5" xfId="818" xr:uid="{00000000-0005-0000-0000-000038030000}"/>
    <cellStyle name="Normal 4 6" xfId="819" xr:uid="{00000000-0005-0000-0000-000039030000}"/>
    <cellStyle name="Normal 4 7" xfId="820" xr:uid="{00000000-0005-0000-0000-00003A030000}"/>
    <cellStyle name="Normal 4 8" xfId="821" xr:uid="{00000000-0005-0000-0000-00003B030000}"/>
    <cellStyle name="Normal 4_GREET2_8d_0" xfId="822" xr:uid="{00000000-0005-0000-0000-00003C030000}"/>
    <cellStyle name="Normal 5" xfId="823" xr:uid="{00000000-0005-0000-0000-00003D030000}"/>
    <cellStyle name="Normal 5 2" xfId="824" xr:uid="{00000000-0005-0000-0000-00003E030000}"/>
    <cellStyle name="Normal 5 3" xfId="825" xr:uid="{00000000-0005-0000-0000-00003F030000}"/>
    <cellStyle name="Normal 5 4" xfId="826" xr:uid="{00000000-0005-0000-0000-000040030000}"/>
    <cellStyle name="Normal 5 5" xfId="827" xr:uid="{00000000-0005-0000-0000-000041030000}"/>
    <cellStyle name="Normal 5 6" xfId="828" xr:uid="{00000000-0005-0000-0000-000042030000}"/>
    <cellStyle name="Normal 5 7" xfId="829" xr:uid="{00000000-0005-0000-0000-000043030000}"/>
    <cellStyle name="Normal 5 8" xfId="830" xr:uid="{00000000-0005-0000-0000-000044030000}"/>
    <cellStyle name="Normal 6" xfId="831" xr:uid="{00000000-0005-0000-0000-000045030000}"/>
    <cellStyle name="Normal 7" xfId="832" xr:uid="{00000000-0005-0000-0000-000046030000}"/>
    <cellStyle name="Normal 8" xfId="833" xr:uid="{00000000-0005-0000-0000-000047030000}"/>
    <cellStyle name="Normal 9" xfId="834" xr:uid="{00000000-0005-0000-0000-000048030000}"/>
    <cellStyle name="Normal GHG Numbers (0.00)" xfId="835" xr:uid="{00000000-0005-0000-0000-000049030000}"/>
    <cellStyle name="Normal GHG Textfiels Bold" xfId="836" xr:uid="{00000000-0005-0000-0000-00004A030000}"/>
    <cellStyle name="Normal GHG whole table" xfId="837" xr:uid="{00000000-0005-0000-0000-00004B030000}"/>
    <cellStyle name="Normal GHG-Shade" xfId="838" xr:uid="{00000000-0005-0000-0000-00004C030000}"/>
    <cellStyle name="Normal GHG-Shade 2" xfId="921" xr:uid="{00000000-0005-0000-0000-00004D030000}"/>
    <cellStyle name="Normal GHG-Shade 2 2" xfId="929" xr:uid="{00000000-0005-0000-0000-00004E030000}"/>
    <cellStyle name="Normal_IISI-FCV Model 23Apr07v5" xfId="2" xr:uid="{00000000-0005-0000-0000-00004F030000}"/>
    <cellStyle name="Normal_IISI-Model Only 14Mar07v1" xfId="3" xr:uid="{00000000-0005-0000-0000-000050030000}"/>
    <cellStyle name="Note 2" xfId="840" xr:uid="{00000000-0005-0000-0000-000051030000}"/>
    <cellStyle name="Note 2 2" xfId="841" xr:uid="{00000000-0005-0000-0000-000052030000}"/>
    <cellStyle name="Note 2 3" xfId="842" xr:uid="{00000000-0005-0000-0000-000053030000}"/>
    <cellStyle name="Note 2 4" xfId="843" xr:uid="{00000000-0005-0000-0000-000054030000}"/>
    <cellStyle name="Note 2 5" xfId="844" xr:uid="{00000000-0005-0000-0000-000055030000}"/>
    <cellStyle name="Note 2 6" xfId="845" xr:uid="{00000000-0005-0000-0000-000056030000}"/>
    <cellStyle name="Note 2 7" xfId="846" xr:uid="{00000000-0005-0000-0000-000057030000}"/>
    <cellStyle name="Note 2 8" xfId="847" xr:uid="{00000000-0005-0000-0000-000058030000}"/>
    <cellStyle name="Note 3" xfId="848" xr:uid="{00000000-0005-0000-0000-000059030000}"/>
    <cellStyle name="Note 4" xfId="849" xr:uid="{00000000-0005-0000-0000-00005A030000}"/>
    <cellStyle name="Note 5" xfId="850" xr:uid="{00000000-0005-0000-0000-00005B030000}"/>
    <cellStyle name="Note 6" xfId="851" xr:uid="{00000000-0005-0000-0000-00005C030000}"/>
    <cellStyle name="Note 7" xfId="852" xr:uid="{00000000-0005-0000-0000-00005D030000}"/>
    <cellStyle name="Note 8" xfId="853" xr:uid="{00000000-0005-0000-0000-00005E030000}"/>
    <cellStyle name="Note 9" xfId="839" xr:uid="{00000000-0005-0000-0000-00005F030000}"/>
    <cellStyle name="Output 2" xfId="855" xr:uid="{00000000-0005-0000-0000-000060030000}"/>
    <cellStyle name="Output 2 2" xfId="856" xr:uid="{00000000-0005-0000-0000-000061030000}"/>
    <cellStyle name="Output 2 3" xfId="857" xr:uid="{00000000-0005-0000-0000-000062030000}"/>
    <cellStyle name="Output 2 4" xfId="858" xr:uid="{00000000-0005-0000-0000-000063030000}"/>
    <cellStyle name="Output 2 5" xfId="859" xr:uid="{00000000-0005-0000-0000-000064030000}"/>
    <cellStyle name="Output 2 6" xfId="860" xr:uid="{00000000-0005-0000-0000-000065030000}"/>
    <cellStyle name="Output 2 7" xfId="861" xr:uid="{00000000-0005-0000-0000-000066030000}"/>
    <cellStyle name="Output 2 8" xfId="862" xr:uid="{00000000-0005-0000-0000-000067030000}"/>
    <cellStyle name="Output 3" xfId="863" xr:uid="{00000000-0005-0000-0000-000068030000}"/>
    <cellStyle name="Output 4" xfId="864" xr:uid="{00000000-0005-0000-0000-000069030000}"/>
    <cellStyle name="Output 5" xfId="865" xr:uid="{00000000-0005-0000-0000-00006A030000}"/>
    <cellStyle name="Output 6" xfId="866" xr:uid="{00000000-0005-0000-0000-00006B030000}"/>
    <cellStyle name="Output 7" xfId="867" xr:uid="{00000000-0005-0000-0000-00006C030000}"/>
    <cellStyle name="Output 8" xfId="868" xr:uid="{00000000-0005-0000-0000-00006D030000}"/>
    <cellStyle name="Output 9" xfId="854" xr:uid="{00000000-0005-0000-0000-00006E030000}"/>
    <cellStyle name="Pattern" xfId="869" xr:uid="{00000000-0005-0000-0000-00006F030000}"/>
    <cellStyle name="Percent" xfId="4" builtinId="5"/>
    <cellStyle name="Percent 2" xfId="871" xr:uid="{00000000-0005-0000-0000-000071030000}"/>
    <cellStyle name="Percent 3" xfId="872" xr:uid="{00000000-0005-0000-0000-000072030000}"/>
    <cellStyle name="Percent 4" xfId="870" xr:uid="{00000000-0005-0000-0000-000073030000}"/>
    <cellStyle name="Plain" xfId="873" xr:uid="{00000000-0005-0000-0000-000074030000}"/>
    <cellStyle name="Scientific" xfId="874" xr:uid="{00000000-0005-0000-0000-000075030000}"/>
    <cellStyle name="Title 2" xfId="876" xr:uid="{00000000-0005-0000-0000-000076030000}"/>
    <cellStyle name="Title 2 2" xfId="877" xr:uid="{00000000-0005-0000-0000-000077030000}"/>
    <cellStyle name="Title 2 3" xfId="878" xr:uid="{00000000-0005-0000-0000-000078030000}"/>
    <cellStyle name="Title 2 4" xfId="879" xr:uid="{00000000-0005-0000-0000-000079030000}"/>
    <cellStyle name="Title 2 5" xfId="880" xr:uid="{00000000-0005-0000-0000-00007A030000}"/>
    <cellStyle name="Title 2 6" xfId="881" xr:uid="{00000000-0005-0000-0000-00007B030000}"/>
    <cellStyle name="Title 2 7" xfId="882" xr:uid="{00000000-0005-0000-0000-00007C030000}"/>
    <cellStyle name="Title 2 8" xfId="883" xr:uid="{00000000-0005-0000-0000-00007D030000}"/>
    <cellStyle name="Title 3" xfId="884" xr:uid="{00000000-0005-0000-0000-00007E030000}"/>
    <cellStyle name="Title 4" xfId="885" xr:uid="{00000000-0005-0000-0000-00007F030000}"/>
    <cellStyle name="Title 5" xfId="886" xr:uid="{00000000-0005-0000-0000-000080030000}"/>
    <cellStyle name="Title 6" xfId="887" xr:uid="{00000000-0005-0000-0000-000081030000}"/>
    <cellStyle name="Title 7" xfId="888" xr:uid="{00000000-0005-0000-0000-000082030000}"/>
    <cellStyle name="Title 8" xfId="889" xr:uid="{00000000-0005-0000-0000-000083030000}"/>
    <cellStyle name="Title 9" xfId="875" xr:uid="{00000000-0005-0000-0000-000084030000}"/>
    <cellStyle name="Total 2" xfId="891" xr:uid="{00000000-0005-0000-0000-000085030000}"/>
    <cellStyle name="Total 2 2" xfId="892" xr:uid="{00000000-0005-0000-0000-000086030000}"/>
    <cellStyle name="Total 2 3" xfId="893" xr:uid="{00000000-0005-0000-0000-000087030000}"/>
    <cellStyle name="Total 2 4" xfId="894" xr:uid="{00000000-0005-0000-0000-000088030000}"/>
    <cellStyle name="Total 2 5" xfId="895" xr:uid="{00000000-0005-0000-0000-000089030000}"/>
    <cellStyle name="Total 2 6" xfId="896" xr:uid="{00000000-0005-0000-0000-00008A030000}"/>
    <cellStyle name="Total 2 7" xfId="897" xr:uid="{00000000-0005-0000-0000-00008B030000}"/>
    <cellStyle name="Total 2 8" xfId="898" xr:uid="{00000000-0005-0000-0000-00008C030000}"/>
    <cellStyle name="Total 3" xfId="899" xr:uid="{00000000-0005-0000-0000-00008D030000}"/>
    <cellStyle name="Total 4" xfId="900" xr:uid="{00000000-0005-0000-0000-00008E030000}"/>
    <cellStyle name="Total 5" xfId="901" xr:uid="{00000000-0005-0000-0000-00008F030000}"/>
    <cellStyle name="Total 6" xfId="902" xr:uid="{00000000-0005-0000-0000-000090030000}"/>
    <cellStyle name="Total 7" xfId="903" xr:uid="{00000000-0005-0000-0000-000091030000}"/>
    <cellStyle name="Total 8" xfId="904" xr:uid="{00000000-0005-0000-0000-000092030000}"/>
    <cellStyle name="Total 9" xfId="890" xr:uid="{00000000-0005-0000-0000-000093030000}"/>
    <cellStyle name="UnitLookup" xfId="922" xr:uid="{00000000-0005-0000-0000-000094030000}"/>
    <cellStyle name="Warning Text 2" xfId="906" xr:uid="{00000000-0005-0000-0000-000095030000}"/>
    <cellStyle name="Warning Text 2 2" xfId="907" xr:uid="{00000000-0005-0000-0000-000096030000}"/>
    <cellStyle name="Warning Text 2 3" xfId="908" xr:uid="{00000000-0005-0000-0000-000097030000}"/>
    <cellStyle name="Warning Text 2 4" xfId="909" xr:uid="{00000000-0005-0000-0000-000098030000}"/>
    <cellStyle name="Warning Text 2 5" xfId="910" xr:uid="{00000000-0005-0000-0000-000099030000}"/>
    <cellStyle name="Warning Text 2 6" xfId="911" xr:uid="{00000000-0005-0000-0000-00009A030000}"/>
    <cellStyle name="Warning Text 2 7" xfId="912" xr:uid="{00000000-0005-0000-0000-00009B030000}"/>
    <cellStyle name="Warning Text 2 8" xfId="913" xr:uid="{00000000-0005-0000-0000-00009C030000}"/>
    <cellStyle name="Warning Text 3" xfId="914" xr:uid="{00000000-0005-0000-0000-00009D030000}"/>
    <cellStyle name="Warning Text 4" xfId="915" xr:uid="{00000000-0005-0000-0000-00009E030000}"/>
    <cellStyle name="Warning Text 5" xfId="916" xr:uid="{00000000-0005-0000-0000-00009F030000}"/>
    <cellStyle name="Warning Text 6" xfId="917" xr:uid="{00000000-0005-0000-0000-0000A0030000}"/>
    <cellStyle name="Warning Text 7" xfId="918" xr:uid="{00000000-0005-0000-0000-0000A1030000}"/>
    <cellStyle name="Warning Text 8" xfId="919" xr:uid="{00000000-0005-0000-0000-0000A2030000}"/>
    <cellStyle name="Warning Text 9" xfId="905" xr:uid="{00000000-0005-0000-0000-0000A303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76A519"/>
      <color rgb="FFFF6905"/>
      <color rgb="FF5C7F92"/>
      <color rgb="FFF4C000"/>
      <color rgb="FF00ABEA"/>
      <color rgb="FFEEF1F4"/>
      <color rgb="FFCCFFCC"/>
      <color rgb="FFFFCC99"/>
      <color rgb="FF99CC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17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18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19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21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24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25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26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27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25400">
              <a:solidFill>
                <a:srgbClr val="333399"/>
              </a:solidFill>
              <a:prstDash val="solid"/>
            </a:ln>
          </c:spPr>
          <c:marker>
            <c:symbol val="none"/>
          </c:marker>
          <c:yVal>
            <c:numLit>
              <c:formatCode>General</c:formatCode>
              <c:ptCount val="1"/>
              <c:pt idx="0">
                <c:v>0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0-8059-42A6-98A8-75092AD33A6B}"/>
            </c:ext>
          </c:extLst>
        </c:ser>
        <c:ser>
          <c:idx val="1"/>
          <c:order val="1"/>
          <c:spPr>
            <a:ln w="38100">
              <a:solidFill>
                <a:srgbClr val="DD0806"/>
              </a:solidFill>
              <a:prstDash val="solid"/>
            </a:ln>
          </c:spPr>
          <c:marker>
            <c:symbol val="none"/>
          </c:marker>
          <c:yVal>
            <c:numLit>
              <c:formatCode>General</c:formatCode>
              <c:ptCount val="1"/>
              <c:pt idx="0">
                <c:v>0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1-8059-42A6-98A8-75092AD33A6B}"/>
            </c:ext>
          </c:extLst>
        </c:ser>
        <c:ser>
          <c:idx val="2"/>
          <c:order val="2"/>
          <c:tx>
            <c:v>Selected Allocation</c:v>
          </c:tx>
          <c:spPr>
            <a:ln w="28575">
              <a:noFill/>
            </a:ln>
          </c:spPr>
          <c:marker>
            <c:symbol val="diamond"/>
            <c:size val="10"/>
            <c:spPr>
              <a:solidFill>
                <a:srgbClr val="333399"/>
              </a:solidFill>
              <a:ln>
                <a:solidFill>
                  <a:srgbClr val="333399"/>
                </a:solidFill>
                <a:prstDash val="solid"/>
              </a:ln>
            </c:spPr>
          </c:marker>
          <c:yVal>
            <c:numLit>
              <c:formatCode>General</c:formatCode>
              <c:ptCount val="1"/>
              <c:pt idx="0">
                <c:v>0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2-8059-42A6-98A8-75092AD33A6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86357088"/>
        <c:axId val="186357872"/>
      </c:scatterChart>
      <c:valAx>
        <c:axId val="186357088"/>
        <c:scaling>
          <c:orientation val="minMax"/>
          <c:max val="1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Tahoma"/>
                <a:ea typeface="Tahoma"/>
                <a:cs typeface="Tahoma"/>
              </a:defRPr>
            </a:pPr>
            <a:endParaRPr lang="en-US"/>
          </a:p>
        </c:txPr>
        <c:crossAx val="186357872"/>
        <c:crosses val="autoZero"/>
        <c:crossBetween val="midCat"/>
      </c:valAx>
      <c:valAx>
        <c:axId val="186357872"/>
        <c:scaling>
          <c:orientation val="minMax"/>
          <c:min val="0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Tahoma"/>
                <a:ea typeface="Tahoma"/>
                <a:cs typeface="Tahoma"/>
              </a:defRPr>
            </a:pPr>
            <a:endParaRPr lang="en-US"/>
          </a:p>
        </c:txPr>
        <c:crossAx val="186357088"/>
        <c:crosses val="autoZero"/>
        <c:crossBetween val="midCat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475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Tahoma"/>
          <a:ea typeface="Tahoma"/>
          <a:cs typeface="Tahoma"/>
        </a:defRPr>
      </a:pPr>
      <a:endParaRPr lang="en-US"/>
    </a:p>
  </c:txPr>
  <c:printSettings>
    <c:headerFooter alignWithMargins="0"/>
    <c:pageMargins b="1" l="0.750000000000003" r="0.750000000000003" t="1" header="0.5" footer="0.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25400">
              <a:solidFill>
                <a:srgbClr val="333399"/>
              </a:solidFill>
              <a:prstDash val="solid"/>
            </a:ln>
          </c:spPr>
          <c:marker>
            <c:symbol val="none"/>
          </c:marker>
          <c:yVal>
            <c:numLit>
              <c:formatCode>General</c:formatCode>
              <c:ptCount val="1"/>
              <c:pt idx="0">
                <c:v>0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0-AD9B-4115-8192-CC0D1B45A3D1}"/>
            </c:ext>
          </c:extLst>
        </c:ser>
        <c:ser>
          <c:idx val="1"/>
          <c:order val="1"/>
          <c:spPr>
            <a:ln w="38100">
              <a:solidFill>
                <a:srgbClr val="DD0806"/>
              </a:solidFill>
              <a:prstDash val="solid"/>
            </a:ln>
          </c:spPr>
          <c:marker>
            <c:symbol val="none"/>
          </c:marker>
          <c:yVal>
            <c:numLit>
              <c:formatCode>General</c:formatCode>
              <c:ptCount val="1"/>
              <c:pt idx="0">
                <c:v>0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1-AD9B-4115-8192-CC0D1B45A3D1}"/>
            </c:ext>
          </c:extLst>
        </c:ser>
        <c:ser>
          <c:idx val="2"/>
          <c:order val="2"/>
          <c:tx>
            <c:v>Selected Allocation</c:v>
          </c:tx>
          <c:spPr>
            <a:ln w="28575">
              <a:noFill/>
            </a:ln>
          </c:spPr>
          <c:marker>
            <c:symbol val="diamond"/>
            <c:size val="10"/>
            <c:spPr>
              <a:solidFill>
                <a:srgbClr val="333399"/>
              </a:solidFill>
              <a:ln>
                <a:solidFill>
                  <a:srgbClr val="333399"/>
                </a:solidFill>
                <a:prstDash val="solid"/>
              </a:ln>
            </c:spPr>
          </c:marker>
          <c:yVal>
            <c:numLit>
              <c:formatCode>General</c:formatCode>
              <c:ptCount val="1"/>
              <c:pt idx="0">
                <c:v>0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2-AD9B-4115-8192-CC0D1B45A3D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3329296"/>
        <c:axId val="295698160"/>
      </c:scatterChart>
      <c:valAx>
        <c:axId val="153329296"/>
        <c:scaling>
          <c:orientation val="minMax"/>
          <c:max val="1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Tahoma"/>
                <a:ea typeface="Tahoma"/>
                <a:cs typeface="Tahoma"/>
              </a:defRPr>
            </a:pPr>
            <a:endParaRPr lang="en-US"/>
          </a:p>
        </c:txPr>
        <c:crossAx val="295698160"/>
        <c:crosses val="autoZero"/>
        <c:crossBetween val="midCat"/>
      </c:valAx>
      <c:valAx>
        <c:axId val="295698160"/>
        <c:scaling>
          <c:orientation val="minMax"/>
          <c:min val="0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Tahoma"/>
                <a:ea typeface="Tahoma"/>
                <a:cs typeface="Tahoma"/>
              </a:defRPr>
            </a:pPr>
            <a:endParaRPr lang="en-US"/>
          </a:p>
        </c:txPr>
        <c:crossAx val="153329296"/>
        <c:crosses val="autoZero"/>
        <c:crossBetween val="midCat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475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Tahoma"/>
          <a:ea typeface="Tahoma"/>
          <a:cs typeface="Tahoma"/>
        </a:defRPr>
      </a:pPr>
      <a:endParaRPr lang="en-US"/>
    </a:p>
  </c:txPr>
  <c:printSettings>
    <c:headerFooter alignWithMargins="0"/>
    <c:pageMargins b="1" l="0.750000000000003" r="0.750000000000003" t="1" header="0.5" footer="0.5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991030648727971"/>
          <c:y val="4.3264490042663736E-2"/>
          <c:w val="0.61199268398536799"/>
          <c:h val="0.86347405493258611"/>
        </c:manualLayout>
      </c:layout>
      <c:lineChart>
        <c:grouping val="standard"/>
        <c:varyColors val="0"/>
        <c:ser>
          <c:idx val="0"/>
          <c:order val="0"/>
          <c:tx>
            <c:strRef>
              <c:f>Results!$D$7</c:f>
              <c:strCache>
                <c:ptCount val="1"/>
                <c:pt idx="0">
                  <c:v>Baseline</c:v>
                </c:pt>
              </c:strCache>
            </c:strRef>
          </c:tx>
          <c:spPr>
            <a:ln>
              <a:solidFill>
                <a:srgbClr val="00AAE7"/>
              </a:solidFill>
            </a:ln>
          </c:spPr>
          <c:marker>
            <c:symbol val="none"/>
          </c:marker>
          <c:cat>
            <c:strRef>
              <c:f>Results!$C$8:$C$14</c:f>
              <c:strCache>
                <c:ptCount val="7"/>
                <c:pt idx="0">
                  <c:v>Production</c:v>
                </c:pt>
                <c:pt idx="1">
                  <c:v>40,000</c:v>
                </c:pt>
                <c:pt idx="2">
                  <c:v>80,000</c:v>
                </c:pt>
                <c:pt idx="3">
                  <c:v>120,000</c:v>
                </c:pt>
                <c:pt idx="4">
                  <c:v>160,000</c:v>
                </c:pt>
                <c:pt idx="5">
                  <c:v>200,000</c:v>
                </c:pt>
                <c:pt idx="6">
                  <c:v>Total</c:v>
                </c:pt>
              </c:strCache>
            </c:strRef>
          </c:cat>
          <c:val>
            <c:numRef>
              <c:f>Results!$D$8:$D$14</c:f>
              <c:numCache>
                <c:formatCode>#,##0</c:formatCode>
                <c:ptCount val="7"/>
                <c:pt idx="0">
                  <c:v>6629.7393219529176</c:v>
                </c:pt>
                <c:pt idx="1">
                  <c:v>12509.101021330211</c:v>
                </c:pt>
                <c:pt idx="2">
                  <c:v>18388.462720707506</c:v>
                </c:pt>
                <c:pt idx="3">
                  <c:v>24267.824420084802</c:v>
                </c:pt>
                <c:pt idx="4">
                  <c:v>30147.186119462094</c:v>
                </c:pt>
                <c:pt idx="5">
                  <c:v>36026.547818839383</c:v>
                </c:pt>
                <c:pt idx="6">
                  <c:v>33966.283924268711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BED-403D-B4AD-2B4BE9879800}"/>
            </c:ext>
          </c:extLst>
        </c:ser>
        <c:ser>
          <c:idx val="1"/>
          <c:order val="1"/>
          <c:tx>
            <c:strRef>
              <c:f>Results!$E$7</c:f>
              <c:strCache>
                <c:ptCount val="1"/>
                <c:pt idx="0">
                  <c:v>Contender 1</c:v>
                </c:pt>
              </c:strCache>
            </c:strRef>
          </c:tx>
          <c:spPr>
            <a:ln>
              <a:solidFill>
                <a:srgbClr val="F4C000"/>
              </a:solidFill>
            </a:ln>
          </c:spPr>
          <c:marker>
            <c:symbol val="none"/>
          </c:marker>
          <c:cat>
            <c:strRef>
              <c:f>Results!$C$8:$C$14</c:f>
              <c:strCache>
                <c:ptCount val="7"/>
                <c:pt idx="0">
                  <c:v>Production</c:v>
                </c:pt>
                <c:pt idx="1">
                  <c:v>40,000</c:v>
                </c:pt>
                <c:pt idx="2">
                  <c:v>80,000</c:v>
                </c:pt>
                <c:pt idx="3">
                  <c:v>120,000</c:v>
                </c:pt>
                <c:pt idx="4">
                  <c:v>160,000</c:v>
                </c:pt>
                <c:pt idx="5">
                  <c:v>200,000</c:v>
                </c:pt>
                <c:pt idx="6">
                  <c:v>Total</c:v>
                </c:pt>
              </c:strCache>
            </c:strRef>
          </c:cat>
          <c:val>
            <c:numRef>
              <c:f>Results!$E$8:$E$14</c:f>
              <c:numCache>
                <c:formatCode>#,##0</c:formatCode>
                <c:ptCount val="7"/>
                <c:pt idx="0">
                  <c:v>6021.1818729517281</c:v>
                </c:pt>
                <c:pt idx="1">
                  <c:v>11581.702527834321</c:v>
                </c:pt>
                <c:pt idx="2">
                  <c:v>17142.223182716916</c:v>
                </c:pt>
                <c:pt idx="3">
                  <c:v>22702.743837599508</c:v>
                </c:pt>
                <c:pt idx="4">
                  <c:v>28263.264492482103</c:v>
                </c:pt>
                <c:pt idx="5">
                  <c:v>33823.785147364695</c:v>
                </c:pt>
                <c:pt idx="6">
                  <c:v>32070.698777097296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BED-403D-B4AD-2B4BE9879800}"/>
            </c:ext>
          </c:extLst>
        </c:ser>
        <c:ser>
          <c:idx val="2"/>
          <c:order val="2"/>
          <c:tx>
            <c:strRef>
              <c:f>Results!$F$7</c:f>
              <c:strCache>
                <c:ptCount val="1"/>
                <c:pt idx="0">
                  <c:v>Contender 2</c:v>
                </c:pt>
              </c:strCache>
            </c:strRef>
          </c:tx>
          <c:spPr>
            <a:ln>
              <a:solidFill>
                <a:srgbClr val="841C80"/>
              </a:solidFill>
            </a:ln>
          </c:spPr>
          <c:marker>
            <c:symbol val="none"/>
          </c:marker>
          <c:cat>
            <c:strRef>
              <c:f>Results!$C$8:$C$14</c:f>
              <c:strCache>
                <c:ptCount val="7"/>
                <c:pt idx="0">
                  <c:v>Production</c:v>
                </c:pt>
                <c:pt idx="1">
                  <c:v>40,000</c:v>
                </c:pt>
                <c:pt idx="2">
                  <c:v>80,000</c:v>
                </c:pt>
                <c:pt idx="3">
                  <c:v>120,000</c:v>
                </c:pt>
                <c:pt idx="4">
                  <c:v>160,000</c:v>
                </c:pt>
                <c:pt idx="5">
                  <c:v>200,000</c:v>
                </c:pt>
                <c:pt idx="6">
                  <c:v>Total</c:v>
                </c:pt>
              </c:strCache>
            </c:strRef>
          </c:cat>
          <c:val>
            <c:numRef>
              <c:f>Results!$F$8:$F$14</c:f>
              <c:numCache>
                <c:formatCode>#,##0</c:formatCode>
                <c:ptCount val="7"/>
                <c:pt idx="0">
                  <c:v>9737.1733313799014</c:v>
                </c:pt>
                <c:pt idx="1">
                  <c:v>15195.664852024192</c:v>
                </c:pt>
                <c:pt idx="2">
                  <c:v>20654.156372668484</c:v>
                </c:pt>
                <c:pt idx="3">
                  <c:v>26112.647893312773</c:v>
                </c:pt>
                <c:pt idx="4">
                  <c:v>31571.139413957066</c:v>
                </c:pt>
                <c:pt idx="5">
                  <c:v>37029.630934601359</c:v>
                </c:pt>
                <c:pt idx="6">
                  <c:v>32985.680231015729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BED-403D-B4AD-2B4BE987980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95698944"/>
        <c:axId val="295699336"/>
      </c:lineChart>
      <c:catAx>
        <c:axId val="29569894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0"/>
          <a:lstStyle/>
          <a:p>
            <a:pPr>
              <a:defRPr>
                <a:latin typeface="Arial" pitchFamily="34" charset="0"/>
                <a:cs typeface="Arial" pitchFamily="34" charset="0"/>
              </a:defRPr>
            </a:pPr>
            <a:endParaRPr lang="en-US"/>
          </a:p>
        </c:txPr>
        <c:crossAx val="295699336"/>
        <c:crosses val="autoZero"/>
        <c:auto val="1"/>
        <c:lblAlgn val="ctr"/>
        <c:lblOffset val="100"/>
        <c:tickMarkSkip val="1"/>
        <c:noMultiLvlLbl val="0"/>
      </c:catAx>
      <c:valAx>
        <c:axId val="295699336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#,##0" sourceLinked="1"/>
        <c:majorTickMark val="out"/>
        <c:minorTickMark val="none"/>
        <c:tickLblPos val="nextTo"/>
        <c:txPr>
          <a:bodyPr/>
          <a:lstStyle/>
          <a:p>
            <a:pPr>
              <a:defRPr baseline="0">
                <a:latin typeface="Arial" pitchFamily="34" charset="0"/>
              </a:defRPr>
            </a:pPr>
            <a:endParaRPr lang="en-US"/>
          </a:p>
        </c:txPr>
        <c:crossAx val="295698944"/>
        <c:crosses val="autoZero"/>
        <c:crossBetween val="midCat"/>
      </c:valAx>
    </c:plotArea>
    <c:legend>
      <c:legendPos val="r"/>
      <c:overlay val="0"/>
      <c:txPr>
        <a:bodyPr/>
        <a:lstStyle/>
        <a:p>
          <a:pPr>
            <a:defRPr>
              <a:latin typeface="Arial" pitchFamily="34" charset="0"/>
              <a:cs typeface="Arial" pitchFamily="34" charset="0"/>
            </a:defRPr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3324042548682999"/>
          <c:y val="4.3264503441494566E-2"/>
          <c:w val="0.6137185405948149"/>
          <c:h val="0.8548892450390606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Results!$A$25</c:f>
              <c:strCache>
                <c:ptCount val="1"/>
                <c:pt idx="0">
                  <c:v>Baseline</c:v>
                </c:pt>
              </c:strCache>
            </c:strRef>
          </c:tx>
          <c:spPr>
            <a:solidFill>
              <a:srgbClr val="00AAE7"/>
            </a:solidFill>
          </c:spPr>
          <c:invertIfNegative val="0"/>
          <c:cat>
            <c:strRef>
              <c:f>Results!$B$24:$E$24</c:f>
              <c:strCache>
                <c:ptCount val="4"/>
                <c:pt idx="0">
                  <c:v>Production</c:v>
                </c:pt>
                <c:pt idx="1">
                  <c:v>Use</c:v>
                </c:pt>
                <c:pt idx="2">
                  <c:v>End of Life</c:v>
                </c:pt>
                <c:pt idx="3">
                  <c:v>Total</c:v>
                </c:pt>
              </c:strCache>
            </c:strRef>
          </c:cat>
          <c:val>
            <c:numRef>
              <c:f>Results!$B$25:$E$25</c:f>
              <c:numCache>
                <c:formatCode>#,##0</c:formatCode>
                <c:ptCount val="4"/>
                <c:pt idx="0">
                  <c:v>6629.7393219529176</c:v>
                </c:pt>
                <c:pt idx="1">
                  <c:v>29396.808496886471</c:v>
                </c:pt>
                <c:pt idx="2">
                  <c:v>-2060.2638945706776</c:v>
                </c:pt>
                <c:pt idx="3" formatCode="#,##0.00">
                  <c:v>33966.283924268711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88B-4113-BDFB-CC6BB5F92ED2}"/>
            </c:ext>
          </c:extLst>
        </c:ser>
        <c:ser>
          <c:idx val="1"/>
          <c:order val="1"/>
          <c:tx>
            <c:strRef>
              <c:f>Results!$A$26</c:f>
              <c:strCache>
                <c:ptCount val="1"/>
                <c:pt idx="0">
                  <c:v>Contender 1</c:v>
                </c:pt>
              </c:strCache>
            </c:strRef>
          </c:tx>
          <c:spPr>
            <a:solidFill>
              <a:srgbClr val="F4C000"/>
            </a:solidFill>
          </c:spPr>
          <c:invertIfNegative val="0"/>
          <c:cat>
            <c:strRef>
              <c:f>Results!$B$24:$E$24</c:f>
              <c:strCache>
                <c:ptCount val="4"/>
                <c:pt idx="0">
                  <c:v>Production</c:v>
                </c:pt>
                <c:pt idx="1">
                  <c:v>Use</c:v>
                </c:pt>
                <c:pt idx="2">
                  <c:v>End of Life</c:v>
                </c:pt>
                <c:pt idx="3">
                  <c:v>Total</c:v>
                </c:pt>
              </c:strCache>
            </c:strRef>
          </c:cat>
          <c:val>
            <c:numRef>
              <c:f>Results!$B$26:$E$26</c:f>
              <c:numCache>
                <c:formatCode>#,##0</c:formatCode>
                <c:ptCount val="4"/>
                <c:pt idx="0">
                  <c:v>6021.1818729517281</c:v>
                </c:pt>
                <c:pt idx="1">
                  <c:v>27802.603274412966</c:v>
                </c:pt>
                <c:pt idx="2">
                  <c:v>-1753.0863702674005</c:v>
                </c:pt>
                <c:pt idx="3" formatCode="#,##0.00">
                  <c:v>32070.698777097296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88B-4113-BDFB-CC6BB5F92ED2}"/>
            </c:ext>
          </c:extLst>
        </c:ser>
        <c:ser>
          <c:idx val="2"/>
          <c:order val="2"/>
          <c:tx>
            <c:strRef>
              <c:f>Results!$A$27</c:f>
              <c:strCache>
                <c:ptCount val="1"/>
                <c:pt idx="0">
                  <c:v>Contender 2</c:v>
                </c:pt>
              </c:strCache>
            </c:strRef>
          </c:tx>
          <c:spPr>
            <a:solidFill>
              <a:srgbClr val="841C80"/>
            </a:solidFill>
          </c:spPr>
          <c:invertIfNegative val="0"/>
          <c:cat>
            <c:strRef>
              <c:f>Results!$B$24:$E$24</c:f>
              <c:strCache>
                <c:ptCount val="4"/>
                <c:pt idx="0">
                  <c:v>Production</c:v>
                </c:pt>
                <c:pt idx="1">
                  <c:v>Use</c:v>
                </c:pt>
                <c:pt idx="2">
                  <c:v>End of Life</c:v>
                </c:pt>
                <c:pt idx="3">
                  <c:v>Total</c:v>
                </c:pt>
              </c:strCache>
            </c:strRef>
          </c:cat>
          <c:val>
            <c:numRef>
              <c:f>Results!$B$27:$E$27</c:f>
              <c:numCache>
                <c:formatCode>#,##0</c:formatCode>
                <c:ptCount val="4"/>
                <c:pt idx="0">
                  <c:v>9737.1733313799014</c:v>
                </c:pt>
                <c:pt idx="1">
                  <c:v>27292.457603221454</c:v>
                </c:pt>
                <c:pt idx="2">
                  <c:v>-4043.9507035856309</c:v>
                </c:pt>
                <c:pt idx="3" formatCode="#,##0.00">
                  <c:v>32985.680231015729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388B-4113-BDFB-CC6BB5F92ED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95700120"/>
        <c:axId val="295700512"/>
      </c:barChart>
      <c:catAx>
        <c:axId val="29570012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>
                <a:latin typeface="Arial" pitchFamily="34" charset="0"/>
                <a:cs typeface="Arial" pitchFamily="34" charset="0"/>
              </a:defRPr>
            </a:pPr>
            <a:endParaRPr lang="en-US"/>
          </a:p>
        </c:txPr>
        <c:crossAx val="295700512"/>
        <c:crossesAt val="0"/>
        <c:auto val="1"/>
        <c:lblAlgn val="ctr"/>
        <c:lblOffset val="1000"/>
        <c:noMultiLvlLbl val="0"/>
      </c:catAx>
      <c:valAx>
        <c:axId val="295700512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#,##0" sourceLinked="1"/>
        <c:majorTickMark val="out"/>
        <c:minorTickMark val="none"/>
        <c:tickLblPos val="nextTo"/>
        <c:txPr>
          <a:bodyPr/>
          <a:lstStyle/>
          <a:p>
            <a:pPr>
              <a:defRPr>
                <a:latin typeface="Arial" pitchFamily="34" charset="0"/>
                <a:cs typeface="Arial" pitchFamily="34" charset="0"/>
              </a:defRPr>
            </a:pPr>
            <a:endParaRPr lang="en-US"/>
          </a:p>
        </c:txPr>
        <c:crossAx val="295700120"/>
        <c:crosses val="autoZero"/>
        <c:crossBetween val="between"/>
      </c:valAx>
    </c:plotArea>
    <c:legend>
      <c:legendPos val="r"/>
      <c:overlay val="0"/>
      <c:txPr>
        <a:bodyPr/>
        <a:lstStyle/>
        <a:p>
          <a:pPr>
            <a:defRPr>
              <a:latin typeface="Arial" pitchFamily="34" charset="0"/>
              <a:cs typeface="Arial" pitchFamily="34" charset="0"/>
            </a:defRPr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991030648727971"/>
          <c:y val="4.3264490042663736E-2"/>
          <c:w val="0.61199268398536799"/>
          <c:h val="0.86347405493258611"/>
        </c:manualLayout>
      </c:layout>
      <c:lineChart>
        <c:grouping val="standard"/>
        <c:varyColors val="0"/>
        <c:ser>
          <c:idx val="0"/>
          <c:order val="0"/>
          <c:tx>
            <c:strRef>
              <c:f>Results!$D$7</c:f>
              <c:strCache>
                <c:ptCount val="1"/>
                <c:pt idx="0">
                  <c:v>Baseline</c:v>
                </c:pt>
              </c:strCache>
            </c:strRef>
          </c:tx>
          <c:spPr>
            <a:ln>
              <a:solidFill>
                <a:srgbClr val="00AAE7"/>
              </a:solidFill>
            </a:ln>
          </c:spPr>
          <c:marker>
            <c:symbol val="none"/>
          </c:marker>
          <c:cat>
            <c:strRef>
              <c:f>Results!$C$36:$C$42</c:f>
              <c:strCache>
                <c:ptCount val="7"/>
                <c:pt idx="0">
                  <c:v>Production</c:v>
                </c:pt>
                <c:pt idx="1">
                  <c:v>40,000</c:v>
                </c:pt>
                <c:pt idx="2">
                  <c:v>80,000</c:v>
                </c:pt>
                <c:pt idx="3">
                  <c:v>120,000</c:v>
                </c:pt>
                <c:pt idx="4">
                  <c:v>160,000</c:v>
                </c:pt>
                <c:pt idx="5">
                  <c:v>200,000</c:v>
                </c:pt>
                <c:pt idx="6">
                  <c:v>Total</c:v>
                </c:pt>
              </c:strCache>
            </c:strRef>
          </c:cat>
          <c:val>
            <c:numRef>
              <c:f>Results!$D$36:$D$42</c:f>
              <c:numCache>
                <c:formatCode>#,##0</c:formatCode>
                <c:ptCount val="7"/>
                <c:pt idx="0">
                  <c:v>100428.51718689549</c:v>
                </c:pt>
                <c:pt idx="1">
                  <c:v>182216.67309613494</c:v>
                </c:pt>
                <c:pt idx="2">
                  <c:v>264004.8290053744</c:v>
                </c:pt>
                <c:pt idx="3">
                  <c:v>345792.98491461383</c:v>
                </c:pt>
                <c:pt idx="4">
                  <c:v>427581.14082385326</c:v>
                </c:pt>
                <c:pt idx="5">
                  <c:v>509369.29673309269</c:v>
                </c:pt>
                <c:pt idx="6">
                  <c:v>489127.87785471592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5C1-4E39-9F62-374627445130}"/>
            </c:ext>
          </c:extLst>
        </c:ser>
        <c:ser>
          <c:idx val="1"/>
          <c:order val="1"/>
          <c:tx>
            <c:strRef>
              <c:f>Results!$E$7</c:f>
              <c:strCache>
                <c:ptCount val="1"/>
                <c:pt idx="0">
                  <c:v>Contender 1</c:v>
                </c:pt>
              </c:strCache>
            </c:strRef>
          </c:tx>
          <c:spPr>
            <a:ln>
              <a:solidFill>
                <a:srgbClr val="F4C000"/>
              </a:solidFill>
            </a:ln>
          </c:spPr>
          <c:marker>
            <c:symbol val="none"/>
          </c:marker>
          <c:cat>
            <c:strRef>
              <c:f>Results!$C$36:$C$42</c:f>
              <c:strCache>
                <c:ptCount val="7"/>
                <c:pt idx="0">
                  <c:v>Production</c:v>
                </c:pt>
                <c:pt idx="1">
                  <c:v>40,000</c:v>
                </c:pt>
                <c:pt idx="2">
                  <c:v>80,000</c:v>
                </c:pt>
                <c:pt idx="3">
                  <c:v>120,000</c:v>
                </c:pt>
                <c:pt idx="4">
                  <c:v>160,000</c:v>
                </c:pt>
                <c:pt idx="5">
                  <c:v>200,000</c:v>
                </c:pt>
                <c:pt idx="6">
                  <c:v>Total</c:v>
                </c:pt>
              </c:strCache>
            </c:strRef>
          </c:cat>
          <c:val>
            <c:numRef>
              <c:f>Results!$E$36:$E$42</c:f>
              <c:numCache>
                <c:formatCode>#,##0</c:formatCode>
                <c:ptCount val="7"/>
                <c:pt idx="0">
                  <c:v>93302.302215075513</c:v>
                </c:pt>
                <c:pt idx="1">
                  <c:v>170655.04108573415</c:v>
                </c:pt>
                <c:pt idx="2">
                  <c:v>248007.77995639283</c:v>
                </c:pt>
                <c:pt idx="3">
                  <c:v>325360.51882705151</c:v>
                </c:pt>
                <c:pt idx="4">
                  <c:v>402713.25769771013</c:v>
                </c:pt>
                <c:pt idx="5">
                  <c:v>480065.99656836881</c:v>
                </c:pt>
                <c:pt idx="6">
                  <c:v>462886.44633356447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5C1-4E39-9F62-374627445130}"/>
            </c:ext>
          </c:extLst>
        </c:ser>
        <c:ser>
          <c:idx val="2"/>
          <c:order val="2"/>
          <c:tx>
            <c:strRef>
              <c:f>Results!$F$7</c:f>
              <c:strCache>
                <c:ptCount val="1"/>
                <c:pt idx="0">
                  <c:v>Contender 2</c:v>
                </c:pt>
              </c:strCache>
            </c:strRef>
          </c:tx>
          <c:spPr>
            <a:ln>
              <a:solidFill>
                <a:srgbClr val="841C80"/>
              </a:solidFill>
            </a:ln>
          </c:spPr>
          <c:marker>
            <c:symbol val="none"/>
          </c:marker>
          <c:cat>
            <c:strRef>
              <c:f>Results!$C$36:$C$42</c:f>
              <c:strCache>
                <c:ptCount val="7"/>
                <c:pt idx="0">
                  <c:v>Production</c:v>
                </c:pt>
                <c:pt idx="1">
                  <c:v>40,000</c:v>
                </c:pt>
                <c:pt idx="2">
                  <c:v>80,000</c:v>
                </c:pt>
                <c:pt idx="3">
                  <c:v>120,000</c:v>
                </c:pt>
                <c:pt idx="4">
                  <c:v>160,000</c:v>
                </c:pt>
                <c:pt idx="5">
                  <c:v>200,000</c:v>
                </c:pt>
                <c:pt idx="6">
                  <c:v>Total</c:v>
                </c:pt>
              </c:strCache>
            </c:strRef>
          </c:cat>
          <c:val>
            <c:numRef>
              <c:f>Results!$F$36:$F$42</c:f>
              <c:numCache>
                <c:formatCode>#,##0</c:formatCode>
                <c:ptCount val="7"/>
                <c:pt idx="0">
                  <c:v>139144.34283173262</c:v>
                </c:pt>
                <c:pt idx="1">
                  <c:v>215077.74825004544</c:v>
                </c:pt>
                <c:pt idx="2">
                  <c:v>291011.15366835822</c:v>
                </c:pt>
                <c:pt idx="3">
                  <c:v>366944.5590866711</c:v>
                </c:pt>
                <c:pt idx="4">
                  <c:v>442877.96450498386</c:v>
                </c:pt>
                <c:pt idx="5">
                  <c:v>518811.36992329673</c:v>
                </c:pt>
                <c:pt idx="6">
                  <c:v>474092.53723850526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5C1-4E39-9F62-37462744513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95702864"/>
        <c:axId val="295703256"/>
      </c:lineChart>
      <c:catAx>
        <c:axId val="29570286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0"/>
          <a:lstStyle/>
          <a:p>
            <a:pPr>
              <a:defRPr>
                <a:latin typeface="Arial" pitchFamily="34" charset="0"/>
                <a:cs typeface="Arial" pitchFamily="34" charset="0"/>
              </a:defRPr>
            </a:pPr>
            <a:endParaRPr lang="en-US"/>
          </a:p>
        </c:txPr>
        <c:crossAx val="295703256"/>
        <c:crosses val="autoZero"/>
        <c:auto val="1"/>
        <c:lblAlgn val="ctr"/>
        <c:lblOffset val="100"/>
        <c:tickMarkSkip val="1"/>
        <c:noMultiLvlLbl val="0"/>
      </c:catAx>
      <c:valAx>
        <c:axId val="295703256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#,##0" sourceLinked="1"/>
        <c:majorTickMark val="out"/>
        <c:minorTickMark val="none"/>
        <c:tickLblPos val="nextTo"/>
        <c:txPr>
          <a:bodyPr/>
          <a:lstStyle/>
          <a:p>
            <a:pPr>
              <a:defRPr baseline="0">
                <a:latin typeface="Arial" pitchFamily="34" charset="0"/>
              </a:defRPr>
            </a:pPr>
            <a:endParaRPr lang="en-US"/>
          </a:p>
        </c:txPr>
        <c:crossAx val="295702864"/>
        <c:crosses val="autoZero"/>
        <c:crossBetween val="midCat"/>
      </c:valAx>
    </c:plotArea>
    <c:legend>
      <c:legendPos val="r"/>
      <c:overlay val="0"/>
      <c:txPr>
        <a:bodyPr/>
        <a:lstStyle/>
        <a:p>
          <a:pPr>
            <a:defRPr>
              <a:latin typeface="Arial" pitchFamily="34" charset="0"/>
              <a:cs typeface="Arial" pitchFamily="34" charset="0"/>
            </a:defRPr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991030648727971"/>
          <c:y val="4.3264490042663736E-2"/>
          <c:w val="0.61199268398536799"/>
          <c:h val="0.86347405493258611"/>
        </c:manualLayout>
      </c:layout>
      <c:lineChart>
        <c:grouping val="standard"/>
        <c:varyColors val="0"/>
        <c:ser>
          <c:idx val="0"/>
          <c:order val="0"/>
          <c:tx>
            <c:strRef>
              <c:f>Results!$D$7</c:f>
              <c:strCache>
                <c:ptCount val="1"/>
                <c:pt idx="0">
                  <c:v>Baseline</c:v>
                </c:pt>
              </c:strCache>
            </c:strRef>
          </c:tx>
          <c:spPr>
            <a:ln>
              <a:solidFill>
                <a:srgbClr val="00AAE7"/>
              </a:solidFill>
            </a:ln>
          </c:spPr>
          <c:marker>
            <c:symbol val="none"/>
          </c:marker>
          <c:cat>
            <c:strRef>
              <c:f>Results!$C$64:$C$70</c:f>
              <c:strCache>
                <c:ptCount val="7"/>
                <c:pt idx="0">
                  <c:v>Production</c:v>
                </c:pt>
                <c:pt idx="1">
                  <c:v>40,000</c:v>
                </c:pt>
                <c:pt idx="2">
                  <c:v>80,000</c:v>
                </c:pt>
                <c:pt idx="3">
                  <c:v>120,000</c:v>
                </c:pt>
                <c:pt idx="4">
                  <c:v>160,000</c:v>
                </c:pt>
                <c:pt idx="5">
                  <c:v>200,000</c:v>
                </c:pt>
                <c:pt idx="6">
                  <c:v>Total</c:v>
                </c:pt>
              </c:strCache>
            </c:strRef>
          </c:cat>
          <c:val>
            <c:numRef>
              <c:f>Results!$D$64:$D$70</c:f>
              <c:numCache>
                <c:formatCode>#,##0</c:formatCode>
                <c:ptCount val="7"/>
                <c:pt idx="0">
                  <c:v>94588.690876675333</c:v>
                </c:pt>
                <c:pt idx="1">
                  <c:v>172354.47846250955</c:v>
                </c:pt>
                <c:pt idx="2">
                  <c:v>250120.26604834376</c:v>
                </c:pt>
                <c:pt idx="3">
                  <c:v>327886.05363417801</c:v>
                </c:pt>
                <c:pt idx="4">
                  <c:v>405651.84122001217</c:v>
                </c:pt>
                <c:pt idx="5">
                  <c:v>483417.62880584644</c:v>
                </c:pt>
                <c:pt idx="6">
                  <c:v>464083.29943752591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7EC-4ACB-877A-55162A45FC6C}"/>
            </c:ext>
          </c:extLst>
        </c:ser>
        <c:ser>
          <c:idx val="1"/>
          <c:order val="1"/>
          <c:tx>
            <c:strRef>
              <c:f>Results!$E$7</c:f>
              <c:strCache>
                <c:ptCount val="1"/>
                <c:pt idx="0">
                  <c:v>Contender 1</c:v>
                </c:pt>
              </c:strCache>
            </c:strRef>
          </c:tx>
          <c:spPr>
            <a:ln>
              <a:solidFill>
                <a:srgbClr val="F4C000"/>
              </a:solidFill>
            </a:ln>
          </c:spPr>
          <c:marker>
            <c:symbol val="none"/>
          </c:marker>
          <c:cat>
            <c:strRef>
              <c:f>Results!$C$64:$C$70</c:f>
              <c:strCache>
                <c:ptCount val="7"/>
                <c:pt idx="0">
                  <c:v>Production</c:v>
                </c:pt>
                <c:pt idx="1">
                  <c:v>40,000</c:v>
                </c:pt>
                <c:pt idx="2">
                  <c:v>80,000</c:v>
                </c:pt>
                <c:pt idx="3">
                  <c:v>120,000</c:v>
                </c:pt>
                <c:pt idx="4">
                  <c:v>160,000</c:v>
                </c:pt>
                <c:pt idx="5">
                  <c:v>200,000</c:v>
                </c:pt>
                <c:pt idx="6">
                  <c:v>Total</c:v>
                </c:pt>
              </c:strCache>
            </c:strRef>
          </c:cat>
          <c:val>
            <c:numRef>
              <c:f>Results!$E$64:$E$70</c:f>
              <c:numCache>
                <c:formatCode>#,##0</c:formatCode>
                <c:ptCount val="7"/>
                <c:pt idx="0">
                  <c:v>88098.794930798904</c:v>
                </c:pt>
                <c:pt idx="1">
                  <c:v>161647.30074224481</c:v>
                </c:pt>
                <c:pt idx="2">
                  <c:v>235195.80655369075</c:v>
                </c:pt>
                <c:pt idx="3">
                  <c:v>308744.31236513669</c:v>
                </c:pt>
                <c:pt idx="4">
                  <c:v>382292.81817658257</c:v>
                </c:pt>
                <c:pt idx="5">
                  <c:v>455841.32398802857</c:v>
                </c:pt>
                <c:pt idx="6">
                  <c:v>439399.04724711488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7EC-4ACB-877A-55162A45FC6C}"/>
            </c:ext>
          </c:extLst>
        </c:ser>
        <c:ser>
          <c:idx val="2"/>
          <c:order val="2"/>
          <c:tx>
            <c:strRef>
              <c:f>Results!$F$7</c:f>
              <c:strCache>
                <c:ptCount val="1"/>
                <c:pt idx="0">
                  <c:v>Contender 2</c:v>
                </c:pt>
              </c:strCache>
            </c:strRef>
          </c:tx>
          <c:spPr>
            <a:ln>
              <a:solidFill>
                <a:srgbClr val="841C80"/>
              </a:solidFill>
            </a:ln>
          </c:spPr>
          <c:marker>
            <c:symbol val="none"/>
          </c:marker>
          <c:cat>
            <c:strRef>
              <c:f>Results!$C$64:$C$70</c:f>
              <c:strCache>
                <c:ptCount val="7"/>
                <c:pt idx="0">
                  <c:v>Production</c:v>
                </c:pt>
                <c:pt idx="1">
                  <c:v>40,000</c:v>
                </c:pt>
                <c:pt idx="2">
                  <c:v>80,000</c:v>
                </c:pt>
                <c:pt idx="3">
                  <c:v>120,000</c:v>
                </c:pt>
                <c:pt idx="4">
                  <c:v>160,000</c:v>
                </c:pt>
                <c:pt idx="5">
                  <c:v>200,000</c:v>
                </c:pt>
                <c:pt idx="6">
                  <c:v>Total</c:v>
                </c:pt>
              </c:strCache>
            </c:strRef>
          </c:cat>
          <c:val>
            <c:numRef>
              <c:f>Results!$F$64:$F$70</c:f>
              <c:numCache>
                <c:formatCode>#,##0</c:formatCode>
                <c:ptCount val="7"/>
                <c:pt idx="0">
                  <c:v>126095.43935558452</c:v>
                </c:pt>
                <c:pt idx="1">
                  <c:v>198294.41499922622</c:v>
                </c:pt>
                <c:pt idx="2">
                  <c:v>270493.39064286789</c:v>
                </c:pt>
                <c:pt idx="3">
                  <c:v>342692.36628650955</c:v>
                </c:pt>
                <c:pt idx="4">
                  <c:v>414891.34193015128</c:v>
                </c:pt>
                <c:pt idx="5">
                  <c:v>487090.31757379294</c:v>
                </c:pt>
                <c:pt idx="6">
                  <c:v>448075.93455354893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7EC-4ACB-877A-55162A45FC6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95704432"/>
        <c:axId val="295704824"/>
      </c:lineChart>
      <c:catAx>
        <c:axId val="295704432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0"/>
          <a:lstStyle/>
          <a:p>
            <a:pPr>
              <a:defRPr>
                <a:latin typeface="Arial" pitchFamily="34" charset="0"/>
                <a:cs typeface="Arial" pitchFamily="34" charset="0"/>
              </a:defRPr>
            </a:pPr>
            <a:endParaRPr lang="en-US"/>
          </a:p>
        </c:txPr>
        <c:crossAx val="295704824"/>
        <c:crosses val="autoZero"/>
        <c:auto val="1"/>
        <c:lblAlgn val="ctr"/>
        <c:lblOffset val="100"/>
        <c:tickMarkSkip val="1"/>
        <c:noMultiLvlLbl val="0"/>
      </c:catAx>
      <c:valAx>
        <c:axId val="295704824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#,##0" sourceLinked="1"/>
        <c:majorTickMark val="out"/>
        <c:minorTickMark val="none"/>
        <c:tickLblPos val="nextTo"/>
        <c:txPr>
          <a:bodyPr/>
          <a:lstStyle/>
          <a:p>
            <a:pPr>
              <a:defRPr baseline="0">
                <a:latin typeface="Arial" pitchFamily="34" charset="0"/>
              </a:defRPr>
            </a:pPr>
            <a:endParaRPr lang="en-US"/>
          </a:p>
        </c:txPr>
        <c:crossAx val="295704432"/>
        <c:crosses val="autoZero"/>
        <c:crossBetween val="midCat"/>
      </c:valAx>
    </c:plotArea>
    <c:legend>
      <c:legendPos val="r"/>
      <c:overlay val="0"/>
      <c:txPr>
        <a:bodyPr/>
        <a:lstStyle/>
        <a:p>
          <a:pPr>
            <a:defRPr>
              <a:latin typeface="Arial" pitchFamily="34" charset="0"/>
              <a:cs typeface="Arial" pitchFamily="34" charset="0"/>
            </a:defRPr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3324042548682999"/>
          <c:y val="4.3264503441494566E-2"/>
          <c:w val="0.6137185405948149"/>
          <c:h val="0.8548892450390606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Results!$A$53</c:f>
              <c:strCache>
                <c:ptCount val="1"/>
                <c:pt idx="0">
                  <c:v>Baseline</c:v>
                </c:pt>
              </c:strCache>
            </c:strRef>
          </c:tx>
          <c:spPr>
            <a:solidFill>
              <a:srgbClr val="00AAE7"/>
            </a:solidFill>
          </c:spPr>
          <c:invertIfNegative val="0"/>
          <c:cat>
            <c:strRef>
              <c:f>Results!$B$24:$E$24</c:f>
              <c:strCache>
                <c:ptCount val="4"/>
                <c:pt idx="0">
                  <c:v>Production</c:v>
                </c:pt>
                <c:pt idx="1">
                  <c:v>Use</c:v>
                </c:pt>
                <c:pt idx="2">
                  <c:v>End of Life</c:v>
                </c:pt>
                <c:pt idx="3">
                  <c:v>Total</c:v>
                </c:pt>
              </c:strCache>
            </c:strRef>
          </c:cat>
          <c:val>
            <c:numRef>
              <c:f>Results!$B$53:$E$53</c:f>
              <c:numCache>
                <c:formatCode>#,##0</c:formatCode>
                <c:ptCount val="4"/>
                <c:pt idx="0">
                  <c:v>100428.51718689549</c:v>
                </c:pt>
                <c:pt idx="1">
                  <c:v>408940.77954619721</c:v>
                </c:pt>
                <c:pt idx="2">
                  <c:v>-20241.418878376753</c:v>
                </c:pt>
                <c:pt idx="3">
                  <c:v>489127.87785471592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D2F-4A17-9764-436792D9C81E}"/>
            </c:ext>
          </c:extLst>
        </c:ser>
        <c:ser>
          <c:idx val="1"/>
          <c:order val="1"/>
          <c:tx>
            <c:strRef>
              <c:f>Results!$A$54</c:f>
              <c:strCache>
                <c:ptCount val="1"/>
                <c:pt idx="0">
                  <c:v>Contender 1</c:v>
                </c:pt>
              </c:strCache>
            </c:strRef>
          </c:tx>
          <c:spPr>
            <a:solidFill>
              <a:srgbClr val="F4C000"/>
            </a:solidFill>
          </c:spPr>
          <c:invertIfNegative val="0"/>
          <c:cat>
            <c:strRef>
              <c:f>Results!$B$24:$E$24</c:f>
              <c:strCache>
                <c:ptCount val="4"/>
                <c:pt idx="0">
                  <c:v>Production</c:v>
                </c:pt>
                <c:pt idx="1">
                  <c:v>Use</c:v>
                </c:pt>
                <c:pt idx="2">
                  <c:v>End of Life</c:v>
                </c:pt>
                <c:pt idx="3">
                  <c:v>Total</c:v>
                </c:pt>
              </c:strCache>
            </c:strRef>
          </c:cat>
          <c:val>
            <c:numRef>
              <c:f>Results!$B$54:$E$54</c:f>
              <c:numCache>
                <c:formatCode>#,##0</c:formatCode>
                <c:ptCount val="4"/>
                <c:pt idx="0">
                  <c:v>93302.302215075513</c:v>
                </c:pt>
                <c:pt idx="1">
                  <c:v>386763.69435329328</c:v>
                </c:pt>
                <c:pt idx="2">
                  <c:v>-17179.550234804334</c:v>
                </c:pt>
                <c:pt idx="3">
                  <c:v>462886.44633356447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D2F-4A17-9764-436792D9C81E}"/>
            </c:ext>
          </c:extLst>
        </c:ser>
        <c:ser>
          <c:idx val="2"/>
          <c:order val="2"/>
          <c:tx>
            <c:strRef>
              <c:f>Results!$A$55</c:f>
              <c:strCache>
                <c:ptCount val="1"/>
                <c:pt idx="0">
                  <c:v>Contender 2</c:v>
                </c:pt>
              </c:strCache>
            </c:strRef>
          </c:tx>
          <c:spPr>
            <a:solidFill>
              <a:srgbClr val="841C80"/>
            </a:solidFill>
          </c:spPr>
          <c:invertIfNegative val="0"/>
          <c:cat>
            <c:strRef>
              <c:f>Results!$B$24:$E$24</c:f>
              <c:strCache>
                <c:ptCount val="4"/>
                <c:pt idx="0">
                  <c:v>Production</c:v>
                </c:pt>
                <c:pt idx="1">
                  <c:v>Use</c:v>
                </c:pt>
                <c:pt idx="2">
                  <c:v>End of Life</c:v>
                </c:pt>
                <c:pt idx="3">
                  <c:v>Total</c:v>
                </c:pt>
              </c:strCache>
            </c:strRef>
          </c:cat>
          <c:val>
            <c:numRef>
              <c:f>Results!$B$55:$E$55</c:f>
              <c:numCache>
                <c:formatCode>#,##0</c:formatCode>
                <c:ptCount val="4"/>
                <c:pt idx="0">
                  <c:v>139144.34283173262</c:v>
                </c:pt>
                <c:pt idx="1">
                  <c:v>379667.02709156409</c:v>
                </c:pt>
                <c:pt idx="2">
                  <c:v>-44718.832684791494</c:v>
                </c:pt>
                <c:pt idx="3">
                  <c:v>474092.53723850526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D2F-4A17-9764-436792D9C81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95705608"/>
        <c:axId val="296242832"/>
      </c:barChart>
      <c:catAx>
        <c:axId val="29570560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>
                <a:latin typeface="Arial" pitchFamily="34" charset="0"/>
                <a:cs typeface="Arial" pitchFamily="34" charset="0"/>
              </a:defRPr>
            </a:pPr>
            <a:endParaRPr lang="en-US"/>
          </a:p>
        </c:txPr>
        <c:crossAx val="296242832"/>
        <c:crossesAt val="0"/>
        <c:auto val="1"/>
        <c:lblAlgn val="ctr"/>
        <c:lblOffset val="1000"/>
        <c:noMultiLvlLbl val="0"/>
      </c:catAx>
      <c:valAx>
        <c:axId val="296242832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#,##0" sourceLinked="1"/>
        <c:majorTickMark val="out"/>
        <c:minorTickMark val="none"/>
        <c:tickLblPos val="nextTo"/>
        <c:txPr>
          <a:bodyPr/>
          <a:lstStyle/>
          <a:p>
            <a:pPr>
              <a:defRPr>
                <a:latin typeface="Arial" pitchFamily="34" charset="0"/>
                <a:cs typeface="Arial" pitchFamily="34" charset="0"/>
              </a:defRPr>
            </a:pPr>
            <a:endParaRPr lang="en-US"/>
          </a:p>
        </c:txPr>
        <c:crossAx val="295705608"/>
        <c:crosses val="autoZero"/>
        <c:crossBetween val="between"/>
      </c:valAx>
    </c:plotArea>
    <c:legend>
      <c:legendPos val="r"/>
      <c:overlay val="0"/>
      <c:txPr>
        <a:bodyPr/>
        <a:lstStyle/>
        <a:p>
          <a:pPr>
            <a:defRPr>
              <a:latin typeface="Arial" pitchFamily="34" charset="0"/>
              <a:cs typeface="Arial" pitchFamily="34" charset="0"/>
            </a:defRPr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4326991614894841"/>
          <c:y val="3.5398230088495596E-2"/>
          <c:w val="0.6137185405948149"/>
          <c:h val="0.8548892450390606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Results!$A$81</c:f>
              <c:strCache>
                <c:ptCount val="1"/>
                <c:pt idx="0">
                  <c:v>Baseline</c:v>
                </c:pt>
              </c:strCache>
            </c:strRef>
          </c:tx>
          <c:spPr>
            <a:solidFill>
              <a:srgbClr val="00AAE7"/>
            </a:solidFill>
          </c:spPr>
          <c:invertIfNegative val="0"/>
          <c:cat>
            <c:strRef>
              <c:f>Results!$B$24:$E$24</c:f>
              <c:strCache>
                <c:ptCount val="4"/>
                <c:pt idx="0">
                  <c:v>Production</c:v>
                </c:pt>
                <c:pt idx="1">
                  <c:v>Use</c:v>
                </c:pt>
                <c:pt idx="2">
                  <c:v>End of Life</c:v>
                </c:pt>
                <c:pt idx="3">
                  <c:v>Total</c:v>
                </c:pt>
              </c:strCache>
            </c:strRef>
          </c:cat>
          <c:val>
            <c:numRef>
              <c:f>Results!$B$81:$E$81</c:f>
              <c:numCache>
                <c:formatCode>#,##0</c:formatCode>
                <c:ptCount val="4"/>
                <c:pt idx="0">
                  <c:v>94588.690876675333</c:v>
                </c:pt>
                <c:pt idx="1">
                  <c:v>388828.93792917108</c:v>
                </c:pt>
                <c:pt idx="2">
                  <c:v>-19334.329368320537</c:v>
                </c:pt>
                <c:pt idx="3">
                  <c:v>464083.29943752591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4E2-420E-B1C0-5774331E2595}"/>
            </c:ext>
          </c:extLst>
        </c:ser>
        <c:ser>
          <c:idx val="1"/>
          <c:order val="1"/>
          <c:tx>
            <c:strRef>
              <c:f>Results!$A$82</c:f>
              <c:strCache>
                <c:ptCount val="1"/>
                <c:pt idx="0">
                  <c:v>Contender 1</c:v>
                </c:pt>
              </c:strCache>
            </c:strRef>
          </c:tx>
          <c:spPr>
            <a:solidFill>
              <a:srgbClr val="F4C000"/>
            </a:solidFill>
          </c:spPr>
          <c:invertIfNegative val="0"/>
          <c:cat>
            <c:strRef>
              <c:f>Results!$B$24:$E$24</c:f>
              <c:strCache>
                <c:ptCount val="4"/>
                <c:pt idx="0">
                  <c:v>Production</c:v>
                </c:pt>
                <c:pt idx="1">
                  <c:v>Use</c:v>
                </c:pt>
                <c:pt idx="2">
                  <c:v>End of Life</c:v>
                </c:pt>
                <c:pt idx="3">
                  <c:v>Total</c:v>
                </c:pt>
              </c:strCache>
            </c:strRef>
          </c:cat>
          <c:val>
            <c:numRef>
              <c:f>Results!$B$82:$E$82</c:f>
              <c:numCache>
                <c:formatCode>#,##0</c:formatCode>
                <c:ptCount val="4"/>
                <c:pt idx="0">
                  <c:v>88098.794930798904</c:v>
                </c:pt>
                <c:pt idx="1">
                  <c:v>367742.52905722964</c:v>
                </c:pt>
                <c:pt idx="2">
                  <c:v>-16442.276740913676</c:v>
                </c:pt>
                <c:pt idx="3">
                  <c:v>439399.04724711488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4E2-420E-B1C0-5774331E2595}"/>
            </c:ext>
          </c:extLst>
        </c:ser>
        <c:ser>
          <c:idx val="2"/>
          <c:order val="2"/>
          <c:tx>
            <c:strRef>
              <c:f>Results!$A$83</c:f>
              <c:strCache>
                <c:ptCount val="1"/>
                <c:pt idx="0">
                  <c:v>Contender 2</c:v>
                </c:pt>
              </c:strCache>
            </c:strRef>
          </c:tx>
          <c:spPr>
            <a:solidFill>
              <a:srgbClr val="841C80"/>
            </a:solidFill>
          </c:spPr>
          <c:invertIfNegative val="0"/>
          <c:cat>
            <c:strRef>
              <c:f>Results!$B$24:$E$24</c:f>
              <c:strCache>
                <c:ptCount val="4"/>
                <c:pt idx="0">
                  <c:v>Production</c:v>
                </c:pt>
                <c:pt idx="1">
                  <c:v>Use</c:v>
                </c:pt>
                <c:pt idx="2">
                  <c:v>End of Life</c:v>
                </c:pt>
                <c:pt idx="3">
                  <c:v>Total</c:v>
                </c:pt>
              </c:strCache>
            </c:strRef>
          </c:cat>
          <c:val>
            <c:numRef>
              <c:f>Results!$B$83:$E$83</c:f>
              <c:numCache>
                <c:formatCode>#,##0</c:formatCode>
                <c:ptCount val="4"/>
                <c:pt idx="0">
                  <c:v>126095.43935558452</c:v>
                </c:pt>
                <c:pt idx="1">
                  <c:v>360994.87821820844</c:v>
                </c:pt>
                <c:pt idx="2">
                  <c:v>-39014.383020244</c:v>
                </c:pt>
                <c:pt idx="3">
                  <c:v>448075.93455354893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4E2-420E-B1C0-5774331E259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95702472"/>
        <c:axId val="295702080"/>
      </c:barChart>
      <c:catAx>
        <c:axId val="295702472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>
                <a:latin typeface="Arial" pitchFamily="34" charset="0"/>
                <a:cs typeface="Arial" pitchFamily="34" charset="0"/>
              </a:defRPr>
            </a:pPr>
            <a:endParaRPr lang="en-US"/>
          </a:p>
        </c:txPr>
        <c:crossAx val="295702080"/>
        <c:crossesAt val="0"/>
        <c:auto val="1"/>
        <c:lblAlgn val="ctr"/>
        <c:lblOffset val="1000"/>
        <c:noMultiLvlLbl val="0"/>
      </c:catAx>
      <c:valAx>
        <c:axId val="295702080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#,##0" sourceLinked="1"/>
        <c:majorTickMark val="out"/>
        <c:minorTickMark val="none"/>
        <c:tickLblPos val="nextTo"/>
        <c:txPr>
          <a:bodyPr/>
          <a:lstStyle/>
          <a:p>
            <a:pPr>
              <a:defRPr>
                <a:latin typeface="Arial" pitchFamily="34" charset="0"/>
                <a:cs typeface="Arial" pitchFamily="34" charset="0"/>
              </a:defRPr>
            </a:pPr>
            <a:endParaRPr lang="en-US"/>
          </a:p>
        </c:txPr>
        <c:crossAx val="295702472"/>
        <c:crosses val="autoZero"/>
        <c:crossBetween val="between"/>
      </c:valAx>
    </c:plotArea>
    <c:legend>
      <c:legendPos val="r"/>
      <c:overlay val="0"/>
      <c:txPr>
        <a:bodyPr/>
        <a:lstStyle/>
        <a:p>
          <a:pPr>
            <a:defRPr>
              <a:latin typeface="Arial" pitchFamily="34" charset="0"/>
              <a:cs typeface="Arial" pitchFamily="34" charset="0"/>
            </a:defRPr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588188400792005"/>
          <c:y val="3.6519479182749212E-2"/>
          <c:w val="0.85457891899165617"/>
          <c:h val="0.8548892450390606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'Saved Scenarios'!$A$18</c:f>
              <c:strCache>
                <c:ptCount val="1"/>
                <c:pt idx="0">
                  <c:v>Baseline</c:v>
                </c:pt>
              </c:strCache>
            </c:strRef>
          </c:tx>
          <c:spPr>
            <a:solidFill>
              <a:srgbClr val="00AAE7"/>
            </a:solidFill>
          </c:spPr>
          <c:invertIfNegative val="0"/>
          <c:cat>
            <c:strRef>
              <c:f>'Saved Scenarios'!$B$17:$E$17</c:f>
              <c:strCache>
                <c:ptCount val="4"/>
                <c:pt idx="0">
                  <c:v>Production</c:v>
                </c:pt>
                <c:pt idx="1">
                  <c:v>Use</c:v>
                </c:pt>
                <c:pt idx="2">
                  <c:v>End of Life</c:v>
                </c:pt>
                <c:pt idx="3">
                  <c:v>Total</c:v>
                </c:pt>
              </c:strCache>
            </c:strRef>
          </c:cat>
          <c:val>
            <c:numRef>
              <c:f>'Saved Scenarios'!$B$18:$E$18</c:f>
              <c:numCache>
                <c:formatCode>#,##0</c:formatCode>
                <c:ptCount val="4"/>
                <c:pt idx="0">
                  <c:v>7684.0041159502016</c:v>
                </c:pt>
                <c:pt idx="1">
                  <c:v>11738.402297237033</c:v>
                </c:pt>
                <c:pt idx="2">
                  <c:v>-2306.1156440702507</c:v>
                </c:pt>
                <c:pt idx="3">
                  <c:v>17116.290769116986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C27-4BEF-9BC4-38CEB8125420}"/>
            </c:ext>
          </c:extLst>
        </c:ser>
        <c:ser>
          <c:idx val="1"/>
          <c:order val="1"/>
          <c:tx>
            <c:strRef>
              <c:f>'Saved Scenarios'!$A$19</c:f>
              <c:strCache>
                <c:ptCount val="1"/>
                <c:pt idx="0">
                  <c:v>Contender 1</c:v>
                </c:pt>
              </c:strCache>
            </c:strRef>
          </c:tx>
          <c:spPr>
            <a:solidFill>
              <a:srgbClr val="F4C000"/>
            </a:solidFill>
          </c:spPr>
          <c:invertIfNegative val="0"/>
          <c:cat>
            <c:strRef>
              <c:f>'Saved Scenarios'!$B$17:$E$17</c:f>
              <c:strCache>
                <c:ptCount val="4"/>
                <c:pt idx="0">
                  <c:v>Production</c:v>
                </c:pt>
                <c:pt idx="1">
                  <c:v>Use</c:v>
                </c:pt>
                <c:pt idx="2">
                  <c:v>End of Life</c:v>
                </c:pt>
                <c:pt idx="3">
                  <c:v>Total</c:v>
                </c:pt>
              </c:strCache>
            </c:strRef>
          </c:cat>
          <c:val>
            <c:numRef>
              <c:f>'Saved Scenarios'!$B$19:$E$19</c:f>
              <c:numCache>
                <c:formatCode>#,##0</c:formatCode>
                <c:ptCount val="4"/>
                <c:pt idx="0">
                  <c:v>7127.947366789137</c:v>
                </c:pt>
                <c:pt idx="1">
                  <c:v>11082.342185718366</c:v>
                </c:pt>
                <c:pt idx="2">
                  <c:v>-2039.632739699784</c:v>
                </c:pt>
                <c:pt idx="3">
                  <c:v>16170.65681280772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C27-4BEF-9BC4-38CEB8125420}"/>
            </c:ext>
          </c:extLst>
        </c:ser>
        <c:ser>
          <c:idx val="2"/>
          <c:order val="2"/>
          <c:tx>
            <c:strRef>
              <c:f>'Saved Scenarios'!$A$20</c:f>
              <c:strCache>
                <c:ptCount val="1"/>
                <c:pt idx="0">
                  <c:v>Contender 2</c:v>
                </c:pt>
              </c:strCache>
            </c:strRef>
          </c:tx>
          <c:spPr>
            <a:solidFill>
              <a:srgbClr val="841C80"/>
            </a:solidFill>
          </c:spPr>
          <c:invertIfNegative val="0"/>
          <c:cat>
            <c:strRef>
              <c:f>'Saved Scenarios'!$B$17:$E$17</c:f>
              <c:strCache>
                <c:ptCount val="4"/>
                <c:pt idx="0">
                  <c:v>Production</c:v>
                </c:pt>
                <c:pt idx="1">
                  <c:v>Use</c:v>
                </c:pt>
                <c:pt idx="2">
                  <c:v>End of Life</c:v>
                </c:pt>
                <c:pt idx="3">
                  <c:v>Total</c:v>
                </c:pt>
              </c:strCache>
            </c:strRef>
          </c:cat>
          <c:val>
            <c:numRef>
              <c:f>'Saved Scenarios'!$B$20:$E$20</c:f>
              <c:numCache>
                <c:formatCode>#,##0</c:formatCode>
                <c:ptCount val="4"/>
                <c:pt idx="0">
                  <c:v>9645.4263258778064</c:v>
                </c:pt>
                <c:pt idx="1">
                  <c:v>10872.402950032401</c:v>
                </c:pt>
                <c:pt idx="2">
                  <c:v>-3545.6706510356244</c:v>
                </c:pt>
                <c:pt idx="3">
                  <c:v>16972.158624874584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C27-4BEF-9BC4-38CEB812542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96244008"/>
        <c:axId val="296244400"/>
      </c:barChart>
      <c:catAx>
        <c:axId val="29624400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 sz="900" baseline="0">
                <a:latin typeface="Arial" pitchFamily="34" charset="0"/>
                <a:cs typeface="Arial" pitchFamily="34" charset="0"/>
              </a:defRPr>
            </a:pPr>
            <a:endParaRPr lang="en-US"/>
          </a:p>
        </c:txPr>
        <c:crossAx val="296244400"/>
        <c:crossesAt val="0"/>
        <c:auto val="1"/>
        <c:lblAlgn val="ctr"/>
        <c:lblOffset val="750"/>
        <c:noMultiLvlLbl val="0"/>
      </c:catAx>
      <c:valAx>
        <c:axId val="296244400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#,##0" sourceLinked="1"/>
        <c:majorTickMark val="out"/>
        <c:minorTickMark val="none"/>
        <c:tickLblPos val="nextTo"/>
        <c:txPr>
          <a:bodyPr/>
          <a:lstStyle/>
          <a:p>
            <a:pPr>
              <a:defRPr>
                <a:latin typeface="Arial" pitchFamily="34" charset="0"/>
                <a:cs typeface="Arial" pitchFamily="34" charset="0"/>
              </a:defRPr>
            </a:pPr>
            <a:endParaRPr lang="en-US"/>
          </a:p>
        </c:txPr>
        <c:crossAx val="29624400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3324042548682999"/>
          <c:y val="4.3264503441494566E-2"/>
          <c:w val="0.80991479668645039"/>
          <c:h val="0.85488924503906061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00AAE7"/>
            </a:solidFill>
          </c:spPr>
          <c:invertIfNegative val="0"/>
          <c:cat>
            <c:strRef>
              <c:f>'Saved Scenarios'!$H$17:$K$17</c:f>
              <c:strCache>
                <c:ptCount val="4"/>
                <c:pt idx="0">
                  <c:v>Production</c:v>
                </c:pt>
                <c:pt idx="1">
                  <c:v>Use</c:v>
                </c:pt>
                <c:pt idx="2">
                  <c:v>End of Life</c:v>
                </c:pt>
                <c:pt idx="3">
                  <c:v>Total</c:v>
                </c:pt>
              </c:strCache>
            </c:strRef>
          </c:cat>
          <c:val>
            <c:numRef>
              <c:f>'Saved Scenarios'!$H$18:$K$18</c:f>
              <c:numCache>
                <c:formatCode>#,##0</c:formatCode>
                <c:ptCount val="4"/>
                <c:pt idx="0">
                  <c:v>7684.0041159502016</c:v>
                </c:pt>
                <c:pt idx="1">
                  <c:v>17827.487062374399</c:v>
                </c:pt>
                <c:pt idx="2">
                  <c:v>-2306.1156440702507</c:v>
                </c:pt>
                <c:pt idx="3">
                  <c:v>23205.375534254348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923-434A-8FB6-464A3BA90E96}"/>
            </c:ext>
          </c:extLst>
        </c:ser>
        <c:ser>
          <c:idx val="1"/>
          <c:order val="1"/>
          <c:spPr>
            <a:solidFill>
              <a:srgbClr val="F4C000"/>
            </a:solidFill>
          </c:spPr>
          <c:invertIfNegative val="0"/>
          <c:cat>
            <c:strRef>
              <c:f>'Saved Scenarios'!$H$17:$K$17</c:f>
              <c:strCache>
                <c:ptCount val="4"/>
                <c:pt idx="0">
                  <c:v>Production</c:v>
                </c:pt>
                <c:pt idx="1">
                  <c:v>Use</c:v>
                </c:pt>
                <c:pt idx="2">
                  <c:v>End of Life</c:v>
                </c:pt>
                <c:pt idx="3">
                  <c:v>Total</c:v>
                </c:pt>
              </c:strCache>
            </c:strRef>
          </c:cat>
          <c:val>
            <c:numRef>
              <c:f>'Saved Scenarios'!$H$19:$K$19</c:f>
              <c:numCache>
                <c:formatCode>#,##0</c:formatCode>
                <c:ptCount val="4"/>
                <c:pt idx="0">
                  <c:v>7127.947366789137</c:v>
                </c:pt>
                <c:pt idx="1">
                  <c:v>16831.107584650083</c:v>
                </c:pt>
                <c:pt idx="2">
                  <c:v>-2039.632739699784</c:v>
                </c:pt>
                <c:pt idx="3">
                  <c:v>21919.422211739435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923-434A-8FB6-464A3BA90E96}"/>
            </c:ext>
          </c:extLst>
        </c:ser>
        <c:ser>
          <c:idx val="2"/>
          <c:order val="2"/>
          <c:spPr>
            <a:solidFill>
              <a:srgbClr val="841C80"/>
            </a:solidFill>
          </c:spPr>
          <c:invertIfNegative val="0"/>
          <c:cat>
            <c:strRef>
              <c:f>'Saved Scenarios'!$H$17:$K$17</c:f>
              <c:strCache>
                <c:ptCount val="4"/>
                <c:pt idx="0">
                  <c:v>Production</c:v>
                </c:pt>
                <c:pt idx="1">
                  <c:v>Use</c:v>
                </c:pt>
                <c:pt idx="2">
                  <c:v>End of Life</c:v>
                </c:pt>
                <c:pt idx="3">
                  <c:v>Total</c:v>
                </c:pt>
              </c:strCache>
            </c:strRef>
          </c:cat>
          <c:val>
            <c:numRef>
              <c:f>'Saved Scenarios'!$H$20:$K$20</c:f>
              <c:numCache>
                <c:formatCode>#,##0</c:formatCode>
                <c:ptCount val="4"/>
                <c:pt idx="0">
                  <c:v>9645.4263258778064</c:v>
                </c:pt>
                <c:pt idx="1">
                  <c:v>16512.266151778309</c:v>
                </c:pt>
                <c:pt idx="2">
                  <c:v>-3545.6706510356244</c:v>
                </c:pt>
                <c:pt idx="3">
                  <c:v>22612.02182662049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923-434A-8FB6-464A3BA90E9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96245184"/>
        <c:axId val="296245576"/>
      </c:barChart>
      <c:catAx>
        <c:axId val="29624518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 sz="900" baseline="0">
                <a:latin typeface="Arial" pitchFamily="34" charset="0"/>
                <a:cs typeface="Arial" pitchFamily="34" charset="0"/>
              </a:defRPr>
            </a:pPr>
            <a:endParaRPr lang="en-US"/>
          </a:p>
        </c:txPr>
        <c:crossAx val="296245576"/>
        <c:crossesAt val="0"/>
        <c:auto val="1"/>
        <c:lblAlgn val="ctr"/>
        <c:lblOffset val="750"/>
        <c:noMultiLvlLbl val="0"/>
      </c:catAx>
      <c:valAx>
        <c:axId val="296245576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#,##0" sourceLinked="1"/>
        <c:majorTickMark val="out"/>
        <c:minorTickMark val="none"/>
        <c:tickLblPos val="nextTo"/>
        <c:txPr>
          <a:bodyPr/>
          <a:lstStyle/>
          <a:p>
            <a:pPr>
              <a:defRPr>
                <a:latin typeface="Arial" pitchFamily="34" charset="0"/>
                <a:cs typeface="Arial" pitchFamily="34" charset="0"/>
              </a:defRPr>
            </a:pPr>
            <a:endParaRPr lang="en-US"/>
          </a:p>
        </c:txPr>
        <c:crossAx val="29624518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3324042548682999"/>
          <c:y val="4.3264503441494566E-2"/>
          <c:w val="0.80991479668645039"/>
          <c:h val="0.85488924503906061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00AAE7"/>
            </a:solidFill>
          </c:spPr>
          <c:invertIfNegative val="0"/>
          <c:cat>
            <c:strRef>
              <c:f>'Saved Scenarios'!$N$17:$Q$17</c:f>
              <c:strCache>
                <c:ptCount val="4"/>
                <c:pt idx="0">
                  <c:v>Production</c:v>
                </c:pt>
                <c:pt idx="1">
                  <c:v>Use</c:v>
                </c:pt>
                <c:pt idx="2">
                  <c:v>End of Life</c:v>
                </c:pt>
                <c:pt idx="3">
                  <c:v>Total</c:v>
                </c:pt>
              </c:strCache>
            </c:strRef>
          </c:cat>
          <c:val>
            <c:numRef>
              <c:f>'Saved Scenarios'!$N$18:$Q$18</c:f>
              <c:numCache>
                <c:formatCode>#,##0</c:formatCode>
                <c:ptCount val="4"/>
                <c:pt idx="0">
                  <c:v>6775.8921832148262</c:v>
                </c:pt>
                <c:pt idx="1">
                  <c:v>33205.767088749133</c:v>
                </c:pt>
                <c:pt idx="2">
                  <c:v>-1614.1539216615106</c:v>
                </c:pt>
                <c:pt idx="3">
                  <c:v>38367.505350302446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3E6-4C40-BAF8-C8B81430F909}"/>
            </c:ext>
          </c:extLst>
        </c:ser>
        <c:ser>
          <c:idx val="1"/>
          <c:order val="1"/>
          <c:spPr>
            <a:solidFill>
              <a:srgbClr val="F4C000"/>
            </a:solidFill>
          </c:spPr>
          <c:invertIfNegative val="0"/>
          <c:cat>
            <c:strRef>
              <c:f>'Saved Scenarios'!$N$17:$Q$17</c:f>
              <c:strCache>
                <c:ptCount val="4"/>
                <c:pt idx="0">
                  <c:v>Production</c:v>
                </c:pt>
                <c:pt idx="1">
                  <c:v>Use</c:v>
                </c:pt>
                <c:pt idx="2">
                  <c:v>End of Life</c:v>
                </c:pt>
                <c:pt idx="3">
                  <c:v>Total</c:v>
                </c:pt>
              </c:strCache>
            </c:strRef>
          </c:cat>
          <c:val>
            <c:numRef>
              <c:f>'Saved Scenarios'!$N$19:$Q$19</c:f>
              <c:numCache>
                <c:formatCode>#,##0</c:formatCode>
                <c:ptCount val="4"/>
                <c:pt idx="0">
                  <c:v>6275.8358953226216</c:v>
                </c:pt>
                <c:pt idx="1">
                  <c:v>31709.026462979931</c:v>
                </c:pt>
                <c:pt idx="2">
                  <c:v>-1377.8746348566124</c:v>
                </c:pt>
                <c:pt idx="3">
                  <c:v>36606.987723445942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3E6-4C40-BAF8-C8B81430F909}"/>
            </c:ext>
          </c:extLst>
        </c:ser>
        <c:ser>
          <c:idx val="2"/>
          <c:order val="2"/>
          <c:spPr>
            <a:solidFill>
              <a:srgbClr val="841C80"/>
            </a:solidFill>
          </c:spPr>
          <c:invertIfNegative val="0"/>
          <c:cat>
            <c:strRef>
              <c:f>'Saved Scenarios'!$N$17:$Q$17</c:f>
              <c:strCache>
                <c:ptCount val="4"/>
                <c:pt idx="0">
                  <c:v>Production</c:v>
                </c:pt>
                <c:pt idx="1">
                  <c:v>Use</c:v>
                </c:pt>
                <c:pt idx="2">
                  <c:v>End of Life</c:v>
                </c:pt>
                <c:pt idx="3">
                  <c:v>Total</c:v>
                </c:pt>
              </c:strCache>
            </c:strRef>
          </c:cat>
          <c:val>
            <c:numRef>
              <c:f>'Saved Scenarios'!$N$20:$Q$20</c:f>
              <c:numCache>
                <c:formatCode>#,##0</c:formatCode>
                <c:ptCount val="4"/>
                <c:pt idx="0">
                  <c:v>8650.5987105725399</c:v>
                </c:pt>
                <c:pt idx="1">
                  <c:v>31230.069462733787</c:v>
                </c:pt>
                <c:pt idx="2">
                  <c:v>-2670.6198488449645</c:v>
                </c:pt>
                <c:pt idx="3">
                  <c:v>37210.048324461364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53E6-4C40-BAF8-C8B81430F90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96246360"/>
        <c:axId val="296246752"/>
      </c:barChart>
      <c:catAx>
        <c:axId val="29624636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 sz="900" baseline="0">
                <a:latin typeface="Arial" pitchFamily="34" charset="0"/>
                <a:cs typeface="Arial" pitchFamily="34" charset="0"/>
              </a:defRPr>
            </a:pPr>
            <a:endParaRPr lang="en-US"/>
          </a:p>
        </c:txPr>
        <c:crossAx val="296246752"/>
        <c:crossesAt val="0"/>
        <c:auto val="1"/>
        <c:lblAlgn val="ctr"/>
        <c:lblOffset val="750"/>
        <c:noMultiLvlLbl val="0"/>
      </c:catAx>
      <c:valAx>
        <c:axId val="296246752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#,##0" sourceLinked="1"/>
        <c:majorTickMark val="out"/>
        <c:minorTickMark val="none"/>
        <c:tickLblPos val="nextTo"/>
        <c:txPr>
          <a:bodyPr/>
          <a:lstStyle/>
          <a:p>
            <a:pPr>
              <a:defRPr baseline="0">
                <a:latin typeface="Arial" pitchFamily="34" charset="0"/>
                <a:cs typeface="Arial" pitchFamily="34" charset="0"/>
              </a:defRPr>
            </a:pPr>
            <a:endParaRPr lang="en-US"/>
          </a:p>
        </c:txPr>
        <c:crossAx val="29624636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'autoLCA Results'!$G$40</c:f>
          <c:strCache>
            <c:ptCount val="1"/>
            <c:pt idx="0">
              <c:v>ILCD/PEF Recommended, Acidification midpoint (v1.09) </c:v>
            </c:pt>
          </c:strCache>
        </c:strRef>
      </c:tx>
      <c:overlay val="0"/>
      <c:txPr>
        <a:bodyPr/>
        <a:lstStyle/>
        <a:p>
          <a:pPr>
            <a:defRPr sz="1200">
              <a:latin typeface="Arial" panose="020B0604020202020204" pitchFamily="34" charset="0"/>
              <a:cs typeface="Arial" panose="020B0604020202020204" pitchFamily="34" charset="0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1752930883639547"/>
          <c:y val="0.12954243218514963"/>
          <c:w val="0.68553762029746279"/>
          <c:h val="0.7402729019862172"/>
        </c:manualLayout>
      </c:layout>
      <c:lineChart>
        <c:grouping val="standard"/>
        <c:varyColors val="0"/>
        <c:ser>
          <c:idx val="0"/>
          <c:order val="0"/>
          <c:tx>
            <c:strRef>
              <c:f>'autoLCA Results'!$I$41</c:f>
              <c:strCache>
                <c:ptCount val="1"/>
                <c:pt idx="0">
                  <c:v>Baseline</c:v>
                </c:pt>
              </c:strCache>
            </c:strRef>
          </c:tx>
          <c:spPr>
            <a:ln>
              <a:solidFill>
                <a:srgbClr val="00AAE7"/>
              </a:solidFill>
            </a:ln>
          </c:spPr>
          <c:marker>
            <c:symbol val="none"/>
          </c:marker>
          <c:cat>
            <c:strRef>
              <c:f>'autoLCA Results'!$H$42:$H$48</c:f>
              <c:strCache>
                <c:ptCount val="7"/>
                <c:pt idx="0">
                  <c:v>Production</c:v>
                </c:pt>
                <c:pt idx="1">
                  <c:v>40,000</c:v>
                </c:pt>
                <c:pt idx="2">
                  <c:v>80,000</c:v>
                </c:pt>
                <c:pt idx="3">
                  <c:v>120,000</c:v>
                </c:pt>
                <c:pt idx="4">
                  <c:v>160,000</c:v>
                </c:pt>
                <c:pt idx="5">
                  <c:v>EOL</c:v>
                </c:pt>
                <c:pt idx="6">
                  <c:v>Total</c:v>
                </c:pt>
              </c:strCache>
            </c:strRef>
          </c:cat>
          <c:val>
            <c:numRef>
              <c:f>'autoLCA Results'!$I$42:$I$48</c:f>
              <c:numCache>
                <c:formatCode>#,##0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21E-40AC-BCD5-6FE2E61C1B90}"/>
            </c:ext>
          </c:extLst>
        </c:ser>
        <c:ser>
          <c:idx val="1"/>
          <c:order val="1"/>
          <c:tx>
            <c:strRef>
              <c:f>'autoLCA Results'!$J$41</c:f>
              <c:strCache>
                <c:ptCount val="1"/>
                <c:pt idx="0">
                  <c:v>Contender 1</c:v>
                </c:pt>
              </c:strCache>
            </c:strRef>
          </c:tx>
          <c:spPr>
            <a:ln>
              <a:solidFill>
                <a:srgbClr val="F4C000"/>
              </a:solidFill>
            </a:ln>
          </c:spPr>
          <c:marker>
            <c:symbol val="none"/>
          </c:marker>
          <c:cat>
            <c:strRef>
              <c:f>'autoLCA Results'!$H$42:$H$48</c:f>
              <c:strCache>
                <c:ptCount val="7"/>
                <c:pt idx="0">
                  <c:v>Production</c:v>
                </c:pt>
                <c:pt idx="1">
                  <c:v>40,000</c:v>
                </c:pt>
                <c:pt idx="2">
                  <c:v>80,000</c:v>
                </c:pt>
                <c:pt idx="3">
                  <c:v>120,000</c:v>
                </c:pt>
                <c:pt idx="4">
                  <c:v>160,000</c:v>
                </c:pt>
                <c:pt idx="5">
                  <c:v>EOL</c:v>
                </c:pt>
                <c:pt idx="6">
                  <c:v>Total</c:v>
                </c:pt>
              </c:strCache>
            </c:strRef>
          </c:cat>
          <c:val>
            <c:numRef>
              <c:f>'autoLCA Results'!$J$42:$J$48</c:f>
              <c:numCache>
                <c:formatCode>#,##0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21E-40AC-BCD5-6FE2E61C1B90}"/>
            </c:ext>
          </c:extLst>
        </c:ser>
        <c:ser>
          <c:idx val="2"/>
          <c:order val="2"/>
          <c:tx>
            <c:strRef>
              <c:f>'autoLCA Results'!$K$41</c:f>
              <c:strCache>
                <c:ptCount val="1"/>
                <c:pt idx="0">
                  <c:v>Contender 2</c:v>
                </c:pt>
              </c:strCache>
            </c:strRef>
          </c:tx>
          <c:spPr>
            <a:ln>
              <a:solidFill>
                <a:srgbClr val="841C80"/>
              </a:solidFill>
            </a:ln>
          </c:spPr>
          <c:marker>
            <c:symbol val="none"/>
          </c:marker>
          <c:cat>
            <c:strRef>
              <c:f>'autoLCA Results'!$H$42:$H$48</c:f>
              <c:strCache>
                <c:ptCount val="7"/>
                <c:pt idx="0">
                  <c:v>Production</c:v>
                </c:pt>
                <c:pt idx="1">
                  <c:v>40,000</c:v>
                </c:pt>
                <c:pt idx="2">
                  <c:v>80,000</c:v>
                </c:pt>
                <c:pt idx="3">
                  <c:v>120,000</c:v>
                </c:pt>
                <c:pt idx="4">
                  <c:v>160,000</c:v>
                </c:pt>
                <c:pt idx="5">
                  <c:v>EOL</c:v>
                </c:pt>
                <c:pt idx="6">
                  <c:v>Total</c:v>
                </c:pt>
              </c:strCache>
            </c:strRef>
          </c:cat>
          <c:val>
            <c:numRef>
              <c:f>'autoLCA Results'!$K$42:$K$48</c:f>
              <c:numCache>
                <c:formatCode>#,##0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321E-40AC-BCD5-6FE2E61C1B9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96248712"/>
        <c:axId val="296249104"/>
      </c:lineChart>
      <c:catAx>
        <c:axId val="29624871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800">
                    <a:latin typeface="Arial" panose="020B0604020202020204" pitchFamily="34" charset="0"/>
                    <a:cs typeface="Arial" panose="020B0604020202020204" pitchFamily="34" charset="0"/>
                  </a:defRPr>
                </a:pPr>
                <a:r>
                  <a:rPr lang="en-US" sz="800">
                    <a:latin typeface="Arial" panose="020B0604020202020204" pitchFamily="34" charset="0"/>
                    <a:cs typeface="Arial" panose="020B0604020202020204" pitchFamily="34" charset="0"/>
                  </a:rPr>
                  <a:t>Driving Distance (km)</a:t>
                </a:r>
              </a:p>
            </c:rich>
          </c:tx>
          <c:overlay val="0"/>
        </c:title>
        <c:numFmt formatCode="General" sourceLinked="0"/>
        <c:majorTickMark val="out"/>
        <c:minorTickMark val="none"/>
        <c:tickLblPos val="nextTo"/>
        <c:txPr>
          <a:bodyPr rot="0"/>
          <a:lstStyle/>
          <a:p>
            <a:pPr>
              <a:defRPr sz="800" b="0">
                <a:latin typeface="Arial" pitchFamily="34" charset="0"/>
                <a:cs typeface="Arial" pitchFamily="34" charset="0"/>
              </a:defRPr>
            </a:pPr>
            <a:endParaRPr lang="en-US"/>
          </a:p>
        </c:txPr>
        <c:crossAx val="296249104"/>
        <c:crosses val="autoZero"/>
        <c:auto val="1"/>
        <c:lblAlgn val="ctr"/>
        <c:lblOffset val="300"/>
        <c:tickMarkSkip val="1"/>
        <c:noMultiLvlLbl val="0"/>
      </c:catAx>
      <c:valAx>
        <c:axId val="296249104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title>
          <c:tx>
            <c:strRef>
              <c:f>'autoLCA Results'!$G$39</c:f>
              <c:strCache>
                <c:ptCount val="1"/>
                <c:pt idx="0">
                  <c:v>Mole of H+ eq.</c:v>
                </c:pt>
              </c:strCache>
            </c:strRef>
          </c:tx>
          <c:overlay val="0"/>
          <c:txPr>
            <a:bodyPr/>
            <a:lstStyle/>
            <a:p>
              <a:pPr>
                <a:defRPr sz="800">
                  <a:latin typeface="Arial" panose="020B0604020202020204" pitchFamily="34" charset="0"/>
                  <a:cs typeface="Arial" panose="020B0604020202020204" pitchFamily="34" charset="0"/>
                </a:defRPr>
              </a:pPr>
              <a:endParaRPr lang="en-US"/>
            </a:p>
          </c:txPr>
        </c:title>
        <c:numFmt formatCode="0.00E+00" sourceLinked="0"/>
        <c:majorTickMark val="out"/>
        <c:minorTickMark val="none"/>
        <c:tickLblPos val="nextTo"/>
        <c:txPr>
          <a:bodyPr/>
          <a:lstStyle/>
          <a:p>
            <a:pPr>
              <a:defRPr sz="800" b="0" baseline="0">
                <a:latin typeface="Arial" pitchFamily="34" charset="0"/>
              </a:defRPr>
            </a:pPr>
            <a:endParaRPr lang="en-US"/>
          </a:p>
        </c:txPr>
        <c:crossAx val="296248712"/>
        <c:crosses val="autoZero"/>
        <c:crossBetween val="midCat"/>
      </c:valAx>
    </c:plotArea>
    <c:legend>
      <c:legendPos val="r"/>
      <c:overlay val="0"/>
      <c:txPr>
        <a:bodyPr/>
        <a:lstStyle/>
        <a:p>
          <a:pPr>
            <a:defRPr sz="800">
              <a:latin typeface="Arial" pitchFamily="34" charset="0"/>
              <a:cs typeface="Arial" pitchFamily="34" charset="0"/>
            </a:defRPr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1" i="0" u="none" strike="noStrike" kern="1200" spc="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en-US" sz="1200" b="1">
                <a:solidFill>
                  <a:sysClr val="windowText" lastClr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ILCD/PEF Recommended - All Scenarios</a:t>
            </a:r>
          </a:p>
        </c:rich>
      </c:tx>
      <c:layout>
        <c:manualLayout>
          <c:xMode val="edge"/>
          <c:yMode val="edge"/>
          <c:x val="7.0282881306502965E-4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1" i="0" u="none" strike="noStrike" kern="1200" spc="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39205895936827634"/>
          <c:y val="0.14840724905396352"/>
          <c:w val="0.5777693668119811"/>
          <c:h val="0.78948109008483769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'autoLCA Results'!$B$40</c:f>
              <c:strCache>
                <c:ptCount val="1"/>
                <c:pt idx="0">
                  <c:v>Baseline</c:v>
                </c:pt>
              </c:strCache>
            </c:strRef>
          </c:tx>
          <c:spPr>
            <a:solidFill>
              <a:srgbClr val="00AAE7"/>
            </a:solidFill>
            <a:ln>
              <a:noFill/>
            </a:ln>
            <a:effectLst/>
          </c:spPr>
          <c:invertIfNegative val="0"/>
          <c:cat>
            <c:strRef>
              <c:f>'autoLCA Results'!$A$41:$A$58</c:f>
              <c:strCache>
                <c:ptCount val="18"/>
                <c:pt idx="0">
                  <c:v>Acidification midpoint (v1.09) [Mole of H+ eq.]</c:v>
                </c:pt>
                <c:pt idx="1">
                  <c:v>Climate change midpoint, excl biogenic carbon (v1.09) [kg CO2-Equiv.]</c:v>
                </c:pt>
                <c:pt idx="2">
                  <c:v>Climate change midpoint, incl biogenic carbon (v1.09) [kg CO2-Equiv.]</c:v>
                </c:pt>
                <c:pt idx="3">
                  <c:v>Ecotoxicity freshwater midpoint (v1.09) [CTUe]</c:v>
                </c:pt>
                <c:pt idx="4">
                  <c:v>Eutrophication freshwater midpoint (v1.09) [kg P eq]</c:v>
                </c:pt>
                <c:pt idx="5">
                  <c:v>Eutrophication marine midpoint (v1.09) [kg N-Equiv.]</c:v>
                </c:pt>
                <c:pt idx="6">
                  <c:v>Eutrophication terrestrial midpoint (v1.09) [Mole of N eq.]</c:v>
                </c:pt>
                <c:pt idx="7">
                  <c:v>Human toxicity midpoint, cancer effects (v1.09) [CTUh]</c:v>
                </c:pt>
                <c:pt idx="8">
                  <c:v>Human toxicity midpoint, non-cancer effects (v1.09) [CTUh]</c:v>
                </c:pt>
                <c:pt idx="9">
                  <c:v>Ionizing radiation midpoint, human health (v1.09) [kBq U235 eq]</c:v>
                </c:pt>
                <c:pt idx="10">
                  <c:v>Ozone depletion midpoint (v1.09) [kg CFC-11 eq]</c:v>
                </c:pt>
                <c:pt idx="11">
                  <c:v>Particulate matter/Respiratory inorganics midpoint (v1.09) [kg PM2,5-Equiv.]</c:v>
                </c:pt>
                <c:pt idx="12">
                  <c:v>Photochemical ozone formation midpoint, human health (v1.09) [kg NMVOC]</c:v>
                </c:pt>
                <c:pt idx="13">
                  <c:v>Resource depletion water, midpoint (v1.09) [m³ eq.]</c:v>
                </c:pt>
                <c:pt idx="14">
                  <c:v>Resource depletion, mineral, fossils and renewables, midpoint (v1.09) [kg Sb-Equiv.]</c:v>
                </c:pt>
                <c:pt idx="15">
                  <c:v>Primary energy demand from ren. and non ren. resources (net cal. value) [MJ]</c:v>
                </c:pt>
                <c:pt idx="16">
                  <c:v>Primary energy from non renewable resources (net cal. value) [MJ]</c:v>
                </c:pt>
                <c:pt idx="17">
                  <c:v>Primary energy from renewable resources (net cal. value) [MJ]</c:v>
                </c:pt>
              </c:strCache>
            </c:strRef>
          </c:cat>
          <c:val>
            <c:numRef>
              <c:f>'autoLCA Results'!$B$41:$B$58</c:f>
              <c:numCache>
                <c:formatCode>0.00E+00</c:formatCode>
                <c:ptCount val="18"/>
              </c:numCache>
            </c:numRef>
          </c:val>
          <c:extLst>
            <c:ext xmlns:c16="http://schemas.microsoft.com/office/drawing/2014/chart" uri="{C3380CC4-5D6E-409C-BE32-E72D297353CC}">
              <c16:uniqueId val="{00000000-1FD7-43D2-9804-084D10CA1B92}"/>
            </c:ext>
          </c:extLst>
        </c:ser>
        <c:ser>
          <c:idx val="1"/>
          <c:order val="1"/>
          <c:tx>
            <c:strRef>
              <c:f>'autoLCA Results'!$C$40</c:f>
              <c:strCache>
                <c:ptCount val="1"/>
                <c:pt idx="0">
                  <c:v>Contender 1</c:v>
                </c:pt>
              </c:strCache>
            </c:strRef>
          </c:tx>
          <c:spPr>
            <a:solidFill>
              <a:srgbClr val="F4C000"/>
            </a:solidFill>
            <a:ln>
              <a:noFill/>
            </a:ln>
            <a:effectLst/>
          </c:spPr>
          <c:invertIfNegative val="0"/>
          <c:cat>
            <c:strRef>
              <c:f>'autoLCA Results'!$A$41:$A$58</c:f>
              <c:strCache>
                <c:ptCount val="18"/>
                <c:pt idx="0">
                  <c:v>Acidification midpoint (v1.09) [Mole of H+ eq.]</c:v>
                </c:pt>
                <c:pt idx="1">
                  <c:v>Climate change midpoint, excl biogenic carbon (v1.09) [kg CO2-Equiv.]</c:v>
                </c:pt>
                <c:pt idx="2">
                  <c:v>Climate change midpoint, incl biogenic carbon (v1.09) [kg CO2-Equiv.]</c:v>
                </c:pt>
                <c:pt idx="3">
                  <c:v>Ecotoxicity freshwater midpoint (v1.09) [CTUe]</c:v>
                </c:pt>
                <c:pt idx="4">
                  <c:v>Eutrophication freshwater midpoint (v1.09) [kg P eq]</c:v>
                </c:pt>
                <c:pt idx="5">
                  <c:v>Eutrophication marine midpoint (v1.09) [kg N-Equiv.]</c:v>
                </c:pt>
                <c:pt idx="6">
                  <c:v>Eutrophication terrestrial midpoint (v1.09) [Mole of N eq.]</c:v>
                </c:pt>
                <c:pt idx="7">
                  <c:v>Human toxicity midpoint, cancer effects (v1.09) [CTUh]</c:v>
                </c:pt>
                <c:pt idx="8">
                  <c:v>Human toxicity midpoint, non-cancer effects (v1.09) [CTUh]</c:v>
                </c:pt>
                <c:pt idx="9">
                  <c:v>Ionizing radiation midpoint, human health (v1.09) [kBq U235 eq]</c:v>
                </c:pt>
                <c:pt idx="10">
                  <c:v>Ozone depletion midpoint (v1.09) [kg CFC-11 eq]</c:v>
                </c:pt>
                <c:pt idx="11">
                  <c:v>Particulate matter/Respiratory inorganics midpoint (v1.09) [kg PM2,5-Equiv.]</c:v>
                </c:pt>
                <c:pt idx="12">
                  <c:v>Photochemical ozone formation midpoint, human health (v1.09) [kg NMVOC]</c:v>
                </c:pt>
                <c:pt idx="13">
                  <c:v>Resource depletion water, midpoint (v1.09) [m³ eq.]</c:v>
                </c:pt>
                <c:pt idx="14">
                  <c:v>Resource depletion, mineral, fossils and renewables, midpoint (v1.09) [kg Sb-Equiv.]</c:v>
                </c:pt>
                <c:pt idx="15">
                  <c:v>Primary energy demand from ren. and non ren. resources (net cal. value) [MJ]</c:v>
                </c:pt>
                <c:pt idx="16">
                  <c:v>Primary energy from non renewable resources (net cal. value) [MJ]</c:v>
                </c:pt>
                <c:pt idx="17">
                  <c:v>Primary energy from renewable resources (net cal. value) [MJ]</c:v>
                </c:pt>
              </c:strCache>
            </c:strRef>
          </c:cat>
          <c:val>
            <c:numRef>
              <c:f>'autoLCA Results'!$C$41:$C$58</c:f>
              <c:numCache>
                <c:formatCode>0.00E+00</c:formatCode>
                <c:ptCount val="18"/>
              </c:numCache>
            </c:numRef>
          </c:val>
          <c:extLst>
            <c:ext xmlns:c16="http://schemas.microsoft.com/office/drawing/2014/chart" uri="{C3380CC4-5D6E-409C-BE32-E72D297353CC}">
              <c16:uniqueId val="{00000001-1FD7-43D2-9804-084D10CA1B92}"/>
            </c:ext>
          </c:extLst>
        </c:ser>
        <c:ser>
          <c:idx val="2"/>
          <c:order val="2"/>
          <c:tx>
            <c:strRef>
              <c:f>'autoLCA Results'!$D$40</c:f>
              <c:strCache>
                <c:ptCount val="1"/>
                <c:pt idx="0">
                  <c:v>Contender 2</c:v>
                </c:pt>
              </c:strCache>
            </c:strRef>
          </c:tx>
          <c:spPr>
            <a:solidFill>
              <a:srgbClr val="841C80"/>
            </a:solidFill>
            <a:ln>
              <a:noFill/>
            </a:ln>
            <a:effectLst/>
          </c:spPr>
          <c:invertIfNegative val="0"/>
          <c:cat>
            <c:strRef>
              <c:f>'autoLCA Results'!$A$41:$A$58</c:f>
              <c:strCache>
                <c:ptCount val="18"/>
                <c:pt idx="0">
                  <c:v>Acidification midpoint (v1.09) [Mole of H+ eq.]</c:v>
                </c:pt>
                <c:pt idx="1">
                  <c:v>Climate change midpoint, excl biogenic carbon (v1.09) [kg CO2-Equiv.]</c:v>
                </c:pt>
                <c:pt idx="2">
                  <c:v>Climate change midpoint, incl biogenic carbon (v1.09) [kg CO2-Equiv.]</c:v>
                </c:pt>
                <c:pt idx="3">
                  <c:v>Ecotoxicity freshwater midpoint (v1.09) [CTUe]</c:v>
                </c:pt>
                <c:pt idx="4">
                  <c:v>Eutrophication freshwater midpoint (v1.09) [kg P eq]</c:v>
                </c:pt>
                <c:pt idx="5">
                  <c:v>Eutrophication marine midpoint (v1.09) [kg N-Equiv.]</c:v>
                </c:pt>
                <c:pt idx="6">
                  <c:v>Eutrophication terrestrial midpoint (v1.09) [Mole of N eq.]</c:v>
                </c:pt>
                <c:pt idx="7">
                  <c:v>Human toxicity midpoint, cancer effects (v1.09) [CTUh]</c:v>
                </c:pt>
                <c:pt idx="8">
                  <c:v>Human toxicity midpoint, non-cancer effects (v1.09) [CTUh]</c:v>
                </c:pt>
                <c:pt idx="9">
                  <c:v>Ionizing radiation midpoint, human health (v1.09) [kBq U235 eq]</c:v>
                </c:pt>
                <c:pt idx="10">
                  <c:v>Ozone depletion midpoint (v1.09) [kg CFC-11 eq]</c:v>
                </c:pt>
                <c:pt idx="11">
                  <c:v>Particulate matter/Respiratory inorganics midpoint (v1.09) [kg PM2,5-Equiv.]</c:v>
                </c:pt>
                <c:pt idx="12">
                  <c:v>Photochemical ozone formation midpoint, human health (v1.09) [kg NMVOC]</c:v>
                </c:pt>
                <c:pt idx="13">
                  <c:v>Resource depletion water, midpoint (v1.09) [m³ eq.]</c:v>
                </c:pt>
                <c:pt idx="14">
                  <c:v>Resource depletion, mineral, fossils and renewables, midpoint (v1.09) [kg Sb-Equiv.]</c:v>
                </c:pt>
                <c:pt idx="15">
                  <c:v>Primary energy demand from ren. and non ren. resources (net cal. value) [MJ]</c:v>
                </c:pt>
                <c:pt idx="16">
                  <c:v>Primary energy from non renewable resources (net cal. value) [MJ]</c:v>
                </c:pt>
                <c:pt idx="17">
                  <c:v>Primary energy from renewable resources (net cal. value) [MJ]</c:v>
                </c:pt>
              </c:strCache>
            </c:strRef>
          </c:cat>
          <c:val>
            <c:numRef>
              <c:f>'autoLCA Results'!$D$41:$D$58</c:f>
              <c:numCache>
                <c:formatCode>0.00E+00</c:formatCode>
                <c:ptCount val="18"/>
              </c:numCache>
            </c:numRef>
          </c:val>
          <c:extLst>
            <c:ext xmlns:c16="http://schemas.microsoft.com/office/drawing/2014/chart" uri="{C3380CC4-5D6E-409C-BE32-E72D297353CC}">
              <c16:uniqueId val="{00000002-1FD7-43D2-9804-084D10CA1B9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296249888"/>
        <c:axId val="296250280"/>
      </c:barChart>
      <c:catAx>
        <c:axId val="296249888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rgbClr val="5C7F92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296250280"/>
        <c:crosses val="autoZero"/>
        <c:auto val="1"/>
        <c:lblAlgn val="ctr"/>
        <c:lblOffset val="100"/>
        <c:noMultiLvlLbl val="0"/>
      </c:catAx>
      <c:valAx>
        <c:axId val="296250280"/>
        <c:scaling>
          <c:logBase val="10"/>
          <c:orientation val="minMax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E+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2962498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74984087926509191"/>
          <c:y val="1.2755413810677858E-2"/>
          <c:w val="0.24958151064450276"/>
          <c:h val="6.965990763758152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en-US">
                <a:solidFill>
                  <a:sysClr val="windowText" lastClr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TRACI 2.1 - Baseline</a:t>
            </a:r>
          </a:p>
        </c:rich>
      </c:tx>
      <c:layout>
        <c:manualLayout>
          <c:xMode val="edge"/>
          <c:yMode val="edge"/>
          <c:x val="7.0282881306505372E-4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41009232669445733"/>
          <c:y val="0.13870738701014973"/>
          <c:w val="0.56675969514505875"/>
          <c:h val="0.84660689090164309"/>
        </c:manualLayout>
      </c:layout>
      <c:barChart>
        <c:barDir val="bar"/>
        <c:grouping val="percentStacked"/>
        <c:varyColors val="0"/>
        <c:ser>
          <c:idx val="0"/>
          <c:order val="0"/>
          <c:tx>
            <c:strRef>
              <c:f>'autoLCA Results'!$B$164</c:f>
              <c:strCache>
                <c:ptCount val="1"/>
                <c:pt idx="0">
                  <c:v>Vehicle Production</c:v>
                </c:pt>
              </c:strCache>
            </c:strRef>
          </c:tx>
          <c:spPr>
            <a:solidFill>
              <a:srgbClr val="00AAE7"/>
            </a:solidFill>
            <a:ln>
              <a:solidFill>
                <a:srgbClr val="00AAE7"/>
              </a:solidFill>
            </a:ln>
            <a:effectLst/>
          </c:spPr>
          <c:invertIfNegative val="0"/>
          <c:cat>
            <c:strRef>
              <c:f>'autoLCA Results'!$A$165:$A$178</c:f>
              <c:strCache>
                <c:ptCount val="14"/>
                <c:pt idx="0">
                  <c:v>TRACI 2.1, Acidification [kg SO2-Equiv.]</c:v>
                </c:pt>
                <c:pt idx="1">
                  <c:v>TRACI 2.1, Ecotoxicity (recommended) [CTUe]</c:v>
                </c:pt>
                <c:pt idx="2">
                  <c:v>TRACI 2.1, Eutrophication [kg N-Equiv.]</c:v>
                </c:pt>
                <c:pt idx="3">
                  <c:v>TRACI 2.1, Global Warming Air, excl. biogenic carbon [kg CO2-Equiv.]</c:v>
                </c:pt>
                <c:pt idx="4">
                  <c:v>TRACI 2.1, Global Warming Air, incl. biogenic carbon [kg CO2-Equiv.]</c:v>
                </c:pt>
                <c:pt idx="5">
                  <c:v>TRACI 2.1, Human Health Particulate Air [kg PM2,5-Equiv.]</c:v>
                </c:pt>
                <c:pt idx="6">
                  <c:v>TRACI 2.1, Human toxicity, cancer (recommended) [CTUh]</c:v>
                </c:pt>
                <c:pt idx="7">
                  <c:v>TRACI 2.1, Human toxicity, non-canc. (recommended) [CTUh]</c:v>
                </c:pt>
                <c:pt idx="8">
                  <c:v>TRACI 2.1, Ozone Depletion Air [kg CFC 11-Equiv.]</c:v>
                </c:pt>
                <c:pt idx="9">
                  <c:v>TRACI 2.1, Resources, Fossil fuels [MJ surplus energy]</c:v>
                </c:pt>
                <c:pt idx="10">
                  <c:v>TRACI 2.1, Smog Air [kg O3-Equiv.]</c:v>
                </c:pt>
                <c:pt idx="11">
                  <c:v>Primary energy demand from ren. and non ren. resources (net cal. value) [MJ]</c:v>
                </c:pt>
                <c:pt idx="12">
                  <c:v>Primary energy from non renewable resources (net cal. value) [MJ]</c:v>
                </c:pt>
                <c:pt idx="13">
                  <c:v>Primary energy from renewable resources (net cal. value) [MJ]</c:v>
                </c:pt>
              </c:strCache>
            </c:strRef>
          </c:cat>
          <c:val>
            <c:numRef>
              <c:f>'autoLCA Results'!$B$165:$B$178</c:f>
              <c:numCache>
                <c:formatCode>0.00E+00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0-FFC5-43BC-8574-DBF24D95C7A3}"/>
            </c:ext>
          </c:extLst>
        </c:ser>
        <c:ser>
          <c:idx val="1"/>
          <c:order val="1"/>
          <c:tx>
            <c:strRef>
              <c:f>'autoLCA Results'!$C$164</c:f>
              <c:strCache>
                <c:ptCount val="1"/>
                <c:pt idx="0">
                  <c:v>Use Phase</c:v>
                </c:pt>
              </c:strCache>
            </c:strRef>
          </c:tx>
          <c:spPr>
            <a:pattFill prst="wdUpDiag">
              <a:fgClr>
                <a:srgbClr val="00AAE7"/>
              </a:fgClr>
              <a:bgClr>
                <a:schemeClr val="bg1"/>
              </a:bgClr>
            </a:pattFill>
            <a:ln>
              <a:solidFill>
                <a:srgbClr val="00AAE7"/>
              </a:solidFill>
            </a:ln>
            <a:effectLst/>
          </c:spPr>
          <c:invertIfNegative val="0"/>
          <c:cat>
            <c:strRef>
              <c:f>'autoLCA Results'!$A$165:$A$178</c:f>
              <c:strCache>
                <c:ptCount val="14"/>
                <c:pt idx="0">
                  <c:v>TRACI 2.1, Acidification [kg SO2-Equiv.]</c:v>
                </c:pt>
                <c:pt idx="1">
                  <c:v>TRACI 2.1, Ecotoxicity (recommended) [CTUe]</c:v>
                </c:pt>
                <c:pt idx="2">
                  <c:v>TRACI 2.1, Eutrophication [kg N-Equiv.]</c:v>
                </c:pt>
                <c:pt idx="3">
                  <c:v>TRACI 2.1, Global Warming Air, excl. biogenic carbon [kg CO2-Equiv.]</c:v>
                </c:pt>
                <c:pt idx="4">
                  <c:v>TRACI 2.1, Global Warming Air, incl. biogenic carbon [kg CO2-Equiv.]</c:v>
                </c:pt>
                <c:pt idx="5">
                  <c:v>TRACI 2.1, Human Health Particulate Air [kg PM2,5-Equiv.]</c:v>
                </c:pt>
                <c:pt idx="6">
                  <c:v>TRACI 2.1, Human toxicity, cancer (recommended) [CTUh]</c:v>
                </c:pt>
                <c:pt idx="7">
                  <c:v>TRACI 2.1, Human toxicity, non-canc. (recommended) [CTUh]</c:v>
                </c:pt>
                <c:pt idx="8">
                  <c:v>TRACI 2.1, Ozone Depletion Air [kg CFC 11-Equiv.]</c:v>
                </c:pt>
                <c:pt idx="9">
                  <c:v>TRACI 2.1, Resources, Fossil fuels [MJ surplus energy]</c:v>
                </c:pt>
                <c:pt idx="10">
                  <c:v>TRACI 2.1, Smog Air [kg O3-Equiv.]</c:v>
                </c:pt>
                <c:pt idx="11">
                  <c:v>Primary energy demand from ren. and non ren. resources (net cal. value) [MJ]</c:v>
                </c:pt>
                <c:pt idx="12">
                  <c:v>Primary energy from non renewable resources (net cal. value) [MJ]</c:v>
                </c:pt>
                <c:pt idx="13">
                  <c:v>Primary energy from renewable resources (net cal. value) [MJ]</c:v>
                </c:pt>
              </c:strCache>
            </c:strRef>
          </c:cat>
          <c:val>
            <c:numRef>
              <c:f>'autoLCA Results'!$C$165:$C$178</c:f>
              <c:numCache>
                <c:formatCode>0.00E+00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1-FFC5-43BC-8574-DBF24D95C7A3}"/>
            </c:ext>
          </c:extLst>
        </c:ser>
        <c:ser>
          <c:idx val="2"/>
          <c:order val="2"/>
          <c:tx>
            <c:strRef>
              <c:f>'autoLCA Results'!$D$164</c:f>
              <c:strCache>
                <c:ptCount val="1"/>
                <c:pt idx="0">
                  <c:v>Vehicle EoL</c:v>
                </c:pt>
              </c:strCache>
            </c:strRef>
          </c:tx>
          <c:spPr>
            <a:pattFill prst="dkDnDiag">
              <a:fgClr>
                <a:srgbClr val="00AAE7"/>
              </a:fgClr>
              <a:bgClr>
                <a:schemeClr val="bg1"/>
              </a:bgClr>
            </a:pattFill>
            <a:ln>
              <a:solidFill>
                <a:srgbClr val="00AAE7"/>
              </a:solidFill>
            </a:ln>
            <a:effectLst/>
          </c:spPr>
          <c:invertIfNegative val="0"/>
          <c:cat>
            <c:strRef>
              <c:f>'autoLCA Results'!$A$165:$A$178</c:f>
              <c:strCache>
                <c:ptCount val="14"/>
                <c:pt idx="0">
                  <c:v>TRACI 2.1, Acidification [kg SO2-Equiv.]</c:v>
                </c:pt>
                <c:pt idx="1">
                  <c:v>TRACI 2.1, Ecotoxicity (recommended) [CTUe]</c:v>
                </c:pt>
                <c:pt idx="2">
                  <c:v>TRACI 2.1, Eutrophication [kg N-Equiv.]</c:v>
                </c:pt>
                <c:pt idx="3">
                  <c:v>TRACI 2.1, Global Warming Air, excl. biogenic carbon [kg CO2-Equiv.]</c:v>
                </c:pt>
                <c:pt idx="4">
                  <c:v>TRACI 2.1, Global Warming Air, incl. biogenic carbon [kg CO2-Equiv.]</c:v>
                </c:pt>
                <c:pt idx="5">
                  <c:v>TRACI 2.1, Human Health Particulate Air [kg PM2,5-Equiv.]</c:v>
                </c:pt>
                <c:pt idx="6">
                  <c:v>TRACI 2.1, Human toxicity, cancer (recommended) [CTUh]</c:v>
                </c:pt>
                <c:pt idx="7">
                  <c:v>TRACI 2.1, Human toxicity, non-canc. (recommended) [CTUh]</c:v>
                </c:pt>
                <c:pt idx="8">
                  <c:v>TRACI 2.1, Ozone Depletion Air [kg CFC 11-Equiv.]</c:v>
                </c:pt>
                <c:pt idx="9">
                  <c:v>TRACI 2.1, Resources, Fossil fuels [MJ surplus energy]</c:v>
                </c:pt>
                <c:pt idx="10">
                  <c:v>TRACI 2.1, Smog Air [kg O3-Equiv.]</c:v>
                </c:pt>
                <c:pt idx="11">
                  <c:v>Primary energy demand from ren. and non ren. resources (net cal. value) [MJ]</c:v>
                </c:pt>
                <c:pt idx="12">
                  <c:v>Primary energy from non renewable resources (net cal. value) [MJ]</c:v>
                </c:pt>
                <c:pt idx="13">
                  <c:v>Primary energy from renewable resources (net cal. value) [MJ]</c:v>
                </c:pt>
              </c:strCache>
            </c:strRef>
          </c:cat>
          <c:val>
            <c:numRef>
              <c:f>'autoLCA Results'!$D$165:$D$178</c:f>
              <c:numCache>
                <c:formatCode>0.00E+00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2-FFC5-43BC-8574-DBF24D95C7A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100"/>
        <c:axId val="297722888"/>
        <c:axId val="297723280"/>
      </c:barChart>
      <c:catAx>
        <c:axId val="297722888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low"/>
        <c:spPr>
          <a:noFill/>
          <a:ln w="12700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297723280"/>
        <c:crosses val="autoZero"/>
        <c:auto val="1"/>
        <c:lblAlgn val="ctr"/>
        <c:lblOffset val="100"/>
        <c:noMultiLvlLbl val="0"/>
      </c:catAx>
      <c:valAx>
        <c:axId val="297723280"/>
        <c:scaling>
          <c:orientation val="minMax"/>
        </c:scaling>
        <c:delete val="0"/>
        <c:axPos val="t"/>
        <c:majorGridlines>
          <c:spPr>
            <a:ln w="9525" cap="flat" cmpd="sng" algn="ctr">
              <a:solidFill>
                <a:srgbClr val="99ADB7"/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2977228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54587701158567303"/>
          <c:y val="9.6759259259259264E-3"/>
          <c:w val="0.45381213711922369"/>
          <c:h val="8.272116720704031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rgbClr val="5C7F92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en-US">
                <a:solidFill>
                  <a:sysClr val="windowText" lastClr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TRACI 2.1 - Contender 1</a:t>
            </a:r>
          </a:p>
        </c:rich>
      </c:tx>
      <c:layout>
        <c:manualLayout>
          <c:xMode val="edge"/>
          <c:yMode val="edge"/>
          <c:x val="7.0282881306505372E-4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41151835164989409"/>
          <c:y val="0.14502074847689206"/>
          <c:w val="0.565333670189622"/>
          <c:h val="0.83389826289743452"/>
        </c:manualLayout>
      </c:layout>
      <c:barChart>
        <c:barDir val="bar"/>
        <c:grouping val="percentStacked"/>
        <c:varyColors val="0"/>
        <c:ser>
          <c:idx val="0"/>
          <c:order val="0"/>
          <c:tx>
            <c:strRef>
              <c:f>'autoLCA Results'!$B$164</c:f>
              <c:strCache>
                <c:ptCount val="1"/>
                <c:pt idx="0">
                  <c:v>Vehicle Production</c:v>
                </c:pt>
              </c:strCache>
            </c:strRef>
          </c:tx>
          <c:spPr>
            <a:solidFill>
              <a:srgbClr val="F4C000"/>
            </a:solidFill>
            <a:ln>
              <a:solidFill>
                <a:srgbClr val="F4C000"/>
              </a:solidFill>
            </a:ln>
            <a:effectLst/>
          </c:spPr>
          <c:invertIfNegative val="0"/>
          <c:cat>
            <c:strRef>
              <c:f>'autoLCA Results'!$A$185:$A$198</c:f>
              <c:strCache>
                <c:ptCount val="14"/>
                <c:pt idx="0">
                  <c:v>TRACI 2.1, Acidification [kg SO2-Equiv.]</c:v>
                </c:pt>
                <c:pt idx="1">
                  <c:v>TRACI 2.1, Ecotoxicity (recommended) [CTUe]</c:v>
                </c:pt>
                <c:pt idx="2">
                  <c:v>TRACI 2.1, Eutrophication [kg N-Equiv.]</c:v>
                </c:pt>
                <c:pt idx="3">
                  <c:v>TRACI 2.1, Global Warming Air, excl. biogenic carbon [kg CO2-Equiv.]</c:v>
                </c:pt>
                <c:pt idx="4">
                  <c:v>TRACI 2.1, Global Warming Air, incl. biogenic carbon [kg CO2-Equiv.]</c:v>
                </c:pt>
                <c:pt idx="5">
                  <c:v>TRACI 2.1, Human Health Particulate Air [kg PM2,5-Equiv.]</c:v>
                </c:pt>
                <c:pt idx="6">
                  <c:v>TRACI 2.1, Human toxicity, cancer (recommended) [CTUh]</c:v>
                </c:pt>
                <c:pt idx="7">
                  <c:v>TRACI 2.1, Human toxicity, non-canc. (recommended) [CTUh]</c:v>
                </c:pt>
                <c:pt idx="8">
                  <c:v>TRACI 2.1, Ozone Depletion Air [kg CFC 11-Equiv.]</c:v>
                </c:pt>
                <c:pt idx="9">
                  <c:v>TRACI 2.1, Resources, Fossil fuels [MJ surplus energy]</c:v>
                </c:pt>
                <c:pt idx="10">
                  <c:v>TRACI 2.1, Smog Air [kg O3-Equiv.]</c:v>
                </c:pt>
                <c:pt idx="11">
                  <c:v>Primary energy demand from ren. and non ren. resources (net cal. value) [MJ]</c:v>
                </c:pt>
                <c:pt idx="12">
                  <c:v>Primary energy from non renewable resources (net cal. value) [MJ]</c:v>
                </c:pt>
                <c:pt idx="13">
                  <c:v>Primary energy from renewable resources (net cal. value) [MJ]</c:v>
                </c:pt>
              </c:strCache>
            </c:strRef>
          </c:cat>
          <c:val>
            <c:numRef>
              <c:f>'autoLCA Results'!$B$185:$B$198</c:f>
              <c:numCache>
                <c:formatCode>0.00E+00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0-3DAA-4834-8E20-7DE035A234D7}"/>
            </c:ext>
          </c:extLst>
        </c:ser>
        <c:ser>
          <c:idx val="1"/>
          <c:order val="1"/>
          <c:tx>
            <c:strRef>
              <c:f>'autoLCA Results'!$C$164</c:f>
              <c:strCache>
                <c:ptCount val="1"/>
                <c:pt idx="0">
                  <c:v>Use Phase</c:v>
                </c:pt>
              </c:strCache>
            </c:strRef>
          </c:tx>
          <c:spPr>
            <a:pattFill prst="wdUpDiag">
              <a:fgClr>
                <a:srgbClr val="F4C000"/>
              </a:fgClr>
              <a:bgClr>
                <a:schemeClr val="bg1"/>
              </a:bgClr>
            </a:pattFill>
            <a:ln>
              <a:solidFill>
                <a:srgbClr val="F4C000"/>
              </a:solidFill>
            </a:ln>
            <a:effectLst/>
          </c:spPr>
          <c:invertIfNegative val="0"/>
          <c:cat>
            <c:strRef>
              <c:f>'autoLCA Results'!$A$185:$A$198</c:f>
              <c:strCache>
                <c:ptCount val="14"/>
                <c:pt idx="0">
                  <c:v>TRACI 2.1, Acidification [kg SO2-Equiv.]</c:v>
                </c:pt>
                <c:pt idx="1">
                  <c:v>TRACI 2.1, Ecotoxicity (recommended) [CTUe]</c:v>
                </c:pt>
                <c:pt idx="2">
                  <c:v>TRACI 2.1, Eutrophication [kg N-Equiv.]</c:v>
                </c:pt>
                <c:pt idx="3">
                  <c:v>TRACI 2.1, Global Warming Air, excl. biogenic carbon [kg CO2-Equiv.]</c:v>
                </c:pt>
                <c:pt idx="4">
                  <c:v>TRACI 2.1, Global Warming Air, incl. biogenic carbon [kg CO2-Equiv.]</c:v>
                </c:pt>
                <c:pt idx="5">
                  <c:v>TRACI 2.1, Human Health Particulate Air [kg PM2,5-Equiv.]</c:v>
                </c:pt>
                <c:pt idx="6">
                  <c:v>TRACI 2.1, Human toxicity, cancer (recommended) [CTUh]</c:v>
                </c:pt>
                <c:pt idx="7">
                  <c:v>TRACI 2.1, Human toxicity, non-canc. (recommended) [CTUh]</c:v>
                </c:pt>
                <c:pt idx="8">
                  <c:v>TRACI 2.1, Ozone Depletion Air [kg CFC 11-Equiv.]</c:v>
                </c:pt>
                <c:pt idx="9">
                  <c:v>TRACI 2.1, Resources, Fossil fuels [MJ surplus energy]</c:v>
                </c:pt>
                <c:pt idx="10">
                  <c:v>TRACI 2.1, Smog Air [kg O3-Equiv.]</c:v>
                </c:pt>
                <c:pt idx="11">
                  <c:v>Primary energy demand from ren. and non ren. resources (net cal. value) [MJ]</c:v>
                </c:pt>
                <c:pt idx="12">
                  <c:v>Primary energy from non renewable resources (net cal. value) [MJ]</c:v>
                </c:pt>
                <c:pt idx="13">
                  <c:v>Primary energy from renewable resources (net cal. value) [MJ]</c:v>
                </c:pt>
              </c:strCache>
            </c:strRef>
          </c:cat>
          <c:val>
            <c:numRef>
              <c:f>'autoLCA Results'!$C$185:$C$198</c:f>
              <c:numCache>
                <c:formatCode>0.00E+00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1-3DAA-4834-8E20-7DE035A234D7}"/>
            </c:ext>
          </c:extLst>
        </c:ser>
        <c:ser>
          <c:idx val="2"/>
          <c:order val="2"/>
          <c:tx>
            <c:strRef>
              <c:f>'autoLCA Results'!$D$164</c:f>
              <c:strCache>
                <c:ptCount val="1"/>
                <c:pt idx="0">
                  <c:v>Vehicle EoL</c:v>
                </c:pt>
              </c:strCache>
            </c:strRef>
          </c:tx>
          <c:spPr>
            <a:pattFill prst="dkDnDiag">
              <a:fgClr>
                <a:srgbClr val="F4C000"/>
              </a:fgClr>
              <a:bgClr>
                <a:schemeClr val="bg1"/>
              </a:bgClr>
            </a:pattFill>
            <a:ln>
              <a:solidFill>
                <a:srgbClr val="F4C000"/>
              </a:solidFill>
            </a:ln>
            <a:effectLst/>
          </c:spPr>
          <c:invertIfNegative val="0"/>
          <c:cat>
            <c:strRef>
              <c:f>'autoLCA Results'!$A$185:$A$198</c:f>
              <c:strCache>
                <c:ptCount val="14"/>
                <c:pt idx="0">
                  <c:v>TRACI 2.1, Acidification [kg SO2-Equiv.]</c:v>
                </c:pt>
                <c:pt idx="1">
                  <c:v>TRACI 2.1, Ecotoxicity (recommended) [CTUe]</c:v>
                </c:pt>
                <c:pt idx="2">
                  <c:v>TRACI 2.1, Eutrophication [kg N-Equiv.]</c:v>
                </c:pt>
                <c:pt idx="3">
                  <c:v>TRACI 2.1, Global Warming Air, excl. biogenic carbon [kg CO2-Equiv.]</c:v>
                </c:pt>
                <c:pt idx="4">
                  <c:v>TRACI 2.1, Global Warming Air, incl. biogenic carbon [kg CO2-Equiv.]</c:v>
                </c:pt>
                <c:pt idx="5">
                  <c:v>TRACI 2.1, Human Health Particulate Air [kg PM2,5-Equiv.]</c:v>
                </c:pt>
                <c:pt idx="6">
                  <c:v>TRACI 2.1, Human toxicity, cancer (recommended) [CTUh]</c:v>
                </c:pt>
                <c:pt idx="7">
                  <c:v>TRACI 2.1, Human toxicity, non-canc. (recommended) [CTUh]</c:v>
                </c:pt>
                <c:pt idx="8">
                  <c:v>TRACI 2.1, Ozone Depletion Air [kg CFC 11-Equiv.]</c:v>
                </c:pt>
                <c:pt idx="9">
                  <c:v>TRACI 2.1, Resources, Fossil fuels [MJ surplus energy]</c:v>
                </c:pt>
                <c:pt idx="10">
                  <c:v>TRACI 2.1, Smog Air [kg O3-Equiv.]</c:v>
                </c:pt>
                <c:pt idx="11">
                  <c:v>Primary energy demand from ren. and non ren. resources (net cal. value) [MJ]</c:v>
                </c:pt>
                <c:pt idx="12">
                  <c:v>Primary energy from non renewable resources (net cal. value) [MJ]</c:v>
                </c:pt>
                <c:pt idx="13">
                  <c:v>Primary energy from renewable resources (net cal. value) [MJ]</c:v>
                </c:pt>
              </c:strCache>
            </c:strRef>
          </c:cat>
          <c:val>
            <c:numRef>
              <c:f>'autoLCA Results'!$D$185:$D$198</c:f>
              <c:numCache>
                <c:formatCode>0.00E+00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2-3DAA-4834-8E20-7DE035A234D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100"/>
        <c:axId val="297724064"/>
        <c:axId val="297724456"/>
      </c:barChart>
      <c:catAx>
        <c:axId val="297724064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low"/>
        <c:spPr>
          <a:noFill/>
          <a:ln w="12700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297724456"/>
        <c:crosses val="autoZero"/>
        <c:auto val="1"/>
        <c:lblAlgn val="ctr"/>
        <c:lblOffset val="100"/>
        <c:noMultiLvlLbl val="0"/>
      </c:catAx>
      <c:valAx>
        <c:axId val="297724456"/>
        <c:scaling>
          <c:orientation val="minMax"/>
        </c:scaling>
        <c:delete val="0"/>
        <c:axPos val="t"/>
        <c:majorGridlines>
          <c:spPr>
            <a:ln w="9525" cap="flat" cmpd="sng" algn="ctr">
              <a:solidFill>
                <a:srgbClr val="99ADB7"/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29772406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54587701158567303"/>
          <c:y val="9.6759259259259264E-3"/>
          <c:w val="0.45381213711922369"/>
          <c:h val="8.302641136647588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rgbClr val="5C7F92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en-US">
                <a:solidFill>
                  <a:sysClr val="windowText" lastClr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TRACI 2.1 - Contender 2</a:t>
            </a:r>
          </a:p>
        </c:rich>
      </c:tx>
      <c:layout>
        <c:manualLayout>
          <c:xMode val="edge"/>
          <c:yMode val="edge"/>
          <c:x val="7.0282881306505372E-4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4096541938667923"/>
          <c:y val="0.14899910377056527"/>
          <c:w val="0.56722255871862182"/>
          <c:h val="0.81730715063056147"/>
        </c:manualLayout>
      </c:layout>
      <c:barChart>
        <c:barDir val="bar"/>
        <c:grouping val="percentStacked"/>
        <c:varyColors val="0"/>
        <c:ser>
          <c:idx val="0"/>
          <c:order val="0"/>
          <c:tx>
            <c:strRef>
              <c:f>'autoLCA Results'!$B$164</c:f>
              <c:strCache>
                <c:ptCount val="1"/>
                <c:pt idx="0">
                  <c:v>Vehicle Production</c:v>
                </c:pt>
              </c:strCache>
            </c:strRef>
          </c:tx>
          <c:spPr>
            <a:solidFill>
              <a:srgbClr val="841C80"/>
            </a:solidFill>
            <a:ln>
              <a:solidFill>
                <a:srgbClr val="841C80"/>
              </a:solidFill>
            </a:ln>
            <a:effectLst/>
          </c:spPr>
          <c:invertIfNegative val="0"/>
          <c:cat>
            <c:strRef>
              <c:f>'autoLCA Results'!$A$205:$A$218</c:f>
              <c:strCache>
                <c:ptCount val="14"/>
                <c:pt idx="0">
                  <c:v>TRACI 2.1, Acidification [kg SO2-Equiv.]</c:v>
                </c:pt>
                <c:pt idx="1">
                  <c:v>TRACI 2.1, Ecotoxicity (recommended) [CTUe]</c:v>
                </c:pt>
                <c:pt idx="2">
                  <c:v>TRACI 2.1, Eutrophication [kg N-Equiv.]</c:v>
                </c:pt>
                <c:pt idx="3">
                  <c:v>TRACI 2.1, Global Warming Air, excl. biogenic carbon [kg CO2-Equiv.]</c:v>
                </c:pt>
                <c:pt idx="4">
                  <c:v>TRACI 2.1, Global Warming Air, incl. biogenic carbon [kg CO2-Equiv.]</c:v>
                </c:pt>
                <c:pt idx="5">
                  <c:v>TRACI 2.1, Human Health Particulate Air [kg PM2,5-Equiv.]</c:v>
                </c:pt>
                <c:pt idx="6">
                  <c:v>TRACI 2.1, Human toxicity, cancer (recommended) [CTUh]</c:v>
                </c:pt>
                <c:pt idx="7">
                  <c:v>TRACI 2.1, Human toxicity, non-canc. (recommended) [CTUh]</c:v>
                </c:pt>
                <c:pt idx="8">
                  <c:v>TRACI 2.1, Ozone Depletion Air [kg CFC 11-Equiv.]</c:v>
                </c:pt>
                <c:pt idx="9">
                  <c:v>TRACI 2.1, Resources, Fossil fuels [MJ surplus energy]</c:v>
                </c:pt>
                <c:pt idx="10">
                  <c:v>TRACI 2.1, Smog Air [kg O3-Equiv.]</c:v>
                </c:pt>
                <c:pt idx="11">
                  <c:v>Primary energy demand from ren. and non ren. resources (net cal. value) [MJ]</c:v>
                </c:pt>
                <c:pt idx="12">
                  <c:v>Primary energy from non renewable resources (net cal. value) [MJ]</c:v>
                </c:pt>
                <c:pt idx="13">
                  <c:v>Primary energy from renewable resources (net cal. value) [MJ]</c:v>
                </c:pt>
              </c:strCache>
            </c:strRef>
          </c:cat>
          <c:val>
            <c:numRef>
              <c:f>'autoLCA Results'!$B$205:$B$218</c:f>
              <c:numCache>
                <c:formatCode>0.00E+00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0-5E79-4400-9301-3DE5B6B5723E}"/>
            </c:ext>
          </c:extLst>
        </c:ser>
        <c:ser>
          <c:idx val="1"/>
          <c:order val="1"/>
          <c:tx>
            <c:strRef>
              <c:f>'autoLCA Results'!$C$164</c:f>
              <c:strCache>
                <c:ptCount val="1"/>
                <c:pt idx="0">
                  <c:v>Use Phase</c:v>
                </c:pt>
              </c:strCache>
            </c:strRef>
          </c:tx>
          <c:spPr>
            <a:pattFill prst="wdUpDiag">
              <a:fgClr>
                <a:srgbClr val="841C80"/>
              </a:fgClr>
              <a:bgClr>
                <a:schemeClr val="bg1"/>
              </a:bgClr>
            </a:pattFill>
            <a:ln>
              <a:solidFill>
                <a:srgbClr val="841C80"/>
              </a:solidFill>
            </a:ln>
            <a:effectLst/>
          </c:spPr>
          <c:invertIfNegative val="0"/>
          <c:cat>
            <c:strRef>
              <c:f>'autoLCA Results'!$A$205:$A$218</c:f>
              <c:strCache>
                <c:ptCount val="14"/>
                <c:pt idx="0">
                  <c:v>TRACI 2.1, Acidification [kg SO2-Equiv.]</c:v>
                </c:pt>
                <c:pt idx="1">
                  <c:v>TRACI 2.1, Ecotoxicity (recommended) [CTUe]</c:v>
                </c:pt>
                <c:pt idx="2">
                  <c:v>TRACI 2.1, Eutrophication [kg N-Equiv.]</c:v>
                </c:pt>
                <c:pt idx="3">
                  <c:v>TRACI 2.1, Global Warming Air, excl. biogenic carbon [kg CO2-Equiv.]</c:v>
                </c:pt>
                <c:pt idx="4">
                  <c:v>TRACI 2.1, Global Warming Air, incl. biogenic carbon [kg CO2-Equiv.]</c:v>
                </c:pt>
                <c:pt idx="5">
                  <c:v>TRACI 2.1, Human Health Particulate Air [kg PM2,5-Equiv.]</c:v>
                </c:pt>
                <c:pt idx="6">
                  <c:v>TRACI 2.1, Human toxicity, cancer (recommended) [CTUh]</c:v>
                </c:pt>
                <c:pt idx="7">
                  <c:v>TRACI 2.1, Human toxicity, non-canc. (recommended) [CTUh]</c:v>
                </c:pt>
                <c:pt idx="8">
                  <c:v>TRACI 2.1, Ozone Depletion Air [kg CFC 11-Equiv.]</c:v>
                </c:pt>
                <c:pt idx="9">
                  <c:v>TRACI 2.1, Resources, Fossil fuels [MJ surplus energy]</c:v>
                </c:pt>
                <c:pt idx="10">
                  <c:v>TRACI 2.1, Smog Air [kg O3-Equiv.]</c:v>
                </c:pt>
                <c:pt idx="11">
                  <c:v>Primary energy demand from ren. and non ren. resources (net cal. value) [MJ]</c:v>
                </c:pt>
                <c:pt idx="12">
                  <c:v>Primary energy from non renewable resources (net cal. value) [MJ]</c:v>
                </c:pt>
                <c:pt idx="13">
                  <c:v>Primary energy from renewable resources (net cal. value) [MJ]</c:v>
                </c:pt>
              </c:strCache>
            </c:strRef>
          </c:cat>
          <c:val>
            <c:numRef>
              <c:f>'autoLCA Results'!$C$205:$C$218</c:f>
              <c:numCache>
                <c:formatCode>0.00E+00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1-5E79-4400-9301-3DE5B6B5723E}"/>
            </c:ext>
          </c:extLst>
        </c:ser>
        <c:ser>
          <c:idx val="2"/>
          <c:order val="2"/>
          <c:tx>
            <c:strRef>
              <c:f>'autoLCA Results'!$D$164</c:f>
              <c:strCache>
                <c:ptCount val="1"/>
                <c:pt idx="0">
                  <c:v>Vehicle EoL</c:v>
                </c:pt>
              </c:strCache>
            </c:strRef>
          </c:tx>
          <c:spPr>
            <a:pattFill prst="dkDnDiag">
              <a:fgClr>
                <a:srgbClr val="841C80"/>
              </a:fgClr>
              <a:bgClr>
                <a:schemeClr val="bg1"/>
              </a:bgClr>
            </a:pattFill>
            <a:ln>
              <a:solidFill>
                <a:srgbClr val="841C80"/>
              </a:solidFill>
            </a:ln>
            <a:effectLst/>
          </c:spPr>
          <c:invertIfNegative val="0"/>
          <c:cat>
            <c:strRef>
              <c:f>'autoLCA Results'!$A$205:$A$218</c:f>
              <c:strCache>
                <c:ptCount val="14"/>
                <c:pt idx="0">
                  <c:v>TRACI 2.1, Acidification [kg SO2-Equiv.]</c:v>
                </c:pt>
                <c:pt idx="1">
                  <c:v>TRACI 2.1, Ecotoxicity (recommended) [CTUe]</c:v>
                </c:pt>
                <c:pt idx="2">
                  <c:v>TRACI 2.1, Eutrophication [kg N-Equiv.]</c:v>
                </c:pt>
                <c:pt idx="3">
                  <c:v>TRACI 2.1, Global Warming Air, excl. biogenic carbon [kg CO2-Equiv.]</c:v>
                </c:pt>
                <c:pt idx="4">
                  <c:v>TRACI 2.1, Global Warming Air, incl. biogenic carbon [kg CO2-Equiv.]</c:v>
                </c:pt>
                <c:pt idx="5">
                  <c:v>TRACI 2.1, Human Health Particulate Air [kg PM2,5-Equiv.]</c:v>
                </c:pt>
                <c:pt idx="6">
                  <c:v>TRACI 2.1, Human toxicity, cancer (recommended) [CTUh]</c:v>
                </c:pt>
                <c:pt idx="7">
                  <c:v>TRACI 2.1, Human toxicity, non-canc. (recommended) [CTUh]</c:v>
                </c:pt>
                <c:pt idx="8">
                  <c:v>TRACI 2.1, Ozone Depletion Air [kg CFC 11-Equiv.]</c:v>
                </c:pt>
                <c:pt idx="9">
                  <c:v>TRACI 2.1, Resources, Fossil fuels [MJ surplus energy]</c:v>
                </c:pt>
                <c:pt idx="10">
                  <c:v>TRACI 2.1, Smog Air [kg O3-Equiv.]</c:v>
                </c:pt>
                <c:pt idx="11">
                  <c:v>Primary energy demand from ren. and non ren. resources (net cal. value) [MJ]</c:v>
                </c:pt>
                <c:pt idx="12">
                  <c:v>Primary energy from non renewable resources (net cal. value) [MJ]</c:v>
                </c:pt>
                <c:pt idx="13">
                  <c:v>Primary energy from renewable resources (net cal. value) [MJ]</c:v>
                </c:pt>
              </c:strCache>
            </c:strRef>
          </c:cat>
          <c:val>
            <c:numRef>
              <c:f>'autoLCA Results'!$D$205:$D$218</c:f>
              <c:numCache>
                <c:formatCode>0.00E+00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2-5E79-4400-9301-3DE5B6B5723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100"/>
        <c:axId val="297725240"/>
        <c:axId val="297725632"/>
      </c:barChart>
      <c:catAx>
        <c:axId val="297725240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low"/>
        <c:spPr>
          <a:noFill/>
          <a:ln w="12700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297725632"/>
        <c:crosses val="autoZero"/>
        <c:auto val="1"/>
        <c:lblAlgn val="ctr"/>
        <c:lblOffset val="100"/>
        <c:noMultiLvlLbl val="0"/>
      </c:catAx>
      <c:valAx>
        <c:axId val="297725632"/>
        <c:scaling>
          <c:orientation val="minMax"/>
        </c:scaling>
        <c:delete val="0"/>
        <c:axPos val="t"/>
        <c:majorGridlines>
          <c:spPr>
            <a:ln w="9525" cap="flat" cmpd="sng" algn="ctr">
              <a:solidFill>
                <a:srgbClr val="99ADB7"/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29772524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54756051326917465"/>
          <c:y val="9.6759259259259264E-3"/>
          <c:w val="0.45212863543572201"/>
          <c:h val="8.302641136647588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rgbClr val="5C7F92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en-US">
                <a:solidFill>
                  <a:sysClr val="windowText" lastClr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ILCD/PEF Recommended - Baseline</a:t>
            </a:r>
          </a:p>
        </c:rich>
      </c:tx>
      <c:layout>
        <c:manualLayout>
          <c:xMode val="edge"/>
          <c:yMode val="edge"/>
          <c:x val="7.0282881306505372E-4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44384656196050359"/>
          <c:y val="0.14054059032094673"/>
          <c:w val="0.53300545987901249"/>
          <c:h val="0.84020199229482284"/>
        </c:manualLayout>
      </c:layout>
      <c:barChart>
        <c:barDir val="bar"/>
        <c:grouping val="percentStacked"/>
        <c:varyColors val="0"/>
        <c:ser>
          <c:idx val="0"/>
          <c:order val="0"/>
          <c:tx>
            <c:strRef>
              <c:f>'autoLCA Results'!$B$65</c:f>
              <c:strCache>
                <c:ptCount val="1"/>
                <c:pt idx="0">
                  <c:v>Vehicle Production</c:v>
                </c:pt>
              </c:strCache>
            </c:strRef>
          </c:tx>
          <c:spPr>
            <a:solidFill>
              <a:srgbClr val="00AAE7"/>
            </a:solidFill>
            <a:ln>
              <a:solidFill>
                <a:srgbClr val="00AAE7"/>
              </a:solidFill>
            </a:ln>
            <a:effectLst/>
            <a:scene3d>
              <a:camera prst="orthographicFront"/>
              <a:lightRig rig="threePt" dir="t"/>
            </a:scene3d>
          </c:spPr>
          <c:invertIfNegative val="0"/>
          <c:cat>
            <c:strRef>
              <c:f>'autoLCA Results'!$A$66:$A$83</c:f>
              <c:strCache>
                <c:ptCount val="18"/>
                <c:pt idx="0">
                  <c:v>Acidification midpoint (v1.09) [Mole of H+ eq.]</c:v>
                </c:pt>
                <c:pt idx="1">
                  <c:v>Climate change midpoint, excl biogenic carbon (v1.09) [kg CO2-Equiv.]</c:v>
                </c:pt>
                <c:pt idx="2">
                  <c:v>Climate change midpoint, incl biogenic carbon (v1.09) [kg CO2-Equiv.]</c:v>
                </c:pt>
                <c:pt idx="3">
                  <c:v>Ecotoxicity freshwater midpoint (v1.09) [CTUe]</c:v>
                </c:pt>
                <c:pt idx="4">
                  <c:v>Eutrophication freshwater midpoint (v1.09) [kg P eq]</c:v>
                </c:pt>
                <c:pt idx="5">
                  <c:v>Eutrophication marine midpoint (v1.09) [kg N-Equiv.]</c:v>
                </c:pt>
                <c:pt idx="6">
                  <c:v>Eutrophication terrestrial midpoint (v1.09) [Mole of N eq.]</c:v>
                </c:pt>
                <c:pt idx="7">
                  <c:v>Human toxicity midpoint, cancer effects (v1.09) [CTUh]</c:v>
                </c:pt>
                <c:pt idx="8">
                  <c:v>Human toxicity midpoint, non-cancer effects (v1.09) [CTUh]</c:v>
                </c:pt>
                <c:pt idx="9">
                  <c:v>Ionizing radiation midpoint, human health (v1.09) [kBq U235 eq]</c:v>
                </c:pt>
                <c:pt idx="10">
                  <c:v>Ozone depletion midpoint (v1.09) [kg CFC-11 eq]</c:v>
                </c:pt>
                <c:pt idx="11">
                  <c:v>Particulate matter/Respiratory inorganics midpoint (v1.09) [kg PM2,5-Equiv.]</c:v>
                </c:pt>
                <c:pt idx="12">
                  <c:v>Photochemical ozone formation midpoint, human health (v1.09) [kg NMVOC]</c:v>
                </c:pt>
                <c:pt idx="13">
                  <c:v>Resource depletion water, midpoint (v1.09) [m³ eq.]</c:v>
                </c:pt>
                <c:pt idx="14">
                  <c:v>Resource depletion, mineral, fossils and renewables, midpoint (v1.09) [kg Sb-Equiv.]</c:v>
                </c:pt>
                <c:pt idx="15">
                  <c:v>Primary energy demand from ren. and non ren. resources (net cal. value) [MJ]</c:v>
                </c:pt>
                <c:pt idx="16">
                  <c:v>Primary energy from non renewable resources (net cal. value) [MJ]</c:v>
                </c:pt>
                <c:pt idx="17">
                  <c:v>Primary energy from renewable resources (net cal. value) [MJ]</c:v>
                </c:pt>
              </c:strCache>
            </c:strRef>
          </c:cat>
          <c:val>
            <c:numRef>
              <c:f>'autoLCA Results'!$B$66:$B$83</c:f>
              <c:numCache>
                <c:formatCode>0.00E+00</c:formatCode>
                <c:ptCount val="18"/>
              </c:numCache>
            </c:numRef>
          </c:val>
          <c:extLst>
            <c:ext xmlns:c16="http://schemas.microsoft.com/office/drawing/2014/chart" uri="{C3380CC4-5D6E-409C-BE32-E72D297353CC}">
              <c16:uniqueId val="{00000000-10F3-4516-8A7D-E1722D72C99A}"/>
            </c:ext>
          </c:extLst>
        </c:ser>
        <c:ser>
          <c:idx val="1"/>
          <c:order val="1"/>
          <c:tx>
            <c:strRef>
              <c:f>'autoLCA Results'!$C$65</c:f>
              <c:strCache>
                <c:ptCount val="1"/>
                <c:pt idx="0">
                  <c:v>Use Phase</c:v>
                </c:pt>
              </c:strCache>
            </c:strRef>
          </c:tx>
          <c:spPr>
            <a:pattFill prst="wdUpDiag">
              <a:fgClr>
                <a:srgbClr val="00AAE7"/>
              </a:fgClr>
              <a:bgClr>
                <a:schemeClr val="bg1"/>
              </a:bgClr>
            </a:pattFill>
            <a:ln>
              <a:solidFill>
                <a:srgbClr val="00AAE7"/>
              </a:solidFill>
            </a:ln>
            <a:effectLst/>
            <a:scene3d>
              <a:camera prst="orthographicFront"/>
              <a:lightRig rig="threePt" dir="t"/>
            </a:scene3d>
          </c:spPr>
          <c:invertIfNegative val="0"/>
          <c:cat>
            <c:strRef>
              <c:f>'autoLCA Results'!$A$66:$A$83</c:f>
              <c:strCache>
                <c:ptCount val="18"/>
                <c:pt idx="0">
                  <c:v>Acidification midpoint (v1.09) [Mole of H+ eq.]</c:v>
                </c:pt>
                <c:pt idx="1">
                  <c:v>Climate change midpoint, excl biogenic carbon (v1.09) [kg CO2-Equiv.]</c:v>
                </c:pt>
                <c:pt idx="2">
                  <c:v>Climate change midpoint, incl biogenic carbon (v1.09) [kg CO2-Equiv.]</c:v>
                </c:pt>
                <c:pt idx="3">
                  <c:v>Ecotoxicity freshwater midpoint (v1.09) [CTUe]</c:v>
                </c:pt>
                <c:pt idx="4">
                  <c:v>Eutrophication freshwater midpoint (v1.09) [kg P eq]</c:v>
                </c:pt>
                <c:pt idx="5">
                  <c:v>Eutrophication marine midpoint (v1.09) [kg N-Equiv.]</c:v>
                </c:pt>
                <c:pt idx="6">
                  <c:v>Eutrophication terrestrial midpoint (v1.09) [Mole of N eq.]</c:v>
                </c:pt>
                <c:pt idx="7">
                  <c:v>Human toxicity midpoint, cancer effects (v1.09) [CTUh]</c:v>
                </c:pt>
                <c:pt idx="8">
                  <c:v>Human toxicity midpoint, non-cancer effects (v1.09) [CTUh]</c:v>
                </c:pt>
                <c:pt idx="9">
                  <c:v>Ionizing radiation midpoint, human health (v1.09) [kBq U235 eq]</c:v>
                </c:pt>
                <c:pt idx="10">
                  <c:v>Ozone depletion midpoint (v1.09) [kg CFC-11 eq]</c:v>
                </c:pt>
                <c:pt idx="11">
                  <c:v>Particulate matter/Respiratory inorganics midpoint (v1.09) [kg PM2,5-Equiv.]</c:v>
                </c:pt>
                <c:pt idx="12">
                  <c:v>Photochemical ozone formation midpoint, human health (v1.09) [kg NMVOC]</c:v>
                </c:pt>
                <c:pt idx="13">
                  <c:v>Resource depletion water, midpoint (v1.09) [m³ eq.]</c:v>
                </c:pt>
                <c:pt idx="14">
                  <c:v>Resource depletion, mineral, fossils and renewables, midpoint (v1.09) [kg Sb-Equiv.]</c:v>
                </c:pt>
                <c:pt idx="15">
                  <c:v>Primary energy demand from ren. and non ren. resources (net cal. value) [MJ]</c:v>
                </c:pt>
                <c:pt idx="16">
                  <c:v>Primary energy from non renewable resources (net cal. value) [MJ]</c:v>
                </c:pt>
                <c:pt idx="17">
                  <c:v>Primary energy from renewable resources (net cal. value) [MJ]</c:v>
                </c:pt>
              </c:strCache>
            </c:strRef>
          </c:cat>
          <c:val>
            <c:numRef>
              <c:f>'autoLCA Results'!$C$66:$C$83</c:f>
              <c:numCache>
                <c:formatCode>0.00E+00</c:formatCode>
                <c:ptCount val="18"/>
              </c:numCache>
            </c:numRef>
          </c:val>
          <c:extLst>
            <c:ext xmlns:c16="http://schemas.microsoft.com/office/drawing/2014/chart" uri="{C3380CC4-5D6E-409C-BE32-E72D297353CC}">
              <c16:uniqueId val="{00000001-10F3-4516-8A7D-E1722D72C99A}"/>
            </c:ext>
          </c:extLst>
        </c:ser>
        <c:ser>
          <c:idx val="2"/>
          <c:order val="2"/>
          <c:tx>
            <c:strRef>
              <c:f>'autoLCA Results'!$D$65</c:f>
              <c:strCache>
                <c:ptCount val="1"/>
                <c:pt idx="0">
                  <c:v>Vehicle EoL</c:v>
                </c:pt>
              </c:strCache>
            </c:strRef>
          </c:tx>
          <c:spPr>
            <a:solidFill>
              <a:schemeClr val="bg1"/>
            </a:solidFill>
            <a:ln>
              <a:solidFill>
                <a:srgbClr val="00AAE7"/>
              </a:solidFill>
            </a:ln>
            <a:effectLst/>
            <a:scene3d>
              <a:camera prst="orthographicFront"/>
              <a:lightRig rig="threePt" dir="t"/>
            </a:scene3d>
          </c:spPr>
          <c:invertIfNegative val="0"/>
          <c:cat>
            <c:strRef>
              <c:f>'autoLCA Results'!$A$66:$A$83</c:f>
              <c:strCache>
                <c:ptCount val="18"/>
                <c:pt idx="0">
                  <c:v>Acidification midpoint (v1.09) [Mole of H+ eq.]</c:v>
                </c:pt>
                <c:pt idx="1">
                  <c:v>Climate change midpoint, excl biogenic carbon (v1.09) [kg CO2-Equiv.]</c:v>
                </c:pt>
                <c:pt idx="2">
                  <c:v>Climate change midpoint, incl biogenic carbon (v1.09) [kg CO2-Equiv.]</c:v>
                </c:pt>
                <c:pt idx="3">
                  <c:v>Ecotoxicity freshwater midpoint (v1.09) [CTUe]</c:v>
                </c:pt>
                <c:pt idx="4">
                  <c:v>Eutrophication freshwater midpoint (v1.09) [kg P eq]</c:v>
                </c:pt>
                <c:pt idx="5">
                  <c:v>Eutrophication marine midpoint (v1.09) [kg N-Equiv.]</c:v>
                </c:pt>
                <c:pt idx="6">
                  <c:v>Eutrophication terrestrial midpoint (v1.09) [Mole of N eq.]</c:v>
                </c:pt>
                <c:pt idx="7">
                  <c:v>Human toxicity midpoint, cancer effects (v1.09) [CTUh]</c:v>
                </c:pt>
                <c:pt idx="8">
                  <c:v>Human toxicity midpoint, non-cancer effects (v1.09) [CTUh]</c:v>
                </c:pt>
                <c:pt idx="9">
                  <c:v>Ionizing radiation midpoint, human health (v1.09) [kBq U235 eq]</c:v>
                </c:pt>
                <c:pt idx="10">
                  <c:v>Ozone depletion midpoint (v1.09) [kg CFC-11 eq]</c:v>
                </c:pt>
                <c:pt idx="11">
                  <c:v>Particulate matter/Respiratory inorganics midpoint (v1.09) [kg PM2,5-Equiv.]</c:v>
                </c:pt>
                <c:pt idx="12">
                  <c:v>Photochemical ozone formation midpoint, human health (v1.09) [kg NMVOC]</c:v>
                </c:pt>
                <c:pt idx="13">
                  <c:v>Resource depletion water, midpoint (v1.09) [m³ eq.]</c:v>
                </c:pt>
                <c:pt idx="14">
                  <c:v>Resource depletion, mineral, fossils and renewables, midpoint (v1.09) [kg Sb-Equiv.]</c:v>
                </c:pt>
                <c:pt idx="15">
                  <c:v>Primary energy demand from ren. and non ren. resources (net cal. value) [MJ]</c:v>
                </c:pt>
                <c:pt idx="16">
                  <c:v>Primary energy from non renewable resources (net cal. value) [MJ]</c:v>
                </c:pt>
                <c:pt idx="17">
                  <c:v>Primary energy from renewable resources (net cal. value) [MJ]</c:v>
                </c:pt>
              </c:strCache>
            </c:strRef>
          </c:cat>
          <c:val>
            <c:numRef>
              <c:f>'autoLCA Results'!$D$66:$D$83</c:f>
              <c:numCache>
                <c:formatCode>0.00E+00</c:formatCode>
                <c:ptCount val="18"/>
              </c:numCache>
            </c:numRef>
          </c:val>
          <c:extLst>
            <c:ext xmlns:c16="http://schemas.microsoft.com/office/drawing/2014/chart" uri="{C3380CC4-5D6E-409C-BE32-E72D297353CC}">
              <c16:uniqueId val="{00000002-10F3-4516-8A7D-E1722D72C99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100"/>
        <c:axId val="298258464"/>
        <c:axId val="298258856"/>
      </c:barChart>
      <c:catAx>
        <c:axId val="298258464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low"/>
        <c:spPr>
          <a:noFill/>
          <a:ln w="12700" cap="flat" cmpd="sng" algn="ctr">
            <a:solidFill>
              <a:srgbClr val="5C7F92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298258856"/>
        <c:crosses val="autoZero"/>
        <c:auto val="1"/>
        <c:lblAlgn val="ctr"/>
        <c:lblOffset val="100"/>
        <c:noMultiLvlLbl val="0"/>
      </c:catAx>
      <c:valAx>
        <c:axId val="298258856"/>
        <c:scaling>
          <c:orientation val="minMax"/>
        </c:scaling>
        <c:delete val="0"/>
        <c:axPos val="t"/>
        <c:majorGridlines>
          <c:spPr>
            <a:ln w="9525" cap="flat" cmpd="sng" algn="ctr">
              <a:solidFill>
                <a:srgbClr val="99ADB7"/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29825846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54587701158567303"/>
          <c:y val="9.6759259259259264E-3"/>
          <c:w val="0.45381213711922369"/>
          <c:h val="8.302641136647588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rgbClr val="5C7F92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en-US">
                <a:solidFill>
                  <a:sysClr val="windowText" lastClr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ILCD/PEF Recommended - Contender 1</a:t>
            </a:r>
          </a:p>
        </c:rich>
      </c:tx>
      <c:layout>
        <c:manualLayout>
          <c:xMode val="edge"/>
          <c:yMode val="edge"/>
          <c:x val="7.0282881306505372E-4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44242053700506695"/>
          <c:y val="0.13664195484336389"/>
          <c:w val="0.53443148483444913"/>
          <c:h val="0.84410062777240569"/>
        </c:manualLayout>
      </c:layout>
      <c:barChart>
        <c:barDir val="bar"/>
        <c:grouping val="percentStacked"/>
        <c:varyColors val="0"/>
        <c:ser>
          <c:idx val="0"/>
          <c:order val="0"/>
          <c:tx>
            <c:strRef>
              <c:f>'autoLCA Results'!$B$65</c:f>
              <c:strCache>
                <c:ptCount val="1"/>
                <c:pt idx="0">
                  <c:v>Vehicle Production</c:v>
                </c:pt>
              </c:strCache>
            </c:strRef>
          </c:tx>
          <c:spPr>
            <a:solidFill>
              <a:srgbClr val="F4C000"/>
            </a:solidFill>
            <a:ln>
              <a:solidFill>
                <a:srgbClr val="F4C000"/>
              </a:solidFill>
            </a:ln>
            <a:effectLst/>
          </c:spPr>
          <c:invertIfNegative val="0"/>
          <c:cat>
            <c:strRef>
              <c:f>'autoLCA Results'!$A$90:$A$107</c:f>
              <c:strCache>
                <c:ptCount val="18"/>
                <c:pt idx="0">
                  <c:v>Acidification midpoint (v1.09) [Mole of H+ eq.]</c:v>
                </c:pt>
                <c:pt idx="1">
                  <c:v>Climate change midpoint, excl biogenic carbon (v1.09) [kg CO2-Equiv.]</c:v>
                </c:pt>
                <c:pt idx="2">
                  <c:v>Climate change midpoint, incl biogenic carbon (v1.09) [kg CO2-Equiv.]</c:v>
                </c:pt>
                <c:pt idx="3">
                  <c:v>Ecotoxicity freshwater midpoint (v1.09) [CTUe]</c:v>
                </c:pt>
                <c:pt idx="4">
                  <c:v>Eutrophication freshwater midpoint (v1.09) [kg P eq]</c:v>
                </c:pt>
                <c:pt idx="5">
                  <c:v>Eutrophication marine midpoint (v1.09) [kg N-Equiv.]</c:v>
                </c:pt>
                <c:pt idx="6">
                  <c:v>Eutrophication terrestrial midpoint (v1.09) [Mole of N eq.]</c:v>
                </c:pt>
                <c:pt idx="7">
                  <c:v>Human toxicity midpoint, cancer effects (v1.09) [CTUh]</c:v>
                </c:pt>
                <c:pt idx="8">
                  <c:v>Human toxicity midpoint, non-cancer effects (v1.09) [CTUh]</c:v>
                </c:pt>
                <c:pt idx="9">
                  <c:v>Ionizing radiation midpoint, human health (v1.09) [kBq U235 eq]</c:v>
                </c:pt>
                <c:pt idx="10">
                  <c:v>Ozone depletion midpoint (v1.09) [kg CFC-11 eq]</c:v>
                </c:pt>
                <c:pt idx="11">
                  <c:v>Particulate matter/Respiratory inorganics midpoint (v1.09) [kg PM2,5-Equiv.]</c:v>
                </c:pt>
                <c:pt idx="12">
                  <c:v>Photochemical ozone formation midpoint, human health (v1.09) [kg NMVOC]</c:v>
                </c:pt>
                <c:pt idx="13">
                  <c:v>Resource depletion water, midpoint (v1.09) [m³ eq.]</c:v>
                </c:pt>
                <c:pt idx="14">
                  <c:v>Resource depletion, mineral, fossils and renewables, midpoint (v1.09) [kg Sb-Equiv.]</c:v>
                </c:pt>
                <c:pt idx="15">
                  <c:v>Primary energy demand from ren. and non ren. resources (net cal. value) [MJ]</c:v>
                </c:pt>
                <c:pt idx="16">
                  <c:v>Primary energy from non renewable resources (net cal. value) [MJ]</c:v>
                </c:pt>
                <c:pt idx="17">
                  <c:v>Primary energy from renewable resources (net cal. value) [MJ]</c:v>
                </c:pt>
              </c:strCache>
            </c:strRef>
          </c:cat>
          <c:val>
            <c:numRef>
              <c:f>'autoLCA Results'!$B$90:$B$107</c:f>
              <c:numCache>
                <c:formatCode>0.00E+00</c:formatCode>
                <c:ptCount val="18"/>
              </c:numCache>
            </c:numRef>
          </c:val>
          <c:extLst>
            <c:ext xmlns:c16="http://schemas.microsoft.com/office/drawing/2014/chart" uri="{C3380CC4-5D6E-409C-BE32-E72D297353CC}">
              <c16:uniqueId val="{00000000-1118-47B7-8C9B-30BE2EA68CB5}"/>
            </c:ext>
          </c:extLst>
        </c:ser>
        <c:ser>
          <c:idx val="1"/>
          <c:order val="1"/>
          <c:tx>
            <c:strRef>
              <c:f>'autoLCA Results'!$C$65</c:f>
              <c:strCache>
                <c:ptCount val="1"/>
                <c:pt idx="0">
                  <c:v>Use Phase</c:v>
                </c:pt>
              </c:strCache>
            </c:strRef>
          </c:tx>
          <c:spPr>
            <a:pattFill prst="wdUpDiag">
              <a:fgClr>
                <a:srgbClr val="F4C000"/>
              </a:fgClr>
              <a:bgClr>
                <a:schemeClr val="bg1"/>
              </a:bgClr>
            </a:pattFill>
            <a:ln>
              <a:solidFill>
                <a:srgbClr val="F4C000"/>
              </a:solidFill>
            </a:ln>
            <a:effectLst/>
          </c:spPr>
          <c:invertIfNegative val="0"/>
          <c:cat>
            <c:strRef>
              <c:f>'autoLCA Results'!$A$90:$A$107</c:f>
              <c:strCache>
                <c:ptCount val="18"/>
                <c:pt idx="0">
                  <c:v>Acidification midpoint (v1.09) [Mole of H+ eq.]</c:v>
                </c:pt>
                <c:pt idx="1">
                  <c:v>Climate change midpoint, excl biogenic carbon (v1.09) [kg CO2-Equiv.]</c:v>
                </c:pt>
                <c:pt idx="2">
                  <c:v>Climate change midpoint, incl biogenic carbon (v1.09) [kg CO2-Equiv.]</c:v>
                </c:pt>
                <c:pt idx="3">
                  <c:v>Ecotoxicity freshwater midpoint (v1.09) [CTUe]</c:v>
                </c:pt>
                <c:pt idx="4">
                  <c:v>Eutrophication freshwater midpoint (v1.09) [kg P eq]</c:v>
                </c:pt>
                <c:pt idx="5">
                  <c:v>Eutrophication marine midpoint (v1.09) [kg N-Equiv.]</c:v>
                </c:pt>
                <c:pt idx="6">
                  <c:v>Eutrophication terrestrial midpoint (v1.09) [Mole of N eq.]</c:v>
                </c:pt>
                <c:pt idx="7">
                  <c:v>Human toxicity midpoint, cancer effects (v1.09) [CTUh]</c:v>
                </c:pt>
                <c:pt idx="8">
                  <c:v>Human toxicity midpoint, non-cancer effects (v1.09) [CTUh]</c:v>
                </c:pt>
                <c:pt idx="9">
                  <c:v>Ionizing radiation midpoint, human health (v1.09) [kBq U235 eq]</c:v>
                </c:pt>
                <c:pt idx="10">
                  <c:v>Ozone depletion midpoint (v1.09) [kg CFC-11 eq]</c:v>
                </c:pt>
                <c:pt idx="11">
                  <c:v>Particulate matter/Respiratory inorganics midpoint (v1.09) [kg PM2,5-Equiv.]</c:v>
                </c:pt>
                <c:pt idx="12">
                  <c:v>Photochemical ozone formation midpoint, human health (v1.09) [kg NMVOC]</c:v>
                </c:pt>
                <c:pt idx="13">
                  <c:v>Resource depletion water, midpoint (v1.09) [m³ eq.]</c:v>
                </c:pt>
                <c:pt idx="14">
                  <c:v>Resource depletion, mineral, fossils and renewables, midpoint (v1.09) [kg Sb-Equiv.]</c:v>
                </c:pt>
                <c:pt idx="15">
                  <c:v>Primary energy demand from ren. and non ren. resources (net cal. value) [MJ]</c:v>
                </c:pt>
                <c:pt idx="16">
                  <c:v>Primary energy from non renewable resources (net cal. value) [MJ]</c:v>
                </c:pt>
                <c:pt idx="17">
                  <c:v>Primary energy from renewable resources (net cal. value) [MJ]</c:v>
                </c:pt>
              </c:strCache>
            </c:strRef>
          </c:cat>
          <c:val>
            <c:numRef>
              <c:f>'autoLCA Results'!$C$90:$C$107</c:f>
              <c:numCache>
                <c:formatCode>0.00E+00</c:formatCode>
                <c:ptCount val="18"/>
              </c:numCache>
            </c:numRef>
          </c:val>
          <c:extLst>
            <c:ext xmlns:c16="http://schemas.microsoft.com/office/drawing/2014/chart" uri="{C3380CC4-5D6E-409C-BE32-E72D297353CC}">
              <c16:uniqueId val="{00000001-1118-47B7-8C9B-30BE2EA68CB5}"/>
            </c:ext>
          </c:extLst>
        </c:ser>
        <c:ser>
          <c:idx val="2"/>
          <c:order val="2"/>
          <c:tx>
            <c:strRef>
              <c:f>'autoLCA Results'!$D$65</c:f>
              <c:strCache>
                <c:ptCount val="1"/>
                <c:pt idx="0">
                  <c:v>Vehicle EoL</c:v>
                </c:pt>
              </c:strCache>
            </c:strRef>
          </c:tx>
          <c:spPr>
            <a:solidFill>
              <a:schemeClr val="bg1"/>
            </a:solidFill>
            <a:ln>
              <a:solidFill>
                <a:srgbClr val="F4C000"/>
              </a:solidFill>
            </a:ln>
            <a:effectLst/>
          </c:spPr>
          <c:invertIfNegative val="0"/>
          <c:cat>
            <c:strRef>
              <c:f>'autoLCA Results'!$A$90:$A$107</c:f>
              <c:strCache>
                <c:ptCount val="18"/>
                <c:pt idx="0">
                  <c:v>Acidification midpoint (v1.09) [Mole of H+ eq.]</c:v>
                </c:pt>
                <c:pt idx="1">
                  <c:v>Climate change midpoint, excl biogenic carbon (v1.09) [kg CO2-Equiv.]</c:v>
                </c:pt>
                <c:pt idx="2">
                  <c:v>Climate change midpoint, incl biogenic carbon (v1.09) [kg CO2-Equiv.]</c:v>
                </c:pt>
                <c:pt idx="3">
                  <c:v>Ecotoxicity freshwater midpoint (v1.09) [CTUe]</c:v>
                </c:pt>
                <c:pt idx="4">
                  <c:v>Eutrophication freshwater midpoint (v1.09) [kg P eq]</c:v>
                </c:pt>
                <c:pt idx="5">
                  <c:v>Eutrophication marine midpoint (v1.09) [kg N-Equiv.]</c:v>
                </c:pt>
                <c:pt idx="6">
                  <c:v>Eutrophication terrestrial midpoint (v1.09) [Mole of N eq.]</c:v>
                </c:pt>
                <c:pt idx="7">
                  <c:v>Human toxicity midpoint, cancer effects (v1.09) [CTUh]</c:v>
                </c:pt>
                <c:pt idx="8">
                  <c:v>Human toxicity midpoint, non-cancer effects (v1.09) [CTUh]</c:v>
                </c:pt>
                <c:pt idx="9">
                  <c:v>Ionizing radiation midpoint, human health (v1.09) [kBq U235 eq]</c:v>
                </c:pt>
                <c:pt idx="10">
                  <c:v>Ozone depletion midpoint (v1.09) [kg CFC-11 eq]</c:v>
                </c:pt>
                <c:pt idx="11">
                  <c:v>Particulate matter/Respiratory inorganics midpoint (v1.09) [kg PM2,5-Equiv.]</c:v>
                </c:pt>
                <c:pt idx="12">
                  <c:v>Photochemical ozone formation midpoint, human health (v1.09) [kg NMVOC]</c:v>
                </c:pt>
                <c:pt idx="13">
                  <c:v>Resource depletion water, midpoint (v1.09) [m³ eq.]</c:v>
                </c:pt>
                <c:pt idx="14">
                  <c:v>Resource depletion, mineral, fossils and renewables, midpoint (v1.09) [kg Sb-Equiv.]</c:v>
                </c:pt>
                <c:pt idx="15">
                  <c:v>Primary energy demand from ren. and non ren. resources (net cal. value) [MJ]</c:v>
                </c:pt>
                <c:pt idx="16">
                  <c:v>Primary energy from non renewable resources (net cal. value) [MJ]</c:v>
                </c:pt>
                <c:pt idx="17">
                  <c:v>Primary energy from renewable resources (net cal. value) [MJ]</c:v>
                </c:pt>
              </c:strCache>
            </c:strRef>
          </c:cat>
          <c:val>
            <c:numRef>
              <c:f>'autoLCA Results'!$D$90:$D$107</c:f>
              <c:numCache>
                <c:formatCode>0.00E+00</c:formatCode>
                <c:ptCount val="18"/>
              </c:numCache>
            </c:numRef>
          </c:val>
          <c:extLst>
            <c:ext xmlns:c16="http://schemas.microsoft.com/office/drawing/2014/chart" uri="{C3380CC4-5D6E-409C-BE32-E72D297353CC}">
              <c16:uniqueId val="{00000002-1118-47B7-8C9B-30BE2EA68CB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100"/>
        <c:axId val="298259640"/>
        <c:axId val="298260032"/>
      </c:barChart>
      <c:catAx>
        <c:axId val="298259640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low"/>
        <c:spPr>
          <a:noFill/>
          <a:ln w="12700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298260032"/>
        <c:crosses val="autoZero"/>
        <c:auto val="1"/>
        <c:lblAlgn val="ctr"/>
        <c:lblOffset val="100"/>
        <c:noMultiLvlLbl val="0"/>
      </c:catAx>
      <c:valAx>
        <c:axId val="298260032"/>
        <c:scaling>
          <c:orientation val="minMax"/>
        </c:scaling>
        <c:delete val="0"/>
        <c:axPos val="t"/>
        <c:majorGridlines>
          <c:spPr>
            <a:ln w="9525" cap="flat" cmpd="sng" algn="ctr">
              <a:solidFill>
                <a:srgbClr val="99ADB7"/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29825964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54587701158567303"/>
          <c:y val="9.6759259259259264E-3"/>
          <c:w val="0.45381213711922369"/>
          <c:h val="8.302641136647588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rgbClr val="5C7F92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en-US">
                <a:solidFill>
                  <a:sysClr val="windowText" lastClr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ILCD/PEF Recommended - Contender 2</a:t>
            </a:r>
          </a:p>
        </c:rich>
      </c:tx>
      <c:layout>
        <c:manualLayout>
          <c:xMode val="edge"/>
          <c:yMode val="edge"/>
          <c:x val="7.0282881306505372E-4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44194786549117265"/>
          <c:y val="0.13664195484336389"/>
          <c:w val="0.53492888709424147"/>
          <c:h val="0.83630335681724"/>
        </c:manualLayout>
      </c:layout>
      <c:barChart>
        <c:barDir val="bar"/>
        <c:grouping val="percentStacked"/>
        <c:varyColors val="0"/>
        <c:ser>
          <c:idx val="0"/>
          <c:order val="0"/>
          <c:tx>
            <c:strRef>
              <c:f>'autoLCA Results'!$B$65</c:f>
              <c:strCache>
                <c:ptCount val="1"/>
                <c:pt idx="0">
                  <c:v>Vehicle Production</c:v>
                </c:pt>
              </c:strCache>
            </c:strRef>
          </c:tx>
          <c:spPr>
            <a:solidFill>
              <a:srgbClr val="841C80"/>
            </a:solidFill>
            <a:ln>
              <a:solidFill>
                <a:srgbClr val="841C80"/>
              </a:solidFill>
            </a:ln>
            <a:effectLst/>
          </c:spPr>
          <c:invertIfNegative val="0"/>
          <c:cat>
            <c:strRef>
              <c:f>'autoLCA Results'!$A$114:$A$131</c:f>
              <c:strCache>
                <c:ptCount val="18"/>
                <c:pt idx="0">
                  <c:v>Acidification midpoint (v1.09) [Mole of H+ eq.]</c:v>
                </c:pt>
                <c:pt idx="1">
                  <c:v>Climate change midpoint, excl biogenic carbon (v1.09) [kg CO2-Equiv.]</c:v>
                </c:pt>
                <c:pt idx="2">
                  <c:v>Climate change midpoint, incl biogenic carbon (v1.09) [kg CO2-Equiv.]</c:v>
                </c:pt>
                <c:pt idx="3">
                  <c:v>Ecotoxicity freshwater midpoint (v1.09) [CTUe]</c:v>
                </c:pt>
                <c:pt idx="4">
                  <c:v>Eutrophication freshwater midpoint (v1.09) [kg P eq]</c:v>
                </c:pt>
                <c:pt idx="5">
                  <c:v>Eutrophication marine midpoint (v1.09) [kg N-Equiv.]</c:v>
                </c:pt>
                <c:pt idx="6">
                  <c:v>Eutrophication terrestrial midpoint (v1.09) [Mole of N eq.]</c:v>
                </c:pt>
                <c:pt idx="7">
                  <c:v>Human toxicity midpoint, cancer effects (v1.09) [CTUh]</c:v>
                </c:pt>
                <c:pt idx="8">
                  <c:v>Human toxicity midpoint, non-cancer effects (v1.09) [CTUh]</c:v>
                </c:pt>
                <c:pt idx="9">
                  <c:v>Ionizing radiation midpoint, human health (v1.09) [kBq U235 eq]</c:v>
                </c:pt>
                <c:pt idx="10">
                  <c:v>Ozone depletion midpoint (v1.09) [kg CFC-11 eq]</c:v>
                </c:pt>
                <c:pt idx="11">
                  <c:v>Particulate matter/Respiratory inorganics midpoint (v1.09) [kg PM2,5-Equiv.]</c:v>
                </c:pt>
                <c:pt idx="12">
                  <c:v>Photochemical ozone formation midpoint, human health (v1.09) [kg NMVOC]</c:v>
                </c:pt>
                <c:pt idx="13">
                  <c:v>Resource depletion water, midpoint (v1.09) [m³ eq.]</c:v>
                </c:pt>
                <c:pt idx="14">
                  <c:v>Resource depletion, mineral, fossils and renewables, midpoint (v1.09) [kg Sb-Equiv.]</c:v>
                </c:pt>
                <c:pt idx="15">
                  <c:v>Primary energy demand from ren. and non ren. resources (net cal. value) [MJ]</c:v>
                </c:pt>
                <c:pt idx="16">
                  <c:v>Primary energy from non renewable resources (net cal. value) [MJ]</c:v>
                </c:pt>
                <c:pt idx="17">
                  <c:v>Primary energy from renewable resources (net cal. value) [MJ]</c:v>
                </c:pt>
              </c:strCache>
            </c:strRef>
          </c:cat>
          <c:val>
            <c:numRef>
              <c:f>'autoLCA Results'!$B$114:$B$131</c:f>
              <c:numCache>
                <c:formatCode>0.00E+00</c:formatCode>
                <c:ptCount val="18"/>
              </c:numCache>
            </c:numRef>
          </c:val>
          <c:extLst>
            <c:ext xmlns:c16="http://schemas.microsoft.com/office/drawing/2014/chart" uri="{C3380CC4-5D6E-409C-BE32-E72D297353CC}">
              <c16:uniqueId val="{00000000-E671-49F3-A088-924EF98E82E7}"/>
            </c:ext>
          </c:extLst>
        </c:ser>
        <c:ser>
          <c:idx val="1"/>
          <c:order val="1"/>
          <c:tx>
            <c:strRef>
              <c:f>'autoLCA Results'!$C$65</c:f>
              <c:strCache>
                <c:ptCount val="1"/>
                <c:pt idx="0">
                  <c:v>Use Phase</c:v>
                </c:pt>
              </c:strCache>
            </c:strRef>
          </c:tx>
          <c:spPr>
            <a:pattFill prst="wdUpDiag">
              <a:fgClr>
                <a:srgbClr val="841C80"/>
              </a:fgClr>
              <a:bgClr>
                <a:schemeClr val="bg1"/>
              </a:bgClr>
            </a:pattFill>
            <a:ln>
              <a:solidFill>
                <a:srgbClr val="841C80"/>
              </a:solidFill>
            </a:ln>
            <a:effectLst/>
          </c:spPr>
          <c:invertIfNegative val="0"/>
          <c:cat>
            <c:strRef>
              <c:f>'autoLCA Results'!$A$114:$A$131</c:f>
              <c:strCache>
                <c:ptCount val="18"/>
                <c:pt idx="0">
                  <c:v>Acidification midpoint (v1.09) [Mole of H+ eq.]</c:v>
                </c:pt>
                <c:pt idx="1">
                  <c:v>Climate change midpoint, excl biogenic carbon (v1.09) [kg CO2-Equiv.]</c:v>
                </c:pt>
                <c:pt idx="2">
                  <c:v>Climate change midpoint, incl biogenic carbon (v1.09) [kg CO2-Equiv.]</c:v>
                </c:pt>
                <c:pt idx="3">
                  <c:v>Ecotoxicity freshwater midpoint (v1.09) [CTUe]</c:v>
                </c:pt>
                <c:pt idx="4">
                  <c:v>Eutrophication freshwater midpoint (v1.09) [kg P eq]</c:v>
                </c:pt>
                <c:pt idx="5">
                  <c:v>Eutrophication marine midpoint (v1.09) [kg N-Equiv.]</c:v>
                </c:pt>
                <c:pt idx="6">
                  <c:v>Eutrophication terrestrial midpoint (v1.09) [Mole of N eq.]</c:v>
                </c:pt>
                <c:pt idx="7">
                  <c:v>Human toxicity midpoint, cancer effects (v1.09) [CTUh]</c:v>
                </c:pt>
                <c:pt idx="8">
                  <c:v>Human toxicity midpoint, non-cancer effects (v1.09) [CTUh]</c:v>
                </c:pt>
                <c:pt idx="9">
                  <c:v>Ionizing radiation midpoint, human health (v1.09) [kBq U235 eq]</c:v>
                </c:pt>
                <c:pt idx="10">
                  <c:v>Ozone depletion midpoint (v1.09) [kg CFC-11 eq]</c:v>
                </c:pt>
                <c:pt idx="11">
                  <c:v>Particulate matter/Respiratory inorganics midpoint (v1.09) [kg PM2,5-Equiv.]</c:v>
                </c:pt>
                <c:pt idx="12">
                  <c:v>Photochemical ozone formation midpoint, human health (v1.09) [kg NMVOC]</c:v>
                </c:pt>
                <c:pt idx="13">
                  <c:v>Resource depletion water, midpoint (v1.09) [m³ eq.]</c:v>
                </c:pt>
                <c:pt idx="14">
                  <c:v>Resource depletion, mineral, fossils and renewables, midpoint (v1.09) [kg Sb-Equiv.]</c:v>
                </c:pt>
                <c:pt idx="15">
                  <c:v>Primary energy demand from ren. and non ren. resources (net cal. value) [MJ]</c:v>
                </c:pt>
                <c:pt idx="16">
                  <c:v>Primary energy from non renewable resources (net cal. value) [MJ]</c:v>
                </c:pt>
                <c:pt idx="17">
                  <c:v>Primary energy from renewable resources (net cal. value) [MJ]</c:v>
                </c:pt>
              </c:strCache>
            </c:strRef>
          </c:cat>
          <c:val>
            <c:numRef>
              <c:f>'autoLCA Results'!$C$114:$C$131</c:f>
              <c:numCache>
                <c:formatCode>0.00E+00</c:formatCode>
                <c:ptCount val="18"/>
              </c:numCache>
            </c:numRef>
          </c:val>
          <c:extLst>
            <c:ext xmlns:c16="http://schemas.microsoft.com/office/drawing/2014/chart" uri="{C3380CC4-5D6E-409C-BE32-E72D297353CC}">
              <c16:uniqueId val="{00000001-E671-49F3-A088-924EF98E82E7}"/>
            </c:ext>
          </c:extLst>
        </c:ser>
        <c:ser>
          <c:idx val="2"/>
          <c:order val="2"/>
          <c:tx>
            <c:strRef>
              <c:f>'autoLCA Results'!$D$65</c:f>
              <c:strCache>
                <c:ptCount val="1"/>
                <c:pt idx="0">
                  <c:v>Vehicle EoL</c:v>
                </c:pt>
              </c:strCache>
            </c:strRef>
          </c:tx>
          <c:spPr>
            <a:solidFill>
              <a:schemeClr val="bg1"/>
            </a:solidFill>
            <a:ln>
              <a:solidFill>
                <a:srgbClr val="841C80"/>
              </a:solidFill>
            </a:ln>
            <a:effectLst/>
          </c:spPr>
          <c:invertIfNegative val="0"/>
          <c:cat>
            <c:strRef>
              <c:f>'autoLCA Results'!$A$114:$A$131</c:f>
              <c:strCache>
                <c:ptCount val="18"/>
                <c:pt idx="0">
                  <c:v>Acidification midpoint (v1.09) [Mole of H+ eq.]</c:v>
                </c:pt>
                <c:pt idx="1">
                  <c:v>Climate change midpoint, excl biogenic carbon (v1.09) [kg CO2-Equiv.]</c:v>
                </c:pt>
                <c:pt idx="2">
                  <c:v>Climate change midpoint, incl biogenic carbon (v1.09) [kg CO2-Equiv.]</c:v>
                </c:pt>
                <c:pt idx="3">
                  <c:v>Ecotoxicity freshwater midpoint (v1.09) [CTUe]</c:v>
                </c:pt>
                <c:pt idx="4">
                  <c:v>Eutrophication freshwater midpoint (v1.09) [kg P eq]</c:v>
                </c:pt>
                <c:pt idx="5">
                  <c:v>Eutrophication marine midpoint (v1.09) [kg N-Equiv.]</c:v>
                </c:pt>
                <c:pt idx="6">
                  <c:v>Eutrophication terrestrial midpoint (v1.09) [Mole of N eq.]</c:v>
                </c:pt>
                <c:pt idx="7">
                  <c:v>Human toxicity midpoint, cancer effects (v1.09) [CTUh]</c:v>
                </c:pt>
                <c:pt idx="8">
                  <c:v>Human toxicity midpoint, non-cancer effects (v1.09) [CTUh]</c:v>
                </c:pt>
                <c:pt idx="9">
                  <c:v>Ionizing radiation midpoint, human health (v1.09) [kBq U235 eq]</c:v>
                </c:pt>
                <c:pt idx="10">
                  <c:v>Ozone depletion midpoint (v1.09) [kg CFC-11 eq]</c:v>
                </c:pt>
                <c:pt idx="11">
                  <c:v>Particulate matter/Respiratory inorganics midpoint (v1.09) [kg PM2,5-Equiv.]</c:v>
                </c:pt>
                <c:pt idx="12">
                  <c:v>Photochemical ozone formation midpoint, human health (v1.09) [kg NMVOC]</c:v>
                </c:pt>
                <c:pt idx="13">
                  <c:v>Resource depletion water, midpoint (v1.09) [m³ eq.]</c:v>
                </c:pt>
                <c:pt idx="14">
                  <c:v>Resource depletion, mineral, fossils and renewables, midpoint (v1.09) [kg Sb-Equiv.]</c:v>
                </c:pt>
                <c:pt idx="15">
                  <c:v>Primary energy demand from ren. and non ren. resources (net cal. value) [MJ]</c:v>
                </c:pt>
                <c:pt idx="16">
                  <c:v>Primary energy from non renewable resources (net cal. value) [MJ]</c:v>
                </c:pt>
                <c:pt idx="17">
                  <c:v>Primary energy from renewable resources (net cal. value) [MJ]</c:v>
                </c:pt>
              </c:strCache>
            </c:strRef>
          </c:cat>
          <c:val>
            <c:numRef>
              <c:f>'autoLCA Results'!$D$114:$D$131</c:f>
              <c:numCache>
                <c:formatCode>0.00E+00</c:formatCode>
                <c:ptCount val="18"/>
              </c:numCache>
            </c:numRef>
          </c:val>
          <c:extLst>
            <c:ext xmlns:c16="http://schemas.microsoft.com/office/drawing/2014/chart" uri="{C3380CC4-5D6E-409C-BE32-E72D297353CC}">
              <c16:uniqueId val="{00000002-E671-49F3-A088-924EF98E82E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100"/>
        <c:axId val="298260816"/>
        <c:axId val="298261208"/>
      </c:barChart>
      <c:catAx>
        <c:axId val="298260816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low"/>
        <c:spPr>
          <a:noFill/>
          <a:ln w="12700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298261208"/>
        <c:crosses val="autoZero"/>
        <c:auto val="1"/>
        <c:lblAlgn val="ctr"/>
        <c:lblOffset val="100"/>
        <c:noMultiLvlLbl val="0"/>
      </c:catAx>
      <c:valAx>
        <c:axId val="298261208"/>
        <c:scaling>
          <c:orientation val="minMax"/>
        </c:scaling>
        <c:delete val="0"/>
        <c:axPos val="t"/>
        <c:majorGridlines>
          <c:spPr>
            <a:ln w="9525" cap="flat" cmpd="sng" algn="ctr">
              <a:solidFill>
                <a:srgbClr val="99ADB7"/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29826081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54587701158567303"/>
          <c:y val="9.6759259259259264E-3"/>
          <c:w val="0.45381213711922369"/>
          <c:h val="8.302641136647588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rgbClr val="5C7F92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'autoLCA Results'!$G$139</c:f>
          <c:strCache>
            <c:ptCount val="1"/>
            <c:pt idx="0">
              <c:v>TRACI 2.1, Ecotoxicity (recommended) </c:v>
            </c:pt>
          </c:strCache>
        </c:strRef>
      </c:tx>
      <c:overlay val="0"/>
      <c:txPr>
        <a:bodyPr/>
        <a:lstStyle/>
        <a:p>
          <a:pPr>
            <a:defRPr sz="1200">
              <a:latin typeface="Arial" panose="020B0604020202020204" pitchFamily="34" charset="0"/>
              <a:cs typeface="Arial" panose="020B0604020202020204" pitchFamily="34" charset="0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1752930883639547"/>
          <c:y val="0.12954243218514963"/>
          <c:w val="0.66516724992709242"/>
          <c:h val="0.7402729019862172"/>
        </c:manualLayout>
      </c:layout>
      <c:lineChart>
        <c:grouping val="standard"/>
        <c:varyColors val="0"/>
        <c:ser>
          <c:idx val="0"/>
          <c:order val="0"/>
          <c:tx>
            <c:strRef>
              <c:f>'autoLCA Results'!$I$41</c:f>
              <c:strCache>
                <c:ptCount val="1"/>
                <c:pt idx="0">
                  <c:v>Baseline</c:v>
                </c:pt>
              </c:strCache>
            </c:strRef>
          </c:tx>
          <c:spPr>
            <a:ln>
              <a:solidFill>
                <a:srgbClr val="00AAE7"/>
              </a:solidFill>
            </a:ln>
          </c:spPr>
          <c:marker>
            <c:symbol val="none"/>
          </c:marker>
          <c:cat>
            <c:strRef>
              <c:f>'autoLCA Results'!$H$141:$H$147</c:f>
              <c:strCache>
                <c:ptCount val="7"/>
                <c:pt idx="0">
                  <c:v>Production</c:v>
                </c:pt>
                <c:pt idx="1">
                  <c:v>40,000</c:v>
                </c:pt>
                <c:pt idx="2">
                  <c:v>80,000</c:v>
                </c:pt>
                <c:pt idx="3">
                  <c:v>120,000</c:v>
                </c:pt>
                <c:pt idx="4">
                  <c:v>160,000</c:v>
                </c:pt>
                <c:pt idx="5">
                  <c:v>EOL</c:v>
                </c:pt>
                <c:pt idx="6">
                  <c:v>Total</c:v>
                </c:pt>
              </c:strCache>
            </c:strRef>
          </c:cat>
          <c:val>
            <c:numRef>
              <c:f>'autoLCA Results'!$I$141:$I$147</c:f>
              <c:numCache>
                <c:formatCode>#,##0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7FD-45FC-B127-10B0CDAC8217}"/>
            </c:ext>
          </c:extLst>
        </c:ser>
        <c:ser>
          <c:idx val="1"/>
          <c:order val="1"/>
          <c:tx>
            <c:strRef>
              <c:f>'autoLCA Results'!$J$41</c:f>
              <c:strCache>
                <c:ptCount val="1"/>
                <c:pt idx="0">
                  <c:v>Contender 1</c:v>
                </c:pt>
              </c:strCache>
            </c:strRef>
          </c:tx>
          <c:spPr>
            <a:ln>
              <a:solidFill>
                <a:srgbClr val="F4C000"/>
              </a:solidFill>
            </a:ln>
          </c:spPr>
          <c:marker>
            <c:symbol val="none"/>
          </c:marker>
          <c:cat>
            <c:strRef>
              <c:f>'autoLCA Results'!$H$141:$H$147</c:f>
              <c:strCache>
                <c:ptCount val="7"/>
                <c:pt idx="0">
                  <c:v>Production</c:v>
                </c:pt>
                <c:pt idx="1">
                  <c:v>40,000</c:v>
                </c:pt>
                <c:pt idx="2">
                  <c:v>80,000</c:v>
                </c:pt>
                <c:pt idx="3">
                  <c:v>120,000</c:v>
                </c:pt>
                <c:pt idx="4">
                  <c:v>160,000</c:v>
                </c:pt>
                <c:pt idx="5">
                  <c:v>EOL</c:v>
                </c:pt>
                <c:pt idx="6">
                  <c:v>Total</c:v>
                </c:pt>
              </c:strCache>
            </c:strRef>
          </c:cat>
          <c:val>
            <c:numRef>
              <c:f>'autoLCA Results'!$J$141:$J$147</c:f>
              <c:numCache>
                <c:formatCode>#,##0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7FD-45FC-B127-10B0CDAC8217}"/>
            </c:ext>
          </c:extLst>
        </c:ser>
        <c:ser>
          <c:idx val="2"/>
          <c:order val="2"/>
          <c:tx>
            <c:strRef>
              <c:f>'autoLCA Results'!$K$41</c:f>
              <c:strCache>
                <c:ptCount val="1"/>
                <c:pt idx="0">
                  <c:v>Contender 2</c:v>
                </c:pt>
              </c:strCache>
            </c:strRef>
          </c:tx>
          <c:spPr>
            <a:ln>
              <a:solidFill>
                <a:srgbClr val="841C80"/>
              </a:solidFill>
            </a:ln>
          </c:spPr>
          <c:marker>
            <c:symbol val="none"/>
          </c:marker>
          <c:cat>
            <c:strRef>
              <c:f>'autoLCA Results'!$H$141:$H$147</c:f>
              <c:strCache>
                <c:ptCount val="7"/>
                <c:pt idx="0">
                  <c:v>Production</c:v>
                </c:pt>
                <c:pt idx="1">
                  <c:v>40,000</c:v>
                </c:pt>
                <c:pt idx="2">
                  <c:v>80,000</c:v>
                </c:pt>
                <c:pt idx="3">
                  <c:v>120,000</c:v>
                </c:pt>
                <c:pt idx="4">
                  <c:v>160,000</c:v>
                </c:pt>
                <c:pt idx="5">
                  <c:v>EOL</c:v>
                </c:pt>
                <c:pt idx="6">
                  <c:v>Total</c:v>
                </c:pt>
              </c:strCache>
            </c:strRef>
          </c:cat>
          <c:val>
            <c:numRef>
              <c:f>'autoLCA Results'!$K$141:$K$147</c:f>
              <c:numCache>
                <c:formatCode>#,##0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7FD-45FC-B127-10B0CDAC821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98560152"/>
        <c:axId val="298560544"/>
      </c:lineChart>
      <c:catAx>
        <c:axId val="29856015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800">
                    <a:latin typeface="Arial" panose="020B0604020202020204" pitchFamily="34" charset="0"/>
                    <a:cs typeface="Arial" panose="020B0604020202020204" pitchFamily="34" charset="0"/>
                  </a:defRPr>
                </a:pPr>
                <a:r>
                  <a:rPr lang="en-US" sz="800">
                    <a:latin typeface="Arial" panose="020B0604020202020204" pitchFamily="34" charset="0"/>
                    <a:cs typeface="Arial" panose="020B0604020202020204" pitchFamily="34" charset="0"/>
                  </a:rPr>
                  <a:t>Driving Distance (km)</a:t>
                </a:r>
              </a:p>
            </c:rich>
          </c:tx>
          <c:overlay val="0"/>
        </c:title>
        <c:numFmt formatCode="General" sourceLinked="0"/>
        <c:majorTickMark val="out"/>
        <c:minorTickMark val="none"/>
        <c:tickLblPos val="nextTo"/>
        <c:txPr>
          <a:bodyPr rot="0"/>
          <a:lstStyle/>
          <a:p>
            <a:pPr>
              <a:defRPr sz="800" b="0">
                <a:latin typeface="Arial" pitchFamily="34" charset="0"/>
                <a:cs typeface="Arial" pitchFamily="34" charset="0"/>
              </a:defRPr>
            </a:pPr>
            <a:endParaRPr lang="en-US"/>
          </a:p>
        </c:txPr>
        <c:crossAx val="298560544"/>
        <c:crosses val="autoZero"/>
        <c:auto val="1"/>
        <c:lblAlgn val="ctr"/>
        <c:lblOffset val="300"/>
        <c:tickMarkSkip val="1"/>
        <c:noMultiLvlLbl val="0"/>
      </c:catAx>
      <c:valAx>
        <c:axId val="298560544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title>
          <c:tx>
            <c:strRef>
              <c:f>'autoLCA Results'!$G$138</c:f>
              <c:strCache>
                <c:ptCount val="1"/>
                <c:pt idx="0">
                  <c:v>CTUe</c:v>
                </c:pt>
              </c:strCache>
            </c:strRef>
          </c:tx>
          <c:overlay val="0"/>
          <c:txPr>
            <a:bodyPr/>
            <a:lstStyle/>
            <a:p>
              <a:pPr>
                <a:defRPr sz="800">
                  <a:latin typeface="Arial" panose="020B0604020202020204" pitchFamily="34" charset="0"/>
                  <a:cs typeface="Arial" panose="020B0604020202020204" pitchFamily="34" charset="0"/>
                </a:defRPr>
              </a:pPr>
              <a:endParaRPr lang="en-US"/>
            </a:p>
          </c:txPr>
        </c:title>
        <c:numFmt formatCode="0.00E+00" sourceLinked="0"/>
        <c:majorTickMark val="out"/>
        <c:minorTickMark val="none"/>
        <c:tickLblPos val="nextTo"/>
        <c:txPr>
          <a:bodyPr/>
          <a:lstStyle/>
          <a:p>
            <a:pPr>
              <a:defRPr sz="800" b="0" baseline="0">
                <a:latin typeface="Arial" pitchFamily="34" charset="0"/>
              </a:defRPr>
            </a:pPr>
            <a:endParaRPr lang="en-US"/>
          </a:p>
        </c:txPr>
        <c:crossAx val="298560152"/>
        <c:crosses val="autoZero"/>
        <c:crossBetween val="midCat"/>
      </c:valAx>
    </c:plotArea>
    <c:legend>
      <c:legendPos val="r"/>
      <c:overlay val="0"/>
      <c:txPr>
        <a:bodyPr/>
        <a:lstStyle/>
        <a:p>
          <a:pPr>
            <a:defRPr sz="800">
              <a:latin typeface="Arial" pitchFamily="34" charset="0"/>
              <a:cs typeface="Arial" pitchFamily="34" charset="0"/>
            </a:defRPr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1" i="0" u="none" strike="noStrike" kern="1200" spc="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en-US" sz="1200" b="1">
                <a:solidFill>
                  <a:sysClr val="windowText" lastClr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TRACI 2.1- All Scenarios</a:t>
            </a:r>
          </a:p>
        </c:rich>
      </c:tx>
      <c:layout>
        <c:manualLayout>
          <c:xMode val="edge"/>
          <c:yMode val="edge"/>
          <c:x val="7.0282881306502965E-4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1" i="0" u="none" strike="noStrike" kern="1200" spc="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2814059710705822"/>
          <c:y val="0.12371588502864901"/>
          <c:w val="0.84842057003563609"/>
          <c:h val="0.86355518216078098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'autoLCA Results'!$B$40</c:f>
              <c:strCache>
                <c:ptCount val="1"/>
                <c:pt idx="0">
                  <c:v>Baseline</c:v>
                </c:pt>
              </c:strCache>
            </c:strRef>
          </c:tx>
          <c:spPr>
            <a:solidFill>
              <a:srgbClr val="00AAE7"/>
            </a:solidFill>
            <a:ln>
              <a:noFill/>
            </a:ln>
            <a:effectLst/>
          </c:spPr>
          <c:invertIfNegative val="0"/>
          <c:cat>
            <c:strRef>
              <c:f>'autoLCA Results'!$A$142:$A$155</c:f>
              <c:strCache>
                <c:ptCount val="14"/>
                <c:pt idx="0">
                  <c:v>TRACI 2.1, Acidification [kg SO2-Equiv.]</c:v>
                </c:pt>
                <c:pt idx="1">
                  <c:v>TRACI 2.1, Ecotoxicity (recommended) [CTUe]</c:v>
                </c:pt>
                <c:pt idx="2">
                  <c:v>TRACI 2.1, Eutrophication [kg N-Equiv.]</c:v>
                </c:pt>
                <c:pt idx="3">
                  <c:v>TRACI 2.1, Global Warming Air, excl. biogenic carbon [kg CO2-Equiv.]</c:v>
                </c:pt>
                <c:pt idx="4">
                  <c:v>TRACI 2.1, Global Warming Air, incl. biogenic carbon [kg CO2-Equiv.]</c:v>
                </c:pt>
                <c:pt idx="5">
                  <c:v>TRACI 2.1, Human Health Particulate Air [kg PM2,5-Equiv.]</c:v>
                </c:pt>
                <c:pt idx="6">
                  <c:v>TRACI 2.1, Human toxicity, cancer (recommended) [CTUh]</c:v>
                </c:pt>
                <c:pt idx="7">
                  <c:v>TRACI 2.1, Human toxicity, non-canc. (recommended) [CTUh]</c:v>
                </c:pt>
                <c:pt idx="8">
                  <c:v>TRACI 2.1, Ozone Depletion Air [kg CFC 11-Equiv.]</c:v>
                </c:pt>
                <c:pt idx="9">
                  <c:v>TRACI 2.1, Resources, Fossil fuels [MJ surplus energy]</c:v>
                </c:pt>
                <c:pt idx="10">
                  <c:v>TRACI 2.1, Smog Air [kg O3-Equiv.]</c:v>
                </c:pt>
                <c:pt idx="11">
                  <c:v>Primary energy demand from ren. and non ren. resources (net cal. value) [MJ]</c:v>
                </c:pt>
                <c:pt idx="12">
                  <c:v>Primary energy from non renewable resources (net cal. value) [MJ]</c:v>
                </c:pt>
                <c:pt idx="13">
                  <c:v>Primary energy from renewable resources (net cal. value) [MJ]</c:v>
                </c:pt>
              </c:strCache>
            </c:strRef>
          </c:cat>
          <c:val>
            <c:numRef>
              <c:f>'autoLCA Results'!$B$142:$B$155</c:f>
              <c:numCache>
                <c:formatCode>0.00E+00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0-2CAF-4482-8C7B-EE4A8353753F}"/>
            </c:ext>
          </c:extLst>
        </c:ser>
        <c:ser>
          <c:idx val="1"/>
          <c:order val="1"/>
          <c:tx>
            <c:strRef>
              <c:f>'autoLCA Results'!$C$40</c:f>
              <c:strCache>
                <c:ptCount val="1"/>
                <c:pt idx="0">
                  <c:v>Contender 1</c:v>
                </c:pt>
              </c:strCache>
            </c:strRef>
          </c:tx>
          <c:spPr>
            <a:solidFill>
              <a:srgbClr val="F4C000"/>
            </a:solidFill>
            <a:ln>
              <a:noFill/>
            </a:ln>
            <a:effectLst/>
          </c:spPr>
          <c:invertIfNegative val="0"/>
          <c:cat>
            <c:strRef>
              <c:f>'autoLCA Results'!$A$142:$A$155</c:f>
              <c:strCache>
                <c:ptCount val="14"/>
                <c:pt idx="0">
                  <c:v>TRACI 2.1, Acidification [kg SO2-Equiv.]</c:v>
                </c:pt>
                <c:pt idx="1">
                  <c:v>TRACI 2.1, Ecotoxicity (recommended) [CTUe]</c:v>
                </c:pt>
                <c:pt idx="2">
                  <c:v>TRACI 2.1, Eutrophication [kg N-Equiv.]</c:v>
                </c:pt>
                <c:pt idx="3">
                  <c:v>TRACI 2.1, Global Warming Air, excl. biogenic carbon [kg CO2-Equiv.]</c:v>
                </c:pt>
                <c:pt idx="4">
                  <c:v>TRACI 2.1, Global Warming Air, incl. biogenic carbon [kg CO2-Equiv.]</c:v>
                </c:pt>
                <c:pt idx="5">
                  <c:v>TRACI 2.1, Human Health Particulate Air [kg PM2,5-Equiv.]</c:v>
                </c:pt>
                <c:pt idx="6">
                  <c:v>TRACI 2.1, Human toxicity, cancer (recommended) [CTUh]</c:v>
                </c:pt>
                <c:pt idx="7">
                  <c:v>TRACI 2.1, Human toxicity, non-canc. (recommended) [CTUh]</c:v>
                </c:pt>
                <c:pt idx="8">
                  <c:v>TRACI 2.1, Ozone Depletion Air [kg CFC 11-Equiv.]</c:v>
                </c:pt>
                <c:pt idx="9">
                  <c:v>TRACI 2.1, Resources, Fossil fuels [MJ surplus energy]</c:v>
                </c:pt>
                <c:pt idx="10">
                  <c:v>TRACI 2.1, Smog Air [kg O3-Equiv.]</c:v>
                </c:pt>
                <c:pt idx="11">
                  <c:v>Primary energy demand from ren. and non ren. resources (net cal. value) [MJ]</c:v>
                </c:pt>
                <c:pt idx="12">
                  <c:v>Primary energy from non renewable resources (net cal. value) [MJ]</c:v>
                </c:pt>
                <c:pt idx="13">
                  <c:v>Primary energy from renewable resources (net cal. value) [MJ]</c:v>
                </c:pt>
              </c:strCache>
            </c:strRef>
          </c:cat>
          <c:val>
            <c:numRef>
              <c:f>'autoLCA Results'!$C$142:$C$155</c:f>
              <c:numCache>
                <c:formatCode>0.00E+00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1-2CAF-4482-8C7B-EE4A8353753F}"/>
            </c:ext>
          </c:extLst>
        </c:ser>
        <c:ser>
          <c:idx val="2"/>
          <c:order val="2"/>
          <c:tx>
            <c:strRef>
              <c:f>'autoLCA Results'!$D$40</c:f>
              <c:strCache>
                <c:ptCount val="1"/>
                <c:pt idx="0">
                  <c:v>Contender 2</c:v>
                </c:pt>
              </c:strCache>
            </c:strRef>
          </c:tx>
          <c:spPr>
            <a:solidFill>
              <a:srgbClr val="841C80"/>
            </a:solidFill>
            <a:ln>
              <a:noFill/>
            </a:ln>
            <a:effectLst/>
          </c:spPr>
          <c:invertIfNegative val="0"/>
          <c:cat>
            <c:strRef>
              <c:f>'autoLCA Results'!$A$142:$A$155</c:f>
              <c:strCache>
                <c:ptCount val="14"/>
                <c:pt idx="0">
                  <c:v>TRACI 2.1, Acidification [kg SO2-Equiv.]</c:v>
                </c:pt>
                <c:pt idx="1">
                  <c:v>TRACI 2.1, Ecotoxicity (recommended) [CTUe]</c:v>
                </c:pt>
                <c:pt idx="2">
                  <c:v>TRACI 2.1, Eutrophication [kg N-Equiv.]</c:v>
                </c:pt>
                <c:pt idx="3">
                  <c:v>TRACI 2.1, Global Warming Air, excl. biogenic carbon [kg CO2-Equiv.]</c:v>
                </c:pt>
                <c:pt idx="4">
                  <c:v>TRACI 2.1, Global Warming Air, incl. biogenic carbon [kg CO2-Equiv.]</c:v>
                </c:pt>
                <c:pt idx="5">
                  <c:v>TRACI 2.1, Human Health Particulate Air [kg PM2,5-Equiv.]</c:v>
                </c:pt>
                <c:pt idx="6">
                  <c:v>TRACI 2.1, Human toxicity, cancer (recommended) [CTUh]</c:v>
                </c:pt>
                <c:pt idx="7">
                  <c:v>TRACI 2.1, Human toxicity, non-canc. (recommended) [CTUh]</c:v>
                </c:pt>
                <c:pt idx="8">
                  <c:v>TRACI 2.1, Ozone Depletion Air [kg CFC 11-Equiv.]</c:v>
                </c:pt>
                <c:pt idx="9">
                  <c:v>TRACI 2.1, Resources, Fossil fuels [MJ surplus energy]</c:v>
                </c:pt>
                <c:pt idx="10">
                  <c:v>TRACI 2.1, Smog Air [kg O3-Equiv.]</c:v>
                </c:pt>
                <c:pt idx="11">
                  <c:v>Primary energy demand from ren. and non ren. resources (net cal. value) [MJ]</c:v>
                </c:pt>
                <c:pt idx="12">
                  <c:v>Primary energy from non renewable resources (net cal. value) [MJ]</c:v>
                </c:pt>
                <c:pt idx="13">
                  <c:v>Primary energy from renewable resources (net cal. value) [MJ]</c:v>
                </c:pt>
              </c:strCache>
            </c:strRef>
          </c:cat>
          <c:val>
            <c:numRef>
              <c:f>'autoLCA Results'!$D$142:$D$155</c:f>
              <c:numCache>
                <c:formatCode>0.00E+00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2-2CAF-4482-8C7B-EE4A8353753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298561328"/>
        <c:axId val="298561720"/>
      </c:barChart>
      <c:catAx>
        <c:axId val="298561328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298561720"/>
        <c:crosses val="autoZero"/>
        <c:auto val="1"/>
        <c:lblAlgn val="ctr"/>
        <c:lblOffset val="100"/>
        <c:noMultiLvlLbl val="0"/>
      </c:catAx>
      <c:valAx>
        <c:axId val="298561720"/>
        <c:scaling>
          <c:logBase val="10"/>
          <c:orientation val="minMax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E+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29856132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73155387688868245"/>
          <c:y val="1.2755413810677858E-2"/>
          <c:w val="0.26786859802358298"/>
          <c:h val="6.965990763758152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0" i="0" u="none" strike="noStrike" kern="120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'autoLCA Results'!$G$40</c:f>
          <c:strCache>
            <c:ptCount val="1"/>
            <c:pt idx="0">
              <c:v>ILCD/PEF Recommended, Acidification midpoint (v1.09) </c:v>
            </c:pt>
          </c:strCache>
        </c:strRef>
      </c:tx>
      <c:overlay val="0"/>
      <c:txPr>
        <a:bodyPr/>
        <a:lstStyle/>
        <a:p>
          <a:pPr>
            <a:defRPr sz="1200">
              <a:latin typeface="Arial" panose="020B0604020202020204" pitchFamily="34" charset="0"/>
              <a:cs typeface="Arial" panose="020B0604020202020204" pitchFamily="34" charset="0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1752930883639547"/>
          <c:y val="0.12954243218514963"/>
          <c:w val="0.73738947214931472"/>
          <c:h val="0.79167866215821703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'autoLCA Results'!$I$41</c:f>
              <c:strCache>
                <c:ptCount val="1"/>
                <c:pt idx="0">
                  <c:v>Baseline</c:v>
                </c:pt>
              </c:strCache>
            </c:strRef>
          </c:tx>
          <c:spPr>
            <a:solidFill>
              <a:srgbClr val="00AAE7"/>
            </a:solidFill>
            <a:ln>
              <a:solidFill>
                <a:srgbClr val="00AAE7"/>
              </a:solidFill>
            </a:ln>
          </c:spPr>
          <c:invertIfNegative val="0"/>
          <c:cat>
            <c:strRef>
              <c:f>'autoLCA Results'!$H$50:$H$53</c:f>
              <c:strCache>
                <c:ptCount val="4"/>
                <c:pt idx="0">
                  <c:v>Production</c:v>
                </c:pt>
                <c:pt idx="1">
                  <c:v>Use</c:v>
                </c:pt>
                <c:pt idx="2">
                  <c:v>EOL</c:v>
                </c:pt>
                <c:pt idx="3">
                  <c:v>Total</c:v>
                </c:pt>
              </c:strCache>
            </c:strRef>
          </c:cat>
          <c:val>
            <c:numRef>
              <c:f>'autoLCA Results'!$I$50:$I$53</c:f>
              <c:numCache>
                <c:formatCode>#,##0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0CA-4B43-9FC1-734FE778EFC2}"/>
            </c:ext>
          </c:extLst>
        </c:ser>
        <c:ser>
          <c:idx val="1"/>
          <c:order val="1"/>
          <c:tx>
            <c:strRef>
              <c:f>'autoLCA Results'!$J$41</c:f>
              <c:strCache>
                <c:ptCount val="1"/>
                <c:pt idx="0">
                  <c:v>Contender 1</c:v>
                </c:pt>
              </c:strCache>
            </c:strRef>
          </c:tx>
          <c:spPr>
            <a:solidFill>
              <a:srgbClr val="F4C000"/>
            </a:solidFill>
            <a:ln>
              <a:solidFill>
                <a:srgbClr val="F4C000"/>
              </a:solidFill>
            </a:ln>
          </c:spPr>
          <c:invertIfNegative val="0"/>
          <c:cat>
            <c:strRef>
              <c:f>'autoLCA Results'!$H$50:$H$53</c:f>
              <c:strCache>
                <c:ptCount val="4"/>
                <c:pt idx="0">
                  <c:v>Production</c:v>
                </c:pt>
                <c:pt idx="1">
                  <c:v>Use</c:v>
                </c:pt>
                <c:pt idx="2">
                  <c:v>EOL</c:v>
                </c:pt>
                <c:pt idx="3">
                  <c:v>Total</c:v>
                </c:pt>
              </c:strCache>
            </c:strRef>
          </c:cat>
          <c:val>
            <c:numRef>
              <c:f>'autoLCA Results'!$J$50:$J$53</c:f>
              <c:numCache>
                <c:formatCode>#,##0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0CA-4B43-9FC1-734FE778EFC2}"/>
            </c:ext>
          </c:extLst>
        </c:ser>
        <c:ser>
          <c:idx val="2"/>
          <c:order val="2"/>
          <c:tx>
            <c:strRef>
              <c:f>'autoLCA Results'!$K$41</c:f>
              <c:strCache>
                <c:ptCount val="1"/>
                <c:pt idx="0">
                  <c:v>Contender 2</c:v>
                </c:pt>
              </c:strCache>
            </c:strRef>
          </c:tx>
          <c:spPr>
            <a:solidFill>
              <a:srgbClr val="841C80"/>
            </a:solidFill>
            <a:ln>
              <a:solidFill>
                <a:srgbClr val="841C80"/>
              </a:solidFill>
            </a:ln>
          </c:spPr>
          <c:invertIfNegative val="0"/>
          <c:cat>
            <c:strRef>
              <c:f>'autoLCA Results'!$H$50:$H$53</c:f>
              <c:strCache>
                <c:ptCount val="4"/>
                <c:pt idx="0">
                  <c:v>Production</c:v>
                </c:pt>
                <c:pt idx="1">
                  <c:v>Use</c:v>
                </c:pt>
                <c:pt idx="2">
                  <c:v>EOL</c:v>
                </c:pt>
                <c:pt idx="3">
                  <c:v>Total</c:v>
                </c:pt>
              </c:strCache>
            </c:strRef>
          </c:cat>
          <c:val>
            <c:numRef>
              <c:f>'autoLCA Results'!$K$50:$K$53</c:f>
              <c:numCache>
                <c:formatCode>#,##0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0CA-4B43-9FC1-734FE778EFC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98562504"/>
        <c:axId val="298562896"/>
      </c:barChart>
      <c:catAx>
        <c:axId val="29856250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0"/>
          <a:lstStyle/>
          <a:p>
            <a:pPr>
              <a:defRPr sz="800" b="0">
                <a:latin typeface="Arial" pitchFamily="34" charset="0"/>
                <a:cs typeface="Arial" pitchFamily="34" charset="0"/>
              </a:defRPr>
            </a:pPr>
            <a:endParaRPr lang="en-US"/>
          </a:p>
        </c:txPr>
        <c:crossAx val="298562896"/>
        <c:crosses val="autoZero"/>
        <c:auto val="1"/>
        <c:lblAlgn val="ctr"/>
        <c:lblOffset val="1000"/>
        <c:noMultiLvlLbl val="0"/>
      </c:catAx>
      <c:valAx>
        <c:axId val="298562896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title>
          <c:tx>
            <c:strRef>
              <c:f>'autoLCA Results'!$G$39</c:f>
              <c:strCache>
                <c:ptCount val="1"/>
                <c:pt idx="0">
                  <c:v>Mole of H+ eq.</c:v>
                </c:pt>
              </c:strCache>
            </c:strRef>
          </c:tx>
          <c:overlay val="0"/>
          <c:txPr>
            <a:bodyPr/>
            <a:lstStyle/>
            <a:p>
              <a:pPr>
                <a:defRPr sz="800">
                  <a:latin typeface="Arial" panose="020B0604020202020204" pitchFamily="34" charset="0"/>
                  <a:cs typeface="Arial" panose="020B0604020202020204" pitchFamily="34" charset="0"/>
                </a:defRPr>
              </a:pPr>
              <a:endParaRPr lang="en-US"/>
            </a:p>
          </c:txPr>
        </c:title>
        <c:numFmt formatCode="0.00E+00" sourceLinked="0"/>
        <c:majorTickMark val="out"/>
        <c:minorTickMark val="none"/>
        <c:tickLblPos val="nextTo"/>
        <c:txPr>
          <a:bodyPr/>
          <a:lstStyle/>
          <a:p>
            <a:pPr>
              <a:defRPr sz="800" b="0" baseline="0">
                <a:latin typeface="Arial" pitchFamily="34" charset="0"/>
              </a:defRPr>
            </a:pPr>
            <a:endParaRPr lang="en-US"/>
          </a:p>
        </c:txPr>
        <c:crossAx val="298562504"/>
        <c:crosses val="autoZero"/>
        <c:crossBetween val="between"/>
      </c:valAx>
    </c:plotArea>
    <c:legend>
      <c:legendPos val="r"/>
      <c:overlay val="0"/>
      <c:txPr>
        <a:bodyPr/>
        <a:lstStyle/>
        <a:p>
          <a:pPr>
            <a:defRPr sz="800">
              <a:latin typeface="Arial" pitchFamily="34" charset="0"/>
              <a:cs typeface="Arial" pitchFamily="34" charset="0"/>
            </a:defRPr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'autoLCA Results'!$G$139</c:f>
          <c:strCache>
            <c:ptCount val="1"/>
            <c:pt idx="0">
              <c:v>TRACI 2.1, Ecotoxicity (recommended) </c:v>
            </c:pt>
          </c:strCache>
        </c:strRef>
      </c:tx>
      <c:overlay val="0"/>
      <c:txPr>
        <a:bodyPr/>
        <a:lstStyle/>
        <a:p>
          <a:pPr>
            <a:defRPr sz="1200">
              <a:latin typeface="Arial" panose="020B0604020202020204" pitchFamily="34" charset="0"/>
              <a:cs typeface="Arial" panose="020B0604020202020204" pitchFamily="34" charset="0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1752930883639547"/>
          <c:y val="0.12954243218514963"/>
          <c:w val="0.66516724992709242"/>
          <c:h val="0.79167866215821703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'autoLCA Results'!$I$140</c:f>
              <c:strCache>
                <c:ptCount val="1"/>
                <c:pt idx="0">
                  <c:v>Baseline</c:v>
                </c:pt>
              </c:strCache>
            </c:strRef>
          </c:tx>
          <c:spPr>
            <a:solidFill>
              <a:srgbClr val="00AAE7"/>
            </a:solidFill>
            <a:ln>
              <a:solidFill>
                <a:srgbClr val="00AAE7"/>
              </a:solidFill>
            </a:ln>
          </c:spPr>
          <c:invertIfNegative val="0"/>
          <c:cat>
            <c:strRef>
              <c:f>'autoLCA Results'!$H$50:$H$53</c:f>
              <c:strCache>
                <c:ptCount val="4"/>
                <c:pt idx="0">
                  <c:v>Production</c:v>
                </c:pt>
                <c:pt idx="1">
                  <c:v>Use</c:v>
                </c:pt>
                <c:pt idx="2">
                  <c:v>EOL</c:v>
                </c:pt>
                <c:pt idx="3">
                  <c:v>Total</c:v>
                </c:pt>
              </c:strCache>
            </c:strRef>
          </c:cat>
          <c:val>
            <c:numRef>
              <c:f>'autoLCA Results'!$I$149:$I$152</c:f>
              <c:numCache>
                <c:formatCode>#,##0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E1F-4B00-B001-E05FB6B6CAB4}"/>
            </c:ext>
          </c:extLst>
        </c:ser>
        <c:ser>
          <c:idx val="1"/>
          <c:order val="1"/>
          <c:tx>
            <c:strRef>
              <c:f>'autoLCA Results'!$J$140</c:f>
              <c:strCache>
                <c:ptCount val="1"/>
                <c:pt idx="0">
                  <c:v>Contender 1</c:v>
                </c:pt>
              </c:strCache>
            </c:strRef>
          </c:tx>
          <c:spPr>
            <a:solidFill>
              <a:srgbClr val="F4C000"/>
            </a:solidFill>
            <a:ln>
              <a:solidFill>
                <a:srgbClr val="F4C000"/>
              </a:solidFill>
            </a:ln>
          </c:spPr>
          <c:invertIfNegative val="0"/>
          <c:cat>
            <c:strRef>
              <c:f>'autoLCA Results'!$H$50:$H$53</c:f>
              <c:strCache>
                <c:ptCount val="4"/>
                <c:pt idx="0">
                  <c:v>Production</c:v>
                </c:pt>
                <c:pt idx="1">
                  <c:v>Use</c:v>
                </c:pt>
                <c:pt idx="2">
                  <c:v>EOL</c:v>
                </c:pt>
                <c:pt idx="3">
                  <c:v>Total</c:v>
                </c:pt>
              </c:strCache>
            </c:strRef>
          </c:cat>
          <c:val>
            <c:numRef>
              <c:f>'autoLCA Results'!$J$149:$J$152</c:f>
              <c:numCache>
                <c:formatCode>#,##0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E1F-4B00-B001-E05FB6B6CAB4}"/>
            </c:ext>
          </c:extLst>
        </c:ser>
        <c:ser>
          <c:idx val="2"/>
          <c:order val="2"/>
          <c:tx>
            <c:strRef>
              <c:f>'autoLCA Results'!$K$140</c:f>
              <c:strCache>
                <c:ptCount val="1"/>
                <c:pt idx="0">
                  <c:v>Contender 2</c:v>
                </c:pt>
              </c:strCache>
            </c:strRef>
          </c:tx>
          <c:spPr>
            <a:solidFill>
              <a:srgbClr val="841C80"/>
            </a:solidFill>
            <a:ln>
              <a:solidFill>
                <a:srgbClr val="841C80"/>
              </a:solidFill>
            </a:ln>
          </c:spPr>
          <c:invertIfNegative val="0"/>
          <c:cat>
            <c:strRef>
              <c:f>'autoLCA Results'!$H$50:$H$53</c:f>
              <c:strCache>
                <c:ptCount val="4"/>
                <c:pt idx="0">
                  <c:v>Production</c:v>
                </c:pt>
                <c:pt idx="1">
                  <c:v>Use</c:v>
                </c:pt>
                <c:pt idx="2">
                  <c:v>EOL</c:v>
                </c:pt>
                <c:pt idx="3">
                  <c:v>Total</c:v>
                </c:pt>
              </c:strCache>
            </c:strRef>
          </c:cat>
          <c:val>
            <c:numRef>
              <c:f>'autoLCA Results'!$K$149:$K$152</c:f>
              <c:numCache>
                <c:formatCode>#,##0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E1F-4B00-B001-E05FB6B6CAB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98563680"/>
        <c:axId val="299257616"/>
      </c:barChart>
      <c:catAx>
        <c:axId val="29856368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0"/>
          <a:lstStyle/>
          <a:p>
            <a:pPr>
              <a:defRPr sz="800" b="0">
                <a:latin typeface="Arial" pitchFamily="34" charset="0"/>
                <a:cs typeface="Arial" pitchFamily="34" charset="0"/>
              </a:defRPr>
            </a:pPr>
            <a:endParaRPr lang="en-US"/>
          </a:p>
        </c:txPr>
        <c:crossAx val="299257616"/>
        <c:crosses val="autoZero"/>
        <c:auto val="1"/>
        <c:lblAlgn val="ctr"/>
        <c:lblOffset val="1000"/>
        <c:noMultiLvlLbl val="0"/>
      </c:catAx>
      <c:valAx>
        <c:axId val="299257616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title>
          <c:tx>
            <c:strRef>
              <c:f>'autoLCA Results'!$G$138</c:f>
              <c:strCache>
                <c:ptCount val="1"/>
                <c:pt idx="0">
                  <c:v>CTUe</c:v>
                </c:pt>
              </c:strCache>
            </c:strRef>
          </c:tx>
          <c:overlay val="0"/>
          <c:txPr>
            <a:bodyPr/>
            <a:lstStyle/>
            <a:p>
              <a:pPr>
                <a:defRPr sz="800">
                  <a:latin typeface="Arial" panose="020B0604020202020204" pitchFamily="34" charset="0"/>
                  <a:cs typeface="Arial" panose="020B0604020202020204" pitchFamily="34" charset="0"/>
                </a:defRPr>
              </a:pPr>
              <a:endParaRPr lang="en-US"/>
            </a:p>
          </c:txPr>
        </c:title>
        <c:numFmt formatCode="0.00E+00" sourceLinked="0"/>
        <c:majorTickMark val="out"/>
        <c:minorTickMark val="none"/>
        <c:tickLblPos val="nextTo"/>
        <c:txPr>
          <a:bodyPr/>
          <a:lstStyle/>
          <a:p>
            <a:pPr>
              <a:defRPr sz="800" b="0" baseline="0">
                <a:latin typeface="Arial" pitchFamily="34" charset="0"/>
              </a:defRPr>
            </a:pPr>
            <a:endParaRPr lang="en-US"/>
          </a:p>
        </c:txPr>
        <c:crossAx val="298563680"/>
        <c:crosses val="autoZero"/>
        <c:crossBetween val="between"/>
      </c:valAx>
    </c:plotArea>
    <c:legend>
      <c:legendPos val="r"/>
      <c:overlay val="0"/>
      <c:txPr>
        <a:bodyPr/>
        <a:lstStyle/>
        <a:p>
          <a:pPr>
            <a:defRPr sz="800">
              <a:latin typeface="Arial" pitchFamily="34" charset="0"/>
              <a:cs typeface="Arial" pitchFamily="34" charset="0"/>
            </a:defRPr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1" i="0" u="none" strike="noStrike" kern="1200" spc="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en-US" sz="1200" b="1">
                <a:solidFill>
                  <a:sysClr val="windowText" lastClr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ILCD/PEF Recommended - Normalized</a:t>
            </a:r>
          </a:p>
        </c:rich>
      </c:tx>
      <c:layout>
        <c:manualLayout>
          <c:xMode val="edge"/>
          <c:yMode val="edge"/>
          <c:x val="7.0282881306502965E-4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1" i="0" u="none" strike="noStrike" kern="1200" spc="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35686441438409944"/>
          <c:y val="0.14049210937240439"/>
          <c:w val="0.94150519263211019"/>
          <c:h val="0.85394704142994782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'autoLCA Results'!$B$228</c:f>
              <c:strCache>
                <c:ptCount val="1"/>
                <c:pt idx="0">
                  <c:v>Baseline</c:v>
                </c:pt>
              </c:strCache>
            </c:strRef>
          </c:tx>
          <c:spPr>
            <a:solidFill>
              <a:srgbClr val="00AAE7"/>
            </a:solidFill>
            <a:ln>
              <a:noFill/>
            </a:ln>
            <a:effectLst/>
          </c:spPr>
          <c:invertIfNegative val="0"/>
          <c:cat>
            <c:strRef>
              <c:f>'autoLCA Results'!$A$229:$A$242</c:f>
              <c:strCache>
                <c:ptCount val="14"/>
                <c:pt idx="0">
                  <c:v>Acidification midpoint (v1.09)</c:v>
                </c:pt>
                <c:pt idx="1">
                  <c:v>Climate change midpoint, incl biogenic carbon (v1.09)</c:v>
                </c:pt>
                <c:pt idx="2">
                  <c:v>Ecotoxicity freshwater midpoint (v1.09)</c:v>
                </c:pt>
                <c:pt idx="3">
                  <c:v>Eutrophication freshwater midpoint (v1.09)</c:v>
                </c:pt>
                <c:pt idx="4">
                  <c:v>Eutrophication marine midpoint (v1.09)</c:v>
                </c:pt>
                <c:pt idx="5">
                  <c:v>Eutrophication terrestrial midpoint (v1.09)</c:v>
                </c:pt>
                <c:pt idx="6">
                  <c:v>Human toxicity midpoint, cancer effects (v1.09)</c:v>
                </c:pt>
                <c:pt idx="7">
                  <c:v>Human toxicity midpoint, non-cancer effects (v1.09)</c:v>
                </c:pt>
                <c:pt idx="8">
                  <c:v>Ionizing radiation midpoint, human health (v1.09)</c:v>
                </c:pt>
                <c:pt idx="9">
                  <c:v>Ozone depletion midpoint (v1.09)</c:v>
                </c:pt>
                <c:pt idx="10">
                  <c:v>Particulate matter/Respiratory inorganics midpoint (v1.09)</c:v>
                </c:pt>
                <c:pt idx="11">
                  <c:v>Photochemical ozone formation midpoint, human health (v1.09)</c:v>
                </c:pt>
                <c:pt idx="12">
                  <c:v>Resource depletion water, midpoint (v1.09)</c:v>
                </c:pt>
                <c:pt idx="13">
                  <c:v>Resource depletion, mineral, fossils and renewables, midpoint (v1.09)</c:v>
                </c:pt>
              </c:strCache>
            </c:strRef>
          </c:cat>
          <c:val>
            <c:numRef>
              <c:f>'autoLCA Results'!$B$229:$B$242</c:f>
              <c:numCache>
                <c:formatCode>0.00E+00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0-7C7B-4140-85FA-4F4190287795}"/>
            </c:ext>
          </c:extLst>
        </c:ser>
        <c:ser>
          <c:idx val="1"/>
          <c:order val="1"/>
          <c:tx>
            <c:strRef>
              <c:f>'autoLCA Results'!$C$228</c:f>
              <c:strCache>
                <c:ptCount val="1"/>
                <c:pt idx="0">
                  <c:v>Contender 1</c:v>
                </c:pt>
              </c:strCache>
            </c:strRef>
          </c:tx>
          <c:spPr>
            <a:solidFill>
              <a:srgbClr val="F4C000"/>
            </a:solidFill>
            <a:ln>
              <a:noFill/>
            </a:ln>
            <a:effectLst/>
          </c:spPr>
          <c:invertIfNegative val="0"/>
          <c:cat>
            <c:strRef>
              <c:f>'autoLCA Results'!$A$229:$A$242</c:f>
              <c:strCache>
                <c:ptCount val="14"/>
                <c:pt idx="0">
                  <c:v>Acidification midpoint (v1.09)</c:v>
                </c:pt>
                <c:pt idx="1">
                  <c:v>Climate change midpoint, incl biogenic carbon (v1.09)</c:v>
                </c:pt>
                <c:pt idx="2">
                  <c:v>Ecotoxicity freshwater midpoint (v1.09)</c:v>
                </c:pt>
                <c:pt idx="3">
                  <c:v>Eutrophication freshwater midpoint (v1.09)</c:v>
                </c:pt>
                <c:pt idx="4">
                  <c:v>Eutrophication marine midpoint (v1.09)</c:v>
                </c:pt>
                <c:pt idx="5">
                  <c:v>Eutrophication terrestrial midpoint (v1.09)</c:v>
                </c:pt>
                <c:pt idx="6">
                  <c:v>Human toxicity midpoint, cancer effects (v1.09)</c:v>
                </c:pt>
                <c:pt idx="7">
                  <c:v>Human toxicity midpoint, non-cancer effects (v1.09)</c:v>
                </c:pt>
                <c:pt idx="8">
                  <c:v>Ionizing radiation midpoint, human health (v1.09)</c:v>
                </c:pt>
                <c:pt idx="9">
                  <c:v>Ozone depletion midpoint (v1.09)</c:v>
                </c:pt>
                <c:pt idx="10">
                  <c:v>Particulate matter/Respiratory inorganics midpoint (v1.09)</c:v>
                </c:pt>
                <c:pt idx="11">
                  <c:v>Photochemical ozone formation midpoint, human health (v1.09)</c:v>
                </c:pt>
                <c:pt idx="12">
                  <c:v>Resource depletion water, midpoint (v1.09)</c:v>
                </c:pt>
                <c:pt idx="13">
                  <c:v>Resource depletion, mineral, fossils and renewables, midpoint (v1.09)</c:v>
                </c:pt>
              </c:strCache>
            </c:strRef>
          </c:cat>
          <c:val>
            <c:numRef>
              <c:f>'autoLCA Results'!$C$229:$C$242</c:f>
              <c:numCache>
                <c:formatCode>0.00E+00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1-7C7B-4140-85FA-4F4190287795}"/>
            </c:ext>
          </c:extLst>
        </c:ser>
        <c:ser>
          <c:idx val="2"/>
          <c:order val="2"/>
          <c:tx>
            <c:strRef>
              <c:f>'autoLCA Results'!$D$228</c:f>
              <c:strCache>
                <c:ptCount val="1"/>
                <c:pt idx="0">
                  <c:v>Contender 2</c:v>
                </c:pt>
              </c:strCache>
            </c:strRef>
          </c:tx>
          <c:spPr>
            <a:solidFill>
              <a:srgbClr val="841C80"/>
            </a:solidFill>
            <a:ln>
              <a:noFill/>
            </a:ln>
            <a:effectLst/>
          </c:spPr>
          <c:invertIfNegative val="0"/>
          <c:cat>
            <c:strRef>
              <c:f>'autoLCA Results'!$A$229:$A$242</c:f>
              <c:strCache>
                <c:ptCount val="14"/>
                <c:pt idx="0">
                  <c:v>Acidification midpoint (v1.09)</c:v>
                </c:pt>
                <c:pt idx="1">
                  <c:v>Climate change midpoint, incl biogenic carbon (v1.09)</c:v>
                </c:pt>
                <c:pt idx="2">
                  <c:v>Ecotoxicity freshwater midpoint (v1.09)</c:v>
                </c:pt>
                <c:pt idx="3">
                  <c:v>Eutrophication freshwater midpoint (v1.09)</c:v>
                </c:pt>
                <c:pt idx="4">
                  <c:v>Eutrophication marine midpoint (v1.09)</c:v>
                </c:pt>
                <c:pt idx="5">
                  <c:v>Eutrophication terrestrial midpoint (v1.09)</c:v>
                </c:pt>
                <c:pt idx="6">
                  <c:v>Human toxicity midpoint, cancer effects (v1.09)</c:v>
                </c:pt>
                <c:pt idx="7">
                  <c:v>Human toxicity midpoint, non-cancer effects (v1.09)</c:v>
                </c:pt>
                <c:pt idx="8">
                  <c:v>Ionizing radiation midpoint, human health (v1.09)</c:v>
                </c:pt>
                <c:pt idx="9">
                  <c:v>Ozone depletion midpoint (v1.09)</c:v>
                </c:pt>
                <c:pt idx="10">
                  <c:v>Particulate matter/Respiratory inorganics midpoint (v1.09)</c:v>
                </c:pt>
                <c:pt idx="11">
                  <c:v>Photochemical ozone formation midpoint, human health (v1.09)</c:v>
                </c:pt>
                <c:pt idx="12">
                  <c:v>Resource depletion water, midpoint (v1.09)</c:v>
                </c:pt>
                <c:pt idx="13">
                  <c:v>Resource depletion, mineral, fossils and renewables, midpoint (v1.09)</c:v>
                </c:pt>
              </c:strCache>
            </c:strRef>
          </c:cat>
          <c:val>
            <c:numRef>
              <c:f>'autoLCA Results'!$D$229:$D$242</c:f>
              <c:numCache>
                <c:formatCode>0.00E+00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2-7C7B-4140-85FA-4F419028779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299258400"/>
        <c:axId val="299258792"/>
      </c:barChart>
      <c:catAx>
        <c:axId val="299258400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299258792"/>
        <c:crosses val="autoZero"/>
        <c:auto val="1"/>
        <c:lblAlgn val="ctr"/>
        <c:lblOffset val="100"/>
        <c:noMultiLvlLbl val="0"/>
      </c:catAx>
      <c:valAx>
        <c:axId val="299258792"/>
        <c:scaling>
          <c:orientation val="minMax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E+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29925840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74984087926509191"/>
          <c:y val="1.2755413810677858E-2"/>
          <c:w val="0.25015916279695805"/>
          <c:h val="5.383806770989069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EEF1F4"/>
    </a:solidFill>
    <a:ln w="9525" cap="flat" cmpd="sng" algn="ctr">
      <a:solidFill>
        <a:srgbClr val="5C7F92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1" i="0" u="none" strike="noStrike" kern="1200" spc="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en-US" sz="1200" b="1">
                <a:solidFill>
                  <a:sysClr val="windowText" lastClr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TRACI 2.1- Normalized</a:t>
            </a:r>
          </a:p>
        </c:rich>
      </c:tx>
      <c:layout>
        <c:manualLayout>
          <c:xMode val="edge"/>
          <c:yMode val="edge"/>
          <c:x val="7.0282881306502965E-4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1" i="0" u="none" strike="noStrike" kern="1200" spc="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28948744508540708"/>
          <c:y val="0.17370046535594094"/>
          <c:w val="0.92310428763972074"/>
          <c:h val="0.81883419480540398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'autoLCA Results'!$B$228</c:f>
              <c:strCache>
                <c:ptCount val="1"/>
                <c:pt idx="0">
                  <c:v>Baseline</c:v>
                </c:pt>
              </c:strCache>
            </c:strRef>
          </c:tx>
          <c:spPr>
            <a:solidFill>
              <a:srgbClr val="00AAE7"/>
            </a:solidFill>
            <a:ln>
              <a:noFill/>
            </a:ln>
            <a:effectLst/>
          </c:spPr>
          <c:invertIfNegative val="0"/>
          <c:cat>
            <c:strRef>
              <c:f>'autoLCA Results'!$A$277:$A$286</c:f>
              <c:strCache>
                <c:ptCount val="10"/>
                <c:pt idx="0">
                  <c:v>TRACI 2.1, Acidification</c:v>
                </c:pt>
                <c:pt idx="1">
                  <c:v>TRACI 2.1, Ecotoxicity (recommended)</c:v>
                </c:pt>
                <c:pt idx="2">
                  <c:v>TRACI 2.1, Eutrophication</c:v>
                </c:pt>
                <c:pt idx="3">
                  <c:v>TRACI 2.1, Global Warming Air, incl. biogenic carbon</c:v>
                </c:pt>
                <c:pt idx="4">
                  <c:v>TRACI 2.1, Human Health Particulate Air</c:v>
                </c:pt>
                <c:pt idx="5">
                  <c:v>TRACI 2.1, Human toxicity, cancer (recommended)</c:v>
                </c:pt>
                <c:pt idx="6">
                  <c:v>TRACI 2.1, Human toxicity, non-canc. (recommended)</c:v>
                </c:pt>
                <c:pt idx="7">
                  <c:v>TRACI 2.1, Ozone Depletion Air</c:v>
                </c:pt>
                <c:pt idx="8">
                  <c:v>TRACI 2.1, Resources, Fossil fuels</c:v>
                </c:pt>
                <c:pt idx="9">
                  <c:v>TRACI 2.1, Smog Air</c:v>
                </c:pt>
              </c:strCache>
            </c:strRef>
          </c:cat>
          <c:val>
            <c:numRef>
              <c:f>'autoLCA Results'!$B$277:$B$286</c:f>
              <c:numCache>
                <c:formatCode>0.00E+00</c:formatCode>
                <c:ptCount val="10"/>
              </c:numCache>
            </c:numRef>
          </c:val>
          <c:extLst>
            <c:ext xmlns:c16="http://schemas.microsoft.com/office/drawing/2014/chart" uri="{C3380CC4-5D6E-409C-BE32-E72D297353CC}">
              <c16:uniqueId val="{00000000-5E36-400B-B66B-A4AF9D33FD00}"/>
            </c:ext>
          </c:extLst>
        </c:ser>
        <c:ser>
          <c:idx val="1"/>
          <c:order val="1"/>
          <c:tx>
            <c:strRef>
              <c:f>'autoLCA Results'!$C$228</c:f>
              <c:strCache>
                <c:ptCount val="1"/>
                <c:pt idx="0">
                  <c:v>Contender 1</c:v>
                </c:pt>
              </c:strCache>
            </c:strRef>
          </c:tx>
          <c:spPr>
            <a:solidFill>
              <a:srgbClr val="F4C000"/>
            </a:solidFill>
            <a:ln>
              <a:noFill/>
            </a:ln>
            <a:effectLst/>
          </c:spPr>
          <c:invertIfNegative val="0"/>
          <c:cat>
            <c:strRef>
              <c:f>'autoLCA Results'!$A$277:$A$286</c:f>
              <c:strCache>
                <c:ptCount val="10"/>
                <c:pt idx="0">
                  <c:v>TRACI 2.1, Acidification</c:v>
                </c:pt>
                <c:pt idx="1">
                  <c:v>TRACI 2.1, Ecotoxicity (recommended)</c:v>
                </c:pt>
                <c:pt idx="2">
                  <c:v>TRACI 2.1, Eutrophication</c:v>
                </c:pt>
                <c:pt idx="3">
                  <c:v>TRACI 2.1, Global Warming Air, incl. biogenic carbon</c:v>
                </c:pt>
                <c:pt idx="4">
                  <c:v>TRACI 2.1, Human Health Particulate Air</c:v>
                </c:pt>
                <c:pt idx="5">
                  <c:v>TRACI 2.1, Human toxicity, cancer (recommended)</c:v>
                </c:pt>
                <c:pt idx="6">
                  <c:v>TRACI 2.1, Human toxicity, non-canc. (recommended)</c:v>
                </c:pt>
                <c:pt idx="7">
                  <c:v>TRACI 2.1, Ozone Depletion Air</c:v>
                </c:pt>
                <c:pt idx="8">
                  <c:v>TRACI 2.1, Resources, Fossil fuels</c:v>
                </c:pt>
                <c:pt idx="9">
                  <c:v>TRACI 2.1, Smog Air</c:v>
                </c:pt>
              </c:strCache>
            </c:strRef>
          </c:cat>
          <c:val>
            <c:numRef>
              <c:f>'autoLCA Results'!$C$277:$C$286</c:f>
              <c:numCache>
                <c:formatCode>0.00E+00</c:formatCode>
                <c:ptCount val="10"/>
              </c:numCache>
            </c:numRef>
          </c:val>
          <c:extLst>
            <c:ext xmlns:c16="http://schemas.microsoft.com/office/drawing/2014/chart" uri="{C3380CC4-5D6E-409C-BE32-E72D297353CC}">
              <c16:uniqueId val="{00000001-5E36-400B-B66B-A4AF9D33FD00}"/>
            </c:ext>
          </c:extLst>
        </c:ser>
        <c:ser>
          <c:idx val="2"/>
          <c:order val="2"/>
          <c:tx>
            <c:strRef>
              <c:f>'autoLCA Results'!$D$228</c:f>
              <c:strCache>
                <c:ptCount val="1"/>
                <c:pt idx="0">
                  <c:v>Contender 2</c:v>
                </c:pt>
              </c:strCache>
            </c:strRef>
          </c:tx>
          <c:spPr>
            <a:solidFill>
              <a:srgbClr val="841C80"/>
            </a:solidFill>
            <a:ln>
              <a:noFill/>
            </a:ln>
            <a:effectLst/>
          </c:spPr>
          <c:invertIfNegative val="0"/>
          <c:cat>
            <c:strRef>
              <c:f>'autoLCA Results'!$A$277:$A$286</c:f>
              <c:strCache>
                <c:ptCount val="10"/>
                <c:pt idx="0">
                  <c:v>TRACI 2.1, Acidification</c:v>
                </c:pt>
                <c:pt idx="1">
                  <c:v>TRACI 2.1, Ecotoxicity (recommended)</c:v>
                </c:pt>
                <c:pt idx="2">
                  <c:v>TRACI 2.1, Eutrophication</c:v>
                </c:pt>
                <c:pt idx="3">
                  <c:v>TRACI 2.1, Global Warming Air, incl. biogenic carbon</c:v>
                </c:pt>
                <c:pt idx="4">
                  <c:v>TRACI 2.1, Human Health Particulate Air</c:v>
                </c:pt>
                <c:pt idx="5">
                  <c:v>TRACI 2.1, Human toxicity, cancer (recommended)</c:v>
                </c:pt>
                <c:pt idx="6">
                  <c:v>TRACI 2.1, Human toxicity, non-canc. (recommended)</c:v>
                </c:pt>
                <c:pt idx="7">
                  <c:v>TRACI 2.1, Ozone Depletion Air</c:v>
                </c:pt>
                <c:pt idx="8">
                  <c:v>TRACI 2.1, Resources, Fossil fuels</c:v>
                </c:pt>
                <c:pt idx="9">
                  <c:v>TRACI 2.1, Smog Air</c:v>
                </c:pt>
              </c:strCache>
            </c:strRef>
          </c:cat>
          <c:val>
            <c:numRef>
              <c:f>'autoLCA Results'!$D$277:$D$286</c:f>
              <c:numCache>
                <c:formatCode>0.00E+00</c:formatCode>
                <c:ptCount val="10"/>
              </c:numCache>
            </c:numRef>
          </c:val>
          <c:extLst>
            <c:ext xmlns:c16="http://schemas.microsoft.com/office/drawing/2014/chart" uri="{C3380CC4-5D6E-409C-BE32-E72D297353CC}">
              <c16:uniqueId val="{00000002-5E36-400B-B66B-A4AF9D33FD0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299259576"/>
        <c:axId val="299259968"/>
      </c:barChart>
      <c:catAx>
        <c:axId val="299259576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299259968"/>
        <c:crosses val="autoZero"/>
        <c:auto val="1"/>
        <c:lblAlgn val="ctr"/>
        <c:lblOffset val="100"/>
        <c:noMultiLvlLbl val="0"/>
      </c:catAx>
      <c:valAx>
        <c:axId val="299259968"/>
        <c:scaling>
          <c:orientation val="minMax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E+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29925957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74984087926509191"/>
          <c:y val="1.2755413810677858E-2"/>
          <c:w val="0.25015913652504668"/>
          <c:h val="6.523324155032768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EEF1F4"/>
    </a:solidFill>
    <a:ln w="9525" cap="flat" cmpd="sng" algn="ctr">
      <a:solidFill>
        <a:srgbClr val="5C7F92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1" i="0" u="none" strike="noStrike" kern="1200" spc="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en-US" sz="1200" b="1">
                <a:solidFill>
                  <a:sysClr val="windowText" lastClr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TRACI 2.1- Weighted</a:t>
            </a:r>
          </a:p>
        </c:rich>
      </c:tx>
      <c:layout>
        <c:manualLayout>
          <c:xMode val="edge"/>
          <c:yMode val="edge"/>
          <c:x val="7.0282881306502965E-4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1" i="0" u="none" strike="noStrike" kern="1200" spc="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5.2973702611497885E-2"/>
          <c:y val="0.136890648304579"/>
          <c:w val="0.92310428763972074"/>
          <c:h val="0.85564401075632412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'autoLCA Results'!$B$228</c:f>
              <c:strCache>
                <c:ptCount val="1"/>
                <c:pt idx="0">
                  <c:v>Baseline</c:v>
                </c:pt>
              </c:strCache>
            </c:strRef>
          </c:tx>
          <c:spPr>
            <a:solidFill>
              <a:srgbClr val="00AAE7"/>
            </a:solidFill>
            <a:ln>
              <a:noFill/>
            </a:ln>
            <a:effectLst/>
          </c:spPr>
          <c:invertIfNegative val="0"/>
          <c:cat>
            <c:strRef>
              <c:f>'autoLCA Results'!$A$294:$A$303</c:f>
              <c:strCache>
                <c:ptCount val="10"/>
                <c:pt idx="0">
                  <c:v>TRACI 2.1, Acidification</c:v>
                </c:pt>
                <c:pt idx="1">
                  <c:v>TRACI 2.1, Ecotoxicity (recommended)</c:v>
                </c:pt>
                <c:pt idx="2">
                  <c:v>TRACI 2.1, Eutrophication</c:v>
                </c:pt>
                <c:pt idx="3">
                  <c:v>TRACI 2.1, Global Warming Air, incl. biogenic carbon</c:v>
                </c:pt>
                <c:pt idx="4">
                  <c:v>TRACI 2.1, Human Health Particulate Air</c:v>
                </c:pt>
                <c:pt idx="5">
                  <c:v>TRACI 2.1, Human toxicity, cancer (recommended)</c:v>
                </c:pt>
                <c:pt idx="6">
                  <c:v>TRACI 2.1, Human toxicity, non-canc. (recommended)</c:v>
                </c:pt>
                <c:pt idx="7">
                  <c:v>TRACI 2.1, Ozone Depletion Air</c:v>
                </c:pt>
                <c:pt idx="8">
                  <c:v>TRACI 2.1, Resources, Fossil fuels</c:v>
                </c:pt>
                <c:pt idx="9">
                  <c:v>TRACI 2.1, Smog Air</c:v>
                </c:pt>
              </c:strCache>
            </c:strRef>
          </c:cat>
          <c:val>
            <c:numRef>
              <c:f>'autoLCA Results'!$B$294:$B$303</c:f>
              <c:numCache>
                <c:formatCode>0.00E+00</c:formatCode>
                <c:ptCount val="10"/>
              </c:numCache>
            </c:numRef>
          </c:val>
          <c:extLst>
            <c:ext xmlns:c16="http://schemas.microsoft.com/office/drawing/2014/chart" uri="{C3380CC4-5D6E-409C-BE32-E72D297353CC}">
              <c16:uniqueId val="{00000000-C880-4397-8568-E1DC3218618B}"/>
            </c:ext>
          </c:extLst>
        </c:ser>
        <c:ser>
          <c:idx val="1"/>
          <c:order val="1"/>
          <c:tx>
            <c:strRef>
              <c:f>'autoLCA Results'!$C$228</c:f>
              <c:strCache>
                <c:ptCount val="1"/>
                <c:pt idx="0">
                  <c:v>Contender 1</c:v>
                </c:pt>
              </c:strCache>
            </c:strRef>
          </c:tx>
          <c:spPr>
            <a:solidFill>
              <a:srgbClr val="F4C000"/>
            </a:solidFill>
            <a:ln>
              <a:noFill/>
            </a:ln>
            <a:effectLst/>
          </c:spPr>
          <c:invertIfNegative val="0"/>
          <c:cat>
            <c:strRef>
              <c:f>'autoLCA Results'!$A$294:$A$303</c:f>
              <c:strCache>
                <c:ptCount val="10"/>
                <c:pt idx="0">
                  <c:v>TRACI 2.1, Acidification</c:v>
                </c:pt>
                <c:pt idx="1">
                  <c:v>TRACI 2.1, Ecotoxicity (recommended)</c:v>
                </c:pt>
                <c:pt idx="2">
                  <c:v>TRACI 2.1, Eutrophication</c:v>
                </c:pt>
                <c:pt idx="3">
                  <c:v>TRACI 2.1, Global Warming Air, incl. biogenic carbon</c:v>
                </c:pt>
                <c:pt idx="4">
                  <c:v>TRACI 2.1, Human Health Particulate Air</c:v>
                </c:pt>
                <c:pt idx="5">
                  <c:v>TRACI 2.1, Human toxicity, cancer (recommended)</c:v>
                </c:pt>
                <c:pt idx="6">
                  <c:v>TRACI 2.1, Human toxicity, non-canc. (recommended)</c:v>
                </c:pt>
                <c:pt idx="7">
                  <c:v>TRACI 2.1, Ozone Depletion Air</c:v>
                </c:pt>
                <c:pt idx="8">
                  <c:v>TRACI 2.1, Resources, Fossil fuels</c:v>
                </c:pt>
                <c:pt idx="9">
                  <c:v>TRACI 2.1, Smog Air</c:v>
                </c:pt>
              </c:strCache>
            </c:strRef>
          </c:cat>
          <c:val>
            <c:numRef>
              <c:f>'autoLCA Results'!$C$294:$C$303</c:f>
              <c:numCache>
                <c:formatCode>0.00E+00</c:formatCode>
                <c:ptCount val="10"/>
              </c:numCache>
            </c:numRef>
          </c:val>
          <c:extLst>
            <c:ext xmlns:c16="http://schemas.microsoft.com/office/drawing/2014/chart" uri="{C3380CC4-5D6E-409C-BE32-E72D297353CC}">
              <c16:uniqueId val="{00000001-C880-4397-8568-E1DC3218618B}"/>
            </c:ext>
          </c:extLst>
        </c:ser>
        <c:ser>
          <c:idx val="2"/>
          <c:order val="2"/>
          <c:tx>
            <c:strRef>
              <c:f>'autoLCA Results'!$D$228</c:f>
              <c:strCache>
                <c:ptCount val="1"/>
                <c:pt idx="0">
                  <c:v>Contender 2</c:v>
                </c:pt>
              </c:strCache>
            </c:strRef>
          </c:tx>
          <c:spPr>
            <a:solidFill>
              <a:srgbClr val="841C80"/>
            </a:solidFill>
            <a:ln>
              <a:noFill/>
            </a:ln>
            <a:effectLst/>
          </c:spPr>
          <c:invertIfNegative val="0"/>
          <c:cat>
            <c:strRef>
              <c:f>'autoLCA Results'!$A$294:$A$303</c:f>
              <c:strCache>
                <c:ptCount val="10"/>
                <c:pt idx="0">
                  <c:v>TRACI 2.1, Acidification</c:v>
                </c:pt>
                <c:pt idx="1">
                  <c:v>TRACI 2.1, Ecotoxicity (recommended)</c:v>
                </c:pt>
                <c:pt idx="2">
                  <c:v>TRACI 2.1, Eutrophication</c:v>
                </c:pt>
                <c:pt idx="3">
                  <c:v>TRACI 2.1, Global Warming Air, incl. biogenic carbon</c:v>
                </c:pt>
                <c:pt idx="4">
                  <c:v>TRACI 2.1, Human Health Particulate Air</c:v>
                </c:pt>
                <c:pt idx="5">
                  <c:v>TRACI 2.1, Human toxicity, cancer (recommended)</c:v>
                </c:pt>
                <c:pt idx="6">
                  <c:v>TRACI 2.1, Human toxicity, non-canc. (recommended)</c:v>
                </c:pt>
                <c:pt idx="7">
                  <c:v>TRACI 2.1, Ozone Depletion Air</c:v>
                </c:pt>
                <c:pt idx="8">
                  <c:v>TRACI 2.1, Resources, Fossil fuels</c:v>
                </c:pt>
                <c:pt idx="9">
                  <c:v>TRACI 2.1, Smog Air</c:v>
                </c:pt>
              </c:strCache>
            </c:strRef>
          </c:cat>
          <c:val>
            <c:numRef>
              <c:f>'autoLCA Results'!$D$294:$D$303</c:f>
              <c:numCache>
                <c:formatCode>0.00E+00</c:formatCode>
                <c:ptCount val="10"/>
              </c:numCache>
            </c:numRef>
          </c:val>
          <c:extLst>
            <c:ext xmlns:c16="http://schemas.microsoft.com/office/drawing/2014/chart" uri="{C3380CC4-5D6E-409C-BE32-E72D297353CC}">
              <c16:uniqueId val="{00000002-C880-4397-8568-E1DC3218618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299260752"/>
        <c:axId val="299261144"/>
      </c:barChart>
      <c:catAx>
        <c:axId val="299260752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299261144"/>
        <c:crosses val="autoZero"/>
        <c:auto val="0"/>
        <c:lblAlgn val="ctr"/>
        <c:lblOffset val="100"/>
        <c:noMultiLvlLbl val="0"/>
      </c:catAx>
      <c:valAx>
        <c:axId val="299261144"/>
        <c:scaling>
          <c:orientation val="minMax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E+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29926075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74984087926509191"/>
          <c:y val="1.2755413810677858E-2"/>
          <c:w val="0.25015916279695805"/>
          <c:h val="6.523324155032768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EEF1F4"/>
    </a:solidFill>
    <a:ln w="9525" cap="flat" cmpd="sng" algn="ctr">
      <a:solidFill>
        <a:srgbClr val="5C7F92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1" i="0" u="none" strike="noStrike" kern="1200" spc="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en-US" sz="1200" b="1">
                <a:solidFill>
                  <a:sysClr val="windowText" lastClr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ILCD/PEF Recommended - Weighted</a:t>
            </a:r>
          </a:p>
        </c:rich>
      </c:tx>
      <c:layout>
        <c:manualLayout>
          <c:xMode val="edge"/>
          <c:yMode val="edge"/>
          <c:x val="7.0282881306502965E-4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1" i="0" u="none" strike="noStrike" kern="1200" spc="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25636359557619398"/>
          <c:y val="0.14049210937240439"/>
          <c:w val="0.71359366938107094"/>
          <c:h val="0.8505715140037875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'autoLCA Results'!$B$228</c:f>
              <c:strCache>
                <c:ptCount val="1"/>
                <c:pt idx="0">
                  <c:v>Baseline</c:v>
                </c:pt>
              </c:strCache>
            </c:strRef>
          </c:tx>
          <c:spPr>
            <a:solidFill>
              <a:srgbClr val="00AAE7"/>
            </a:solidFill>
            <a:ln>
              <a:noFill/>
            </a:ln>
            <a:effectLst/>
          </c:spPr>
          <c:invertIfNegative val="0"/>
          <c:cat>
            <c:strRef>
              <c:f>'autoLCA Results'!$A$252:$A$265</c:f>
              <c:strCache>
                <c:ptCount val="14"/>
                <c:pt idx="0">
                  <c:v>Acidification midpoint (v1.09)</c:v>
                </c:pt>
                <c:pt idx="1">
                  <c:v>Climate change midpoint, incl biogenic carbon (v1.09)</c:v>
                </c:pt>
                <c:pt idx="2">
                  <c:v>Ecotoxicity freshwater midpoint (v1.09)</c:v>
                </c:pt>
                <c:pt idx="3">
                  <c:v>Eutrophication freshwater midpoint (v1.09)</c:v>
                </c:pt>
                <c:pt idx="4">
                  <c:v>Eutrophication marine midpoint (v1.09)</c:v>
                </c:pt>
                <c:pt idx="5">
                  <c:v>Eutrophication terrestrial midpoint (v1.09)</c:v>
                </c:pt>
                <c:pt idx="6">
                  <c:v>Human toxicity midpoint, cancer effects (v1.09)</c:v>
                </c:pt>
                <c:pt idx="7">
                  <c:v>Human toxicity midpoint, non-cancer effects (v1.09)</c:v>
                </c:pt>
                <c:pt idx="8">
                  <c:v>Ionizing radiation midpoint, human health (v1.09)</c:v>
                </c:pt>
                <c:pt idx="9">
                  <c:v>Ozone depletion midpoint (v1.09)</c:v>
                </c:pt>
                <c:pt idx="10">
                  <c:v>Particulate matter/Respiratory inorganics midpoint (v1.09)</c:v>
                </c:pt>
                <c:pt idx="11">
                  <c:v>Photochemical ozone formation midpoint, human health (v1.09)</c:v>
                </c:pt>
                <c:pt idx="12">
                  <c:v>Resource depletion water, midpoint (v1.09)</c:v>
                </c:pt>
                <c:pt idx="13">
                  <c:v>Resource depletion, mineral, fossils and renewables, midpoint (v1.09)</c:v>
                </c:pt>
              </c:strCache>
            </c:strRef>
          </c:cat>
          <c:val>
            <c:numRef>
              <c:f>'autoLCA Results'!$B$252:$B$265</c:f>
              <c:numCache>
                <c:formatCode>0.00E+00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0-D7FE-46F5-A71C-A62A5BD5A756}"/>
            </c:ext>
          </c:extLst>
        </c:ser>
        <c:ser>
          <c:idx val="1"/>
          <c:order val="1"/>
          <c:tx>
            <c:strRef>
              <c:f>'autoLCA Results'!$C$228</c:f>
              <c:strCache>
                <c:ptCount val="1"/>
                <c:pt idx="0">
                  <c:v>Contender 1</c:v>
                </c:pt>
              </c:strCache>
            </c:strRef>
          </c:tx>
          <c:spPr>
            <a:solidFill>
              <a:srgbClr val="F4C000"/>
            </a:solidFill>
            <a:ln>
              <a:noFill/>
            </a:ln>
            <a:effectLst/>
          </c:spPr>
          <c:invertIfNegative val="0"/>
          <c:cat>
            <c:strRef>
              <c:f>'autoLCA Results'!$A$252:$A$265</c:f>
              <c:strCache>
                <c:ptCount val="14"/>
                <c:pt idx="0">
                  <c:v>Acidification midpoint (v1.09)</c:v>
                </c:pt>
                <c:pt idx="1">
                  <c:v>Climate change midpoint, incl biogenic carbon (v1.09)</c:v>
                </c:pt>
                <c:pt idx="2">
                  <c:v>Ecotoxicity freshwater midpoint (v1.09)</c:v>
                </c:pt>
                <c:pt idx="3">
                  <c:v>Eutrophication freshwater midpoint (v1.09)</c:v>
                </c:pt>
                <c:pt idx="4">
                  <c:v>Eutrophication marine midpoint (v1.09)</c:v>
                </c:pt>
                <c:pt idx="5">
                  <c:v>Eutrophication terrestrial midpoint (v1.09)</c:v>
                </c:pt>
                <c:pt idx="6">
                  <c:v>Human toxicity midpoint, cancer effects (v1.09)</c:v>
                </c:pt>
                <c:pt idx="7">
                  <c:v>Human toxicity midpoint, non-cancer effects (v1.09)</c:v>
                </c:pt>
                <c:pt idx="8">
                  <c:v>Ionizing radiation midpoint, human health (v1.09)</c:v>
                </c:pt>
                <c:pt idx="9">
                  <c:v>Ozone depletion midpoint (v1.09)</c:v>
                </c:pt>
                <c:pt idx="10">
                  <c:v>Particulate matter/Respiratory inorganics midpoint (v1.09)</c:v>
                </c:pt>
                <c:pt idx="11">
                  <c:v>Photochemical ozone formation midpoint, human health (v1.09)</c:v>
                </c:pt>
                <c:pt idx="12">
                  <c:v>Resource depletion water, midpoint (v1.09)</c:v>
                </c:pt>
                <c:pt idx="13">
                  <c:v>Resource depletion, mineral, fossils and renewables, midpoint (v1.09)</c:v>
                </c:pt>
              </c:strCache>
            </c:strRef>
          </c:cat>
          <c:val>
            <c:numRef>
              <c:f>'autoLCA Results'!$C$252:$C$265</c:f>
              <c:numCache>
                <c:formatCode>0.00E+00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1-D7FE-46F5-A71C-A62A5BD5A756}"/>
            </c:ext>
          </c:extLst>
        </c:ser>
        <c:ser>
          <c:idx val="2"/>
          <c:order val="2"/>
          <c:tx>
            <c:strRef>
              <c:f>'autoLCA Results'!$D$228</c:f>
              <c:strCache>
                <c:ptCount val="1"/>
                <c:pt idx="0">
                  <c:v>Contender 2</c:v>
                </c:pt>
              </c:strCache>
            </c:strRef>
          </c:tx>
          <c:spPr>
            <a:solidFill>
              <a:srgbClr val="841C80"/>
            </a:solidFill>
            <a:ln>
              <a:noFill/>
            </a:ln>
            <a:effectLst/>
          </c:spPr>
          <c:invertIfNegative val="0"/>
          <c:cat>
            <c:strRef>
              <c:f>'autoLCA Results'!$A$252:$A$265</c:f>
              <c:strCache>
                <c:ptCount val="14"/>
                <c:pt idx="0">
                  <c:v>Acidification midpoint (v1.09)</c:v>
                </c:pt>
                <c:pt idx="1">
                  <c:v>Climate change midpoint, incl biogenic carbon (v1.09)</c:v>
                </c:pt>
                <c:pt idx="2">
                  <c:v>Ecotoxicity freshwater midpoint (v1.09)</c:v>
                </c:pt>
                <c:pt idx="3">
                  <c:v>Eutrophication freshwater midpoint (v1.09)</c:v>
                </c:pt>
                <c:pt idx="4">
                  <c:v>Eutrophication marine midpoint (v1.09)</c:v>
                </c:pt>
                <c:pt idx="5">
                  <c:v>Eutrophication terrestrial midpoint (v1.09)</c:v>
                </c:pt>
                <c:pt idx="6">
                  <c:v>Human toxicity midpoint, cancer effects (v1.09)</c:v>
                </c:pt>
                <c:pt idx="7">
                  <c:v>Human toxicity midpoint, non-cancer effects (v1.09)</c:v>
                </c:pt>
                <c:pt idx="8">
                  <c:v>Ionizing radiation midpoint, human health (v1.09)</c:v>
                </c:pt>
                <c:pt idx="9">
                  <c:v>Ozone depletion midpoint (v1.09)</c:v>
                </c:pt>
                <c:pt idx="10">
                  <c:v>Particulate matter/Respiratory inorganics midpoint (v1.09)</c:v>
                </c:pt>
                <c:pt idx="11">
                  <c:v>Photochemical ozone formation midpoint, human health (v1.09)</c:v>
                </c:pt>
                <c:pt idx="12">
                  <c:v>Resource depletion water, midpoint (v1.09)</c:v>
                </c:pt>
                <c:pt idx="13">
                  <c:v>Resource depletion, mineral, fossils and renewables, midpoint (v1.09)</c:v>
                </c:pt>
              </c:strCache>
            </c:strRef>
          </c:cat>
          <c:val>
            <c:numRef>
              <c:f>'autoLCA Results'!$D$252:$D$265</c:f>
              <c:numCache>
                <c:formatCode>0.00E+00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2-D7FE-46F5-A71C-A62A5BD5A75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299022456"/>
        <c:axId val="299022848"/>
      </c:barChart>
      <c:catAx>
        <c:axId val="299022456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299022848"/>
        <c:crosses val="autoZero"/>
        <c:auto val="1"/>
        <c:lblAlgn val="ctr"/>
        <c:lblOffset val="100"/>
        <c:noMultiLvlLbl val="0"/>
      </c:catAx>
      <c:valAx>
        <c:axId val="299022848"/>
        <c:scaling>
          <c:orientation val="minMax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E+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29902245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74984087926509191"/>
          <c:y val="1.2755413810677858E-2"/>
          <c:w val="0.25015916279695805"/>
          <c:h val="5.383806770989069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EEF1F4"/>
    </a:solidFill>
    <a:ln w="9525" cap="flat" cmpd="sng" algn="ctr">
      <a:solidFill>
        <a:srgbClr val="5C7F92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Drop" dropStyle="combo" dx="16" fmlaLink="G38" fmlaRange="$A$41:$A$58" noThreeD="1" sel="1" val="0"/>
</file>

<file path=xl/ctrlProps/ctrlProp8.xml><?xml version="1.0" encoding="utf-8"?>
<formControlPr xmlns="http://schemas.microsoft.com/office/spreadsheetml/2009/9/main" objectType="Drop" dropStyle="combo" dx="16" fmlaLink="G137" fmlaRange="$A$142:$A$155" noThreeD="1" sel="2" val="0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1.xml"/><Relationship Id="rId2" Type="http://schemas.openxmlformats.org/officeDocument/2006/relationships/chart" Target="../charts/chart10.xml"/><Relationship Id="rId1" Type="http://schemas.openxmlformats.org/officeDocument/2006/relationships/chart" Target="../charts/chart9.xml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8.xml"/><Relationship Id="rId13" Type="http://schemas.openxmlformats.org/officeDocument/2006/relationships/chart" Target="../charts/chart23.xml"/><Relationship Id="rId18" Type="http://schemas.openxmlformats.org/officeDocument/2006/relationships/image" Target="../media/image2.emf"/><Relationship Id="rId3" Type="http://schemas.openxmlformats.org/officeDocument/2006/relationships/chart" Target="../charts/chart13.xml"/><Relationship Id="rId7" Type="http://schemas.openxmlformats.org/officeDocument/2006/relationships/chart" Target="../charts/chart17.xml"/><Relationship Id="rId12" Type="http://schemas.openxmlformats.org/officeDocument/2006/relationships/chart" Target="../charts/chart22.xml"/><Relationship Id="rId17" Type="http://schemas.openxmlformats.org/officeDocument/2006/relationships/chart" Target="../charts/chart27.xml"/><Relationship Id="rId2" Type="http://schemas.openxmlformats.org/officeDocument/2006/relationships/chart" Target="../charts/chart12.xml"/><Relationship Id="rId16" Type="http://schemas.openxmlformats.org/officeDocument/2006/relationships/chart" Target="../charts/chart26.xml"/><Relationship Id="rId20" Type="http://schemas.openxmlformats.org/officeDocument/2006/relationships/image" Target="../media/image4.png"/><Relationship Id="rId1" Type="http://schemas.openxmlformats.org/officeDocument/2006/relationships/image" Target="../media/image1.png"/><Relationship Id="rId6" Type="http://schemas.openxmlformats.org/officeDocument/2006/relationships/chart" Target="../charts/chart16.xml"/><Relationship Id="rId11" Type="http://schemas.openxmlformats.org/officeDocument/2006/relationships/chart" Target="../charts/chart21.xml"/><Relationship Id="rId5" Type="http://schemas.openxmlformats.org/officeDocument/2006/relationships/chart" Target="../charts/chart15.xml"/><Relationship Id="rId15" Type="http://schemas.openxmlformats.org/officeDocument/2006/relationships/chart" Target="../charts/chart25.xml"/><Relationship Id="rId10" Type="http://schemas.openxmlformats.org/officeDocument/2006/relationships/chart" Target="../charts/chart20.xml"/><Relationship Id="rId19" Type="http://schemas.openxmlformats.org/officeDocument/2006/relationships/image" Target="../media/image3.tiff"/><Relationship Id="rId4" Type="http://schemas.openxmlformats.org/officeDocument/2006/relationships/chart" Target="../charts/chart14.xml"/><Relationship Id="rId9" Type="http://schemas.openxmlformats.org/officeDocument/2006/relationships/chart" Target="../charts/chart19.xml"/><Relationship Id="rId14" Type="http://schemas.openxmlformats.org/officeDocument/2006/relationships/chart" Target="../charts/chart2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51</xdr:row>
      <xdr:rowOff>0</xdr:rowOff>
    </xdr:from>
    <xdr:to>
      <xdr:col>2</xdr:col>
      <xdr:colOff>476250</xdr:colOff>
      <xdr:row>51</xdr:row>
      <xdr:rowOff>0</xdr:rowOff>
    </xdr:to>
    <xdr:graphicFrame macro="">
      <xdr:nvGraphicFramePr>
        <xdr:cNvPr id="2667" name="Chart 4">
          <a:extLst>
            <a:ext uri="{FF2B5EF4-FFF2-40B4-BE49-F238E27FC236}">
              <a16:creationId xmlns:a16="http://schemas.microsoft.com/office/drawing/2014/main" id="{00000000-0008-0000-0000-00006B0A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247650</xdr:colOff>
      <xdr:row>70</xdr:row>
      <xdr:rowOff>0</xdr:rowOff>
    </xdr:from>
    <xdr:to>
      <xdr:col>9</xdr:col>
      <xdr:colOff>219075</xdr:colOff>
      <xdr:row>70</xdr:row>
      <xdr:rowOff>0</xdr:rowOff>
    </xdr:to>
    <xdr:graphicFrame macro="">
      <xdr:nvGraphicFramePr>
        <xdr:cNvPr id="2668" name="Chart 5">
          <a:extLst>
            <a:ext uri="{FF2B5EF4-FFF2-40B4-BE49-F238E27FC236}">
              <a16:creationId xmlns:a16="http://schemas.microsoft.com/office/drawing/2014/main" id="{00000000-0008-0000-0000-00006C0A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2</xdr:row>
      <xdr:rowOff>0</xdr:rowOff>
    </xdr:from>
    <xdr:to>
      <xdr:col>3</xdr:col>
      <xdr:colOff>161925</xdr:colOff>
      <xdr:row>21</xdr:row>
      <xdr:rowOff>152401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</xdr:col>
      <xdr:colOff>152400</xdr:colOff>
      <xdr:row>1</xdr:row>
      <xdr:rowOff>161924</xdr:rowOff>
    </xdr:from>
    <xdr:to>
      <xdr:col>9</xdr:col>
      <xdr:colOff>552449</xdr:colOff>
      <xdr:row>21</xdr:row>
      <xdr:rowOff>152399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oneCellAnchor>
    <xdr:from>
      <xdr:col>1</xdr:col>
      <xdr:colOff>799346</xdr:colOff>
      <xdr:row>2</xdr:row>
      <xdr:rowOff>66675</xdr:rowOff>
    </xdr:from>
    <xdr:ext cx="1227195" cy="416781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609221" y="466725"/>
          <a:ext cx="1227195" cy="4167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pPr algn="ctr"/>
          <a:r>
            <a:rPr lang="en-US" sz="1100">
              <a:latin typeface="Arial" pitchFamily="34" charset="0"/>
              <a:cs typeface="Arial" pitchFamily="34" charset="0"/>
            </a:rPr>
            <a:t>GHG Emissions </a:t>
          </a:r>
        </a:p>
        <a:p>
          <a:pPr algn="ctr"/>
          <a:r>
            <a:rPr lang="en-US" sz="1100">
              <a:latin typeface="Arial" pitchFamily="34" charset="0"/>
              <a:cs typeface="Arial" pitchFamily="34" charset="0"/>
            </a:rPr>
            <a:t>(in kg CO2 eq)</a:t>
          </a:r>
        </a:p>
      </xdr:txBody>
    </xdr:sp>
    <xdr:clientData/>
  </xdr:oneCellAnchor>
  <xdr:oneCellAnchor>
    <xdr:from>
      <xdr:col>8</xdr:col>
      <xdr:colOff>37346</xdr:colOff>
      <xdr:row>2</xdr:row>
      <xdr:rowOff>66675</xdr:rowOff>
    </xdr:from>
    <xdr:ext cx="1227195" cy="416781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/>
      </xdr:nvSpPr>
      <xdr:spPr>
        <a:xfrm>
          <a:off x="7924046" y="466725"/>
          <a:ext cx="1227195" cy="4167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pPr algn="ctr"/>
          <a:r>
            <a:rPr lang="en-US" sz="1100">
              <a:latin typeface="Arial" pitchFamily="34" charset="0"/>
              <a:cs typeface="Arial" pitchFamily="34" charset="0"/>
            </a:rPr>
            <a:t>GHG Emissions </a:t>
          </a:r>
        </a:p>
        <a:p>
          <a:pPr algn="ctr"/>
          <a:r>
            <a:rPr lang="en-US" sz="1100">
              <a:latin typeface="Arial" pitchFamily="34" charset="0"/>
              <a:cs typeface="Arial" pitchFamily="34" charset="0"/>
            </a:rPr>
            <a:t>(in kg CO2 eq)</a:t>
          </a:r>
        </a:p>
      </xdr:txBody>
    </xdr:sp>
    <xdr:clientData/>
  </xdr:oneCellAnchor>
  <xdr:twoCellAnchor>
    <xdr:from>
      <xdr:col>0</xdr:col>
      <xdr:colOff>0</xdr:colOff>
      <xdr:row>30</xdr:row>
      <xdr:rowOff>133350</xdr:rowOff>
    </xdr:from>
    <xdr:to>
      <xdr:col>3</xdr:col>
      <xdr:colOff>161925</xdr:colOff>
      <xdr:row>50</xdr:row>
      <xdr:rowOff>123826</xdr:rowOff>
    </xdr:to>
    <xdr:graphicFrame macro="">
      <xdr:nvGraphicFramePr>
        <xdr:cNvPr id="15" name="Chart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0</xdr:colOff>
      <xdr:row>58</xdr:row>
      <xdr:rowOff>104775</xdr:rowOff>
    </xdr:from>
    <xdr:to>
      <xdr:col>3</xdr:col>
      <xdr:colOff>161925</xdr:colOff>
      <xdr:row>78</xdr:row>
      <xdr:rowOff>95251</xdr:rowOff>
    </xdr:to>
    <xdr:graphicFrame macro="">
      <xdr:nvGraphicFramePr>
        <xdr:cNvPr id="16" name="Chart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3</xdr:col>
      <xdr:colOff>161925</xdr:colOff>
      <xdr:row>30</xdr:row>
      <xdr:rowOff>133350</xdr:rowOff>
    </xdr:from>
    <xdr:to>
      <xdr:col>9</xdr:col>
      <xdr:colOff>552449</xdr:colOff>
      <xdr:row>50</xdr:row>
      <xdr:rowOff>123825</xdr:rowOff>
    </xdr:to>
    <xdr:graphicFrame macro="">
      <xdr:nvGraphicFramePr>
        <xdr:cNvPr id="17" name="Chart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3</xdr:col>
      <xdr:colOff>161925</xdr:colOff>
      <xdr:row>58</xdr:row>
      <xdr:rowOff>104775</xdr:rowOff>
    </xdr:from>
    <xdr:to>
      <xdr:col>9</xdr:col>
      <xdr:colOff>714374</xdr:colOff>
      <xdr:row>78</xdr:row>
      <xdr:rowOff>95250</xdr:rowOff>
    </xdr:to>
    <xdr:graphicFrame macro="">
      <xdr:nvGraphicFramePr>
        <xdr:cNvPr id="18" name="Chart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</xdr:col>
      <xdr:colOff>923925</xdr:colOff>
      <xdr:row>31</xdr:row>
      <xdr:rowOff>85725</xdr:rowOff>
    </xdr:from>
    <xdr:to>
      <xdr:col>3</xdr:col>
      <xdr:colOff>80767</xdr:colOff>
      <xdr:row>34</xdr:row>
      <xdr:rowOff>16731</xdr:rowOff>
    </xdr:to>
    <xdr:sp macro="" textlink="">
      <xdr:nvSpPr>
        <xdr:cNvPr id="19" name="TextBox 4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 txBox="1"/>
      </xdr:nvSpPr>
      <xdr:spPr>
        <a:xfrm>
          <a:off x="3733800" y="5267325"/>
          <a:ext cx="1023742" cy="4167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n-US" sz="1100">
              <a:latin typeface="Arial" pitchFamily="34" charset="0"/>
              <a:cs typeface="Arial" pitchFamily="34" charset="0"/>
            </a:rPr>
            <a:t>Total Energy </a:t>
          </a:r>
        </a:p>
        <a:p>
          <a:pPr algn="ctr"/>
          <a:r>
            <a:rPr lang="en-US" sz="1100">
              <a:latin typeface="Arial" pitchFamily="34" charset="0"/>
              <a:cs typeface="Arial" pitchFamily="34" charset="0"/>
            </a:rPr>
            <a:t>(in MJ)</a:t>
          </a:r>
        </a:p>
      </xdr:txBody>
    </xdr:sp>
    <xdr:clientData/>
  </xdr:twoCellAnchor>
  <xdr:twoCellAnchor>
    <xdr:from>
      <xdr:col>8</xdr:col>
      <xdr:colOff>323850</xdr:colOff>
      <xdr:row>31</xdr:row>
      <xdr:rowOff>85725</xdr:rowOff>
    </xdr:from>
    <xdr:to>
      <xdr:col>9</xdr:col>
      <xdr:colOff>633217</xdr:colOff>
      <xdr:row>34</xdr:row>
      <xdr:rowOff>16731</xdr:rowOff>
    </xdr:to>
    <xdr:sp macro="" textlink="">
      <xdr:nvSpPr>
        <xdr:cNvPr id="20" name="TextBox 4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 txBox="1"/>
      </xdr:nvSpPr>
      <xdr:spPr>
        <a:xfrm>
          <a:off x="8572500" y="5267325"/>
          <a:ext cx="1023742" cy="4167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n-US" sz="1100">
              <a:latin typeface="Arial" pitchFamily="34" charset="0"/>
              <a:cs typeface="Arial" pitchFamily="34" charset="0"/>
            </a:rPr>
            <a:t>Total Energy </a:t>
          </a:r>
        </a:p>
        <a:p>
          <a:pPr algn="ctr"/>
          <a:r>
            <a:rPr lang="en-US" sz="1100">
              <a:latin typeface="Arial" pitchFamily="34" charset="0"/>
              <a:cs typeface="Arial" pitchFamily="34" charset="0"/>
            </a:rPr>
            <a:t>(in MJ)</a:t>
          </a:r>
        </a:p>
      </xdr:txBody>
    </xdr:sp>
    <xdr:clientData/>
  </xdr:twoCellAnchor>
  <xdr:twoCellAnchor>
    <xdr:from>
      <xdr:col>8</xdr:col>
      <xdr:colOff>304800</xdr:colOff>
      <xdr:row>59</xdr:row>
      <xdr:rowOff>47625</xdr:rowOff>
    </xdr:from>
    <xdr:to>
      <xdr:col>9</xdr:col>
      <xdr:colOff>668926</xdr:colOff>
      <xdr:row>61</xdr:row>
      <xdr:rowOff>140556</xdr:rowOff>
    </xdr:to>
    <xdr:sp macro="" textlink="">
      <xdr:nvSpPr>
        <xdr:cNvPr id="21" name="TextBox 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 txBox="1"/>
      </xdr:nvSpPr>
      <xdr:spPr>
        <a:xfrm>
          <a:off x="8553450" y="9829800"/>
          <a:ext cx="1078501" cy="4167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n-US" sz="1100" b="0">
              <a:latin typeface="Arial" pitchFamily="34" charset="0"/>
              <a:cs typeface="Arial" pitchFamily="34" charset="0"/>
            </a:rPr>
            <a:t>Fossil Energy </a:t>
          </a:r>
        </a:p>
        <a:p>
          <a:pPr algn="ctr"/>
          <a:r>
            <a:rPr lang="en-US" sz="1100" b="0">
              <a:latin typeface="Arial" pitchFamily="34" charset="0"/>
              <a:cs typeface="Arial" pitchFamily="34" charset="0"/>
            </a:rPr>
            <a:t>(in MJ)</a:t>
          </a:r>
        </a:p>
      </xdr:txBody>
    </xdr:sp>
    <xdr:clientData/>
  </xdr:twoCellAnchor>
  <xdr:twoCellAnchor>
    <xdr:from>
      <xdr:col>1</xdr:col>
      <xdr:colOff>895350</xdr:colOff>
      <xdr:row>59</xdr:row>
      <xdr:rowOff>47625</xdr:rowOff>
    </xdr:from>
    <xdr:to>
      <xdr:col>3</xdr:col>
      <xdr:colOff>106951</xdr:colOff>
      <xdr:row>61</xdr:row>
      <xdr:rowOff>140556</xdr:rowOff>
    </xdr:to>
    <xdr:sp macro="" textlink="">
      <xdr:nvSpPr>
        <xdr:cNvPr id="22" name="TextBox 4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/>
      </xdr:nvSpPr>
      <xdr:spPr>
        <a:xfrm>
          <a:off x="3705225" y="9829800"/>
          <a:ext cx="1078501" cy="4167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n-US" sz="1100" b="0">
              <a:latin typeface="Arial" pitchFamily="34" charset="0"/>
              <a:cs typeface="Arial" pitchFamily="34" charset="0"/>
            </a:rPr>
            <a:t>Fossil Energy </a:t>
          </a:r>
        </a:p>
        <a:p>
          <a:pPr algn="ctr"/>
          <a:r>
            <a:rPr lang="en-US" sz="1100" b="0">
              <a:latin typeface="Arial" pitchFamily="34" charset="0"/>
              <a:cs typeface="Arial" pitchFamily="34" charset="0"/>
            </a:rPr>
            <a:t>(in MJ)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76200</xdr:colOff>
          <xdr:row>42</xdr:row>
          <xdr:rowOff>85725</xdr:rowOff>
        </xdr:from>
        <xdr:to>
          <xdr:col>7</xdr:col>
          <xdr:colOff>66675</xdr:colOff>
          <xdr:row>44</xdr:row>
          <xdr:rowOff>85725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1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Verdana"/>
                  <a:ea typeface="Verdana"/>
                  <a:cs typeface="Verdana"/>
                </a:rPr>
                <a:t>Record Scenario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314325</xdr:colOff>
          <xdr:row>42</xdr:row>
          <xdr:rowOff>85725</xdr:rowOff>
        </xdr:from>
        <xdr:to>
          <xdr:col>10</xdr:col>
          <xdr:colOff>95250</xdr:colOff>
          <xdr:row>44</xdr:row>
          <xdr:rowOff>85725</xdr:rowOff>
        </xdr:to>
        <xdr:sp macro="" textlink="">
          <xdr:nvSpPr>
            <xdr:cNvPr id="2054" name="Button 6" hidden="1">
              <a:extLst>
                <a:ext uri="{63B3BB69-23CF-44E3-9099-C40C66FF867C}">
                  <a14:compatExt spid="_x0000_s2054"/>
                </a:ext>
                <a:ext uri="{FF2B5EF4-FFF2-40B4-BE49-F238E27FC236}">
                  <a16:creationId xmlns:a16="http://schemas.microsoft.com/office/drawing/2014/main" id="{00000000-0008-0000-0100-00000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Verdana"/>
                  <a:ea typeface="Verdana"/>
                  <a:cs typeface="Verdana"/>
                </a:rPr>
                <a:t>Record Scenario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342900</xdr:colOff>
          <xdr:row>42</xdr:row>
          <xdr:rowOff>85725</xdr:rowOff>
        </xdr:from>
        <xdr:to>
          <xdr:col>13</xdr:col>
          <xdr:colOff>381000</xdr:colOff>
          <xdr:row>44</xdr:row>
          <xdr:rowOff>85725</xdr:rowOff>
        </xdr:to>
        <xdr:sp macro="" textlink="">
          <xdr:nvSpPr>
            <xdr:cNvPr id="2055" name="Button 7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id="{00000000-0008-0000-0100-00000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Verdana"/>
                  <a:ea typeface="Verdana"/>
                  <a:cs typeface="Verdana"/>
                </a:rPr>
                <a:t>Record Scenario 3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219075</xdr:colOff>
          <xdr:row>34</xdr:row>
          <xdr:rowOff>142875</xdr:rowOff>
        </xdr:from>
        <xdr:to>
          <xdr:col>2</xdr:col>
          <xdr:colOff>400050</xdr:colOff>
          <xdr:row>38</xdr:row>
          <xdr:rowOff>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2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Verdana"/>
                  <a:ea typeface="Verdana"/>
                  <a:cs typeface="Verdana"/>
                </a:rPr>
                <a:t>Record Scenario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247650</xdr:colOff>
          <xdr:row>34</xdr:row>
          <xdr:rowOff>142875</xdr:rowOff>
        </xdr:from>
        <xdr:to>
          <xdr:col>4</xdr:col>
          <xdr:colOff>428625</xdr:colOff>
          <xdr:row>38</xdr:row>
          <xdr:rowOff>0</xdr:rowOff>
        </xdr:to>
        <xdr:sp macro="" textlink="">
          <xdr:nvSpPr>
            <xdr:cNvPr id="3074" name="Button 2" descr="Record Scenario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2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Verdana"/>
                  <a:ea typeface="Verdana"/>
                  <a:cs typeface="Verdana"/>
                </a:rPr>
                <a:t>Record Scenario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257175</xdr:colOff>
          <xdr:row>34</xdr:row>
          <xdr:rowOff>142875</xdr:rowOff>
        </xdr:from>
        <xdr:to>
          <xdr:col>6</xdr:col>
          <xdr:colOff>438150</xdr:colOff>
          <xdr:row>38</xdr:row>
          <xdr:rowOff>0</xdr:rowOff>
        </xdr:to>
        <xdr:sp macro="" textlink="">
          <xdr:nvSpPr>
            <xdr:cNvPr id="3075" name="Button 3" descr="Record Scenario 2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2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Verdana"/>
                  <a:ea typeface="Verdana"/>
                  <a:cs typeface="Verdana"/>
                </a:rPr>
                <a:t>Record Scenario 3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1724025</xdr:colOff>
      <xdr:row>2</xdr:row>
      <xdr:rowOff>0</xdr:rowOff>
    </xdr:from>
    <xdr:to>
      <xdr:col>4</xdr:col>
      <xdr:colOff>684276</xdr:colOff>
      <xdr:row>14</xdr:row>
      <xdr:rowOff>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1</xdr:colOff>
      <xdr:row>2</xdr:row>
      <xdr:rowOff>0</xdr:rowOff>
    </xdr:from>
    <xdr:to>
      <xdr:col>11</xdr:col>
      <xdr:colOff>0</xdr:colOff>
      <xdr:row>14</xdr:row>
      <xdr:rowOff>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13</xdr:col>
      <xdr:colOff>0</xdr:colOff>
      <xdr:row>2</xdr:row>
      <xdr:rowOff>0</xdr:rowOff>
    </xdr:from>
    <xdr:to>
      <xdr:col>17</xdr:col>
      <xdr:colOff>0</xdr:colOff>
      <xdr:row>14</xdr:row>
      <xdr:rowOff>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16</xdr:col>
      <xdr:colOff>0</xdr:colOff>
      <xdr:row>34</xdr:row>
      <xdr:rowOff>9524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SpPr/>
      </xdr:nvSpPr>
      <xdr:spPr>
        <a:xfrm>
          <a:off x="0" y="0"/>
          <a:ext cx="15478125" cy="5514974"/>
        </a:xfrm>
        <a:prstGeom prst="rect">
          <a:avLst/>
        </a:prstGeom>
        <a:solidFill>
          <a:srgbClr val="EEF1F4"/>
        </a:solidFill>
        <a:ln>
          <a:solidFill>
            <a:srgbClr val="FF690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5</xdr:col>
      <xdr:colOff>0</xdr:colOff>
      <xdr:row>2</xdr:row>
      <xdr:rowOff>0</xdr:rowOff>
    </xdr:from>
    <xdr:to>
      <xdr:col>15</xdr:col>
      <xdr:colOff>635</xdr:colOff>
      <xdr:row>16</xdr:row>
      <xdr:rowOff>37465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34325" y="323850"/>
          <a:ext cx="6858635" cy="2304415"/>
        </a:xfrm>
        <a:prstGeom prst="rect">
          <a:avLst/>
        </a:prstGeom>
        <a:noFill/>
      </xdr:spPr>
    </xdr:pic>
    <xdr:clientData/>
  </xdr:twoCellAnchor>
  <xdr:twoCellAnchor>
    <xdr:from>
      <xdr:col>6</xdr:col>
      <xdr:colOff>0</xdr:colOff>
      <xdr:row>37</xdr:row>
      <xdr:rowOff>1</xdr:rowOff>
    </xdr:from>
    <xdr:to>
      <xdr:col>16</xdr:col>
      <xdr:colOff>0</xdr:colOff>
      <xdr:row>61</xdr:row>
      <xdr:rowOff>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0A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36</xdr:row>
          <xdr:rowOff>0</xdr:rowOff>
        </xdr:from>
        <xdr:to>
          <xdr:col>16</xdr:col>
          <xdr:colOff>0</xdr:colOff>
          <xdr:row>37</xdr:row>
          <xdr:rowOff>0</xdr:rowOff>
        </xdr:to>
        <xdr:sp macro="" textlink="">
          <xdr:nvSpPr>
            <xdr:cNvPr id="13313" name="Drop Down 1" hidden="1">
              <a:extLst>
                <a:ext uri="{63B3BB69-23CF-44E3-9099-C40C66FF867C}">
                  <a14:compatExt spid="_x0000_s13313"/>
                </a:ext>
                <a:ext uri="{FF2B5EF4-FFF2-40B4-BE49-F238E27FC236}">
                  <a16:creationId xmlns:a16="http://schemas.microsoft.com/office/drawing/2014/main" id="{00000000-0008-0000-0A00-000001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28</xdr:col>
      <xdr:colOff>0</xdr:colOff>
      <xdr:row>36</xdr:row>
      <xdr:rowOff>1</xdr:rowOff>
    </xdr:from>
    <xdr:to>
      <xdr:col>40</xdr:col>
      <xdr:colOff>647700</xdr:colOff>
      <xdr:row>61</xdr:row>
      <xdr:rowOff>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00000000-0008-0000-0A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135</xdr:row>
          <xdr:rowOff>0</xdr:rowOff>
        </xdr:from>
        <xdr:to>
          <xdr:col>16</xdr:col>
          <xdr:colOff>0</xdr:colOff>
          <xdr:row>136</xdr:row>
          <xdr:rowOff>0</xdr:rowOff>
        </xdr:to>
        <xdr:sp macro="" textlink="">
          <xdr:nvSpPr>
            <xdr:cNvPr id="13314" name="Drop Down 2" hidden="1">
              <a:extLst>
                <a:ext uri="{63B3BB69-23CF-44E3-9099-C40C66FF867C}">
                  <a14:compatExt spid="_x0000_s13314"/>
                </a:ext>
                <a:ext uri="{FF2B5EF4-FFF2-40B4-BE49-F238E27FC236}">
                  <a16:creationId xmlns:a16="http://schemas.microsoft.com/office/drawing/2014/main" id="{00000000-0008-0000-0A00-000002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5</xdr:col>
      <xdr:colOff>685799</xdr:colOff>
      <xdr:row>161</xdr:row>
      <xdr:rowOff>0</xdr:rowOff>
    </xdr:from>
    <xdr:to>
      <xdr:col>18</xdr:col>
      <xdr:colOff>676274</xdr:colOff>
      <xdr:row>179</xdr:row>
      <xdr:rowOff>152400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00000000-0008-0000-0A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5</xdr:col>
      <xdr:colOff>685799</xdr:colOff>
      <xdr:row>181</xdr:row>
      <xdr:rowOff>1</xdr:rowOff>
    </xdr:from>
    <xdr:to>
      <xdr:col>18</xdr:col>
      <xdr:colOff>676274</xdr:colOff>
      <xdr:row>199</xdr:row>
      <xdr:rowOff>152400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00000000-0008-0000-0A00-000009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6</xdr:col>
      <xdr:colOff>0</xdr:colOff>
      <xdr:row>201</xdr:row>
      <xdr:rowOff>9525</xdr:rowOff>
    </xdr:from>
    <xdr:to>
      <xdr:col>19</xdr:col>
      <xdr:colOff>0</xdr:colOff>
      <xdr:row>219</xdr:row>
      <xdr:rowOff>152400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00000000-0008-0000-0A00-00000A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5</xdr:col>
      <xdr:colOff>685799</xdr:colOff>
      <xdr:row>64</xdr:row>
      <xdr:rowOff>0</xdr:rowOff>
    </xdr:from>
    <xdr:to>
      <xdr:col>18</xdr:col>
      <xdr:colOff>676274</xdr:colOff>
      <xdr:row>83</xdr:row>
      <xdr:rowOff>0</xdr:rowOff>
    </xdr:to>
    <xdr:graphicFrame macro="">
      <xdr:nvGraphicFramePr>
        <xdr:cNvPr id="11" name="Chart 10">
          <a:extLst>
            <a:ext uri="{FF2B5EF4-FFF2-40B4-BE49-F238E27FC236}">
              <a16:creationId xmlns:a16="http://schemas.microsoft.com/office/drawing/2014/main" id="{00000000-0008-0000-0A00-00000B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5</xdr:col>
      <xdr:colOff>685799</xdr:colOff>
      <xdr:row>88</xdr:row>
      <xdr:rowOff>0</xdr:rowOff>
    </xdr:from>
    <xdr:to>
      <xdr:col>18</xdr:col>
      <xdr:colOff>676274</xdr:colOff>
      <xdr:row>107</xdr:row>
      <xdr:rowOff>0</xdr:rowOff>
    </xdr:to>
    <xdr:graphicFrame macro="">
      <xdr:nvGraphicFramePr>
        <xdr:cNvPr id="12" name="Chart 11">
          <a:extLst>
            <a:ext uri="{FF2B5EF4-FFF2-40B4-BE49-F238E27FC236}">
              <a16:creationId xmlns:a16="http://schemas.microsoft.com/office/drawing/2014/main" id="{00000000-0008-0000-0A00-00000C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6</xdr:col>
      <xdr:colOff>0</xdr:colOff>
      <xdr:row>112</xdr:row>
      <xdr:rowOff>0</xdr:rowOff>
    </xdr:from>
    <xdr:to>
      <xdr:col>19</xdr:col>
      <xdr:colOff>0</xdr:colOff>
      <xdr:row>131</xdr:row>
      <xdr:rowOff>0</xdr:rowOff>
    </xdr:to>
    <xdr:graphicFrame macro="">
      <xdr:nvGraphicFramePr>
        <xdr:cNvPr id="13" name="Chart 12">
          <a:extLst>
            <a:ext uri="{FF2B5EF4-FFF2-40B4-BE49-F238E27FC236}">
              <a16:creationId xmlns:a16="http://schemas.microsoft.com/office/drawing/2014/main" id="{00000000-0008-0000-0A00-00000D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6</xdr:col>
      <xdr:colOff>0</xdr:colOff>
      <xdr:row>136</xdr:row>
      <xdr:rowOff>1</xdr:rowOff>
    </xdr:from>
    <xdr:to>
      <xdr:col>16</xdr:col>
      <xdr:colOff>0</xdr:colOff>
      <xdr:row>160</xdr:row>
      <xdr:rowOff>0</xdr:rowOff>
    </xdr:to>
    <xdr:graphicFrame macro="">
      <xdr:nvGraphicFramePr>
        <xdr:cNvPr id="14" name="Chart 13">
          <a:extLst>
            <a:ext uri="{FF2B5EF4-FFF2-40B4-BE49-F238E27FC236}">
              <a16:creationId xmlns:a16="http://schemas.microsoft.com/office/drawing/2014/main" id="{00000000-0008-0000-0A00-00000E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28</xdr:col>
      <xdr:colOff>1</xdr:colOff>
      <xdr:row>135</xdr:row>
      <xdr:rowOff>0</xdr:rowOff>
    </xdr:from>
    <xdr:to>
      <xdr:col>41</xdr:col>
      <xdr:colOff>19051</xdr:colOff>
      <xdr:row>159</xdr:row>
      <xdr:rowOff>161924</xdr:rowOff>
    </xdr:to>
    <xdr:graphicFrame macro="">
      <xdr:nvGraphicFramePr>
        <xdr:cNvPr id="15" name="Chart 14">
          <a:extLst>
            <a:ext uri="{FF2B5EF4-FFF2-40B4-BE49-F238E27FC236}">
              <a16:creationId xmlns:a16="http://schemas.microsoft.com/office/drawing/2014/main" id="{00000000-0008-0000-0A00-00000F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17</xdr:col>
      <xdr:colOff>0</xdr:colOff>
      <xdr:row>37</xdr:row>
      <xdr:rowOff>1</xdr:rowOff>
    </xdr:from>
    <xdr:to>
      <xdr:col>27</xdr:col>
      <xdr:colOff>0</xdr:colOff>
      <xdr:row>61</xdr:row>
      <xdr:rowOff>0</xdr:rowOff>
    </xdr:to>
    <xdr:graphicFrame macro="">
      <xdr:nvGraphicFramePr>
        <xdr:cNvPr id="16" name="Chart 15">
          <a:extLst>
            <a:ext uri="{FF2B5EF4-FFF2-40B4-BE49-F238E27FC236}">
              <a16:creationId xmlns:a16="http://schemas.microsoft.com/office/drawing/2014/main" id="{00000000-0008-0000-0A00-000010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17</xdr:col>
      <xdr:colOff>0</xdr:colOff>
      <xdr:row>136</xdr:row>
      <xdr:rowOff>1</xdr:rowOff>
    </xdr:from>
    <xdr:to>
      <xdr:col>27</xdr:col>
      <xdr:colOff>0</xdr:colOff>
      <xdr:row>160</xdr:row>
      <xdr:rowOff>0</xdr:rowOff>
    </xdr:to>
    <xdr:graphicFrame macro="">
      <xdr:nvGraphicFramePr>
        <xdr:cNvPr id="17" name="Chart 16">
          <a:extLst>
            <a:ext uri="{FF2B5EF4-FFF2-40B4-BE49-F238E27FC236}">
              <a16:creationId xmlns:a16="http://schemas.microsoft.com/office/drawing/2014/main" id="{00000000-0008-0000-0A00-000011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6</xdr:col>
      <xdr:colOff>0</xdr:colOff>
      <xdr:row>223</xdr:row>
      <xdr:rowOff>0</xdr:rowOff>
    </xdr:from>
    <xdr:to>
      <xdr:col>19</xdr:col>
      <xdr:colOff>0</xdr:colOff>
      <xdr:row>245</xdr:row>
      <xdr:rowOff>0</xdr:rowOff>
    </xdr:to>
    <xdr:graphicFrame macro="">
      <xdr:nvGraphicFramePr>
        <xdr:cNvPr id="23" name="Chart 22">
          <a:extLst>
            <a:ext uri="{FF2B5EF4-FFF2-40B4-BE49-F238E27FC236}">
              <a16:creationId xmlns:a16="http://schemas.microsoft.com/office/drawing/2014/main" id="{00000000-0008-0000-0A00-00001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6</xdr:col>
      <xdr:colOff>0</xdr:colOff>
      <xdr:row>273</xdr:row>
      <xdr:rowOff>19050</xdr:rowOff>
    </xdr:from>
    <xdr:to>
      <xdr:col>18</xdr:col>
      <xdr:colOff>676275</xdr:colOff>
      <xdr:row>288</xdr:row>
      <xdr:rowOff>9525</xdr:rowOff>
    </xdr:to>
    <xdr:graphicFrame macro="">
      <xdr:nvGraphicFramePr>
        <xdr:cNvPr id="24" name="Chart 23">
          <a:extLst>
            <a:ext uri="{FF2B5EF4-FFF2-40B4-BE49-F238E27FC236}">
              <a16:creationId xmlns:a16="http://schemas.microsoft.com/office/drawing/2014/main" id="{00000000-0008-0000-0A00-00001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6</xdr:col>
      <xdr:colOff>0</xdr:colOff>
      <xdr:row>290</xdr:row>
      <xdr:rowOff>0</xdr:rowOff>
    </xdr:from>
    <xdr:to>
      <xdr:col>19</xdr:col>
      <xdr:colOff>0</xdr:colOff>
      <xdr:row>305</xdr:row>
      <xdr:rowOff>0</xdr:rowOff>
    </xdr:to>
    <xdr:graphicFrame macro="">
      <xdr:nvGraphicFramePr>
        <xdr:cNvPr id="25" name="Chart 24">
          <a:extLst>
            <a:ext uri="{FF2B5EF4-FFF2-40B4-BE49-F238E27FC236}">
              <a16:creationId xmlns:a16="http://schemas.microsoft.com/office/drawing/2014/main" id="{00000000-0008-0000-0A00-000019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6</xdr:col>
      <xdr:colOff>9525</xdr:colOff>
      <xdr:row>246</xdr:row>
      <xdr:rowOff>142875</xdr:rowOff>
    </xdr:from>
    <xdr:to>
      <xdr:col>19</xdr:col>
      <xdr:colOff>9525</xdr:colOff>
      <xdr:row>268</xdr:row>
      <xdr:rowOff>19050</xdr:rowOff>
    </xdr:to>
    <xdr:graphicFrame macro="">
      <xdr:nvGraphicFramePr>
        <xdr:cNvPr id="26" name="Chart 25">
          <a:extLst>
            <a:ext uri="{FF2B5EF4-FFF2-40B4-BE49-F238E27FC236}">
              <a16:creationId xmlns:a16="http://schemas.microsoft.com/office/drawing/2014/main" id="{00000000-0008-0000-0A00-00001A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 editAs="oneCell">
    <xdr:from>
      <xdr:col>7</xdr:col>
      <xdr:colOff>19051</xdr:colOff>
      <xdr:row>17</xdr:row>
      <xdr:rowOff>9525</xdr:rowOff>
    </xdr:from>
    <xdr:to>
      <xdr:col>15</xdr:col>
      <xdr:colOff>545783</xdr:colOff>
      <xdr:row>30</xdr:row>
      <xdr:rowOff>152400</xdr:rowOff>
    </xdr:to>
    <xdr:pic>
      <xdr:nvPicPr>
        <xdr:cNvPr id="33" name="Picture 32">
          <a:extLst>
            <a:ext uri="{FF2B5EF4-FFF2-40B4-BE49-F238E27FC236}">
              <a16:creationId xmlns:a16="http://schemas.microsoft.com/office/drawing/2014/main" id="{00000000-0008-0000-0A00-00002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24976" y="2762250"/>
          <a:ext cx="6013132" cy="2247900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76200</xdr:colOff>
      <xdr:row>16</xdr:row>
      <xdr:rowOff>133350</xdr:rowOff>
    </xdr:from>
    <xdr:to>
      <xdr:col>7</xdr:col>
      <xdr:colOff>47625</xdr:colOff>
      <xdr:row>20</xdr:row>
      <xdr:rowOff>57150</xdr:rowOff>
    </xdr:to>
    <xdr:sp macro="" textlink="">
      <xdr:nvSpPr>
        <xdr:cNvPr id="22" name="Right Arrow 21">
          <a:extLst>
            <a:ext uri="{FF2B5EF4-FFF2-40B4-BE49-F238E27FC236}">
              <a16:creationId xmlns:a16="http://schemas.microsoft.com/office/drawing/2014/main" id="{00000000-0008-0000-0A00-000016000000}"/>
            </a:ext>
          </a:extLst>
        </xdr:cNvPr>
        <xdr:cNvSpPr/>
      </xdr:nvSpPr>
      <xdr:spPr>
        <a:xfrm>
          <a:off x="8010525" y="2724150"/>
          <a:ext cx="1343025" cy="571500"/>
        </a:xfrm>
        <a:prstGeom prst="rightArrow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050" b="1">
              <a:solidFill>
                <a:srgbClr val="5C7F92"/>
              </a:solidFill>
              <a:latin typeface="Arial" panose="020B0604020202020204" pitchFamily="34" charset="0"/>
              <a:cs typeface="Arial" panose="020B0604020202020204" pitchFamily="34" charset="0"/>
            </a:rPr>
            <a:t>2) PASTE</a:t>
          </a:r>
          <a:r>
            <a:rPr lang="en-US" sz="1050" b="1" baseline="0">
              <a:solidFill>
                <a:srgbClr val="5C7F92"/>
              </a:solidFill>
              <a:latin typeface="Arial" panose="020B0604020202020204" pitchFamily="34" charset="0"/>
              <a:cs typeface="Arial" panose="020B0604020202020204" pitchFamily="34" charset="0"/>
            </a:rPr>
            <a:t> HERE</a:t>
          </a:r>
          <a:endParaRPr lang="en-US" sz="1050" b="1">
            <a:solidFill>
              <a:srgbClr val="5C7F92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0</xdr:col>
      <xdr:colOff>371474</xdr:colOff>
      <xdr:row>1</xdr:row>
      <xdr:rowOff>28574</xdr:rowOff>
    </xdr:from>
    <xdr:to>
      <xdr:col>0</xdr:col>
      <xdr:colOff>3470699</xdr:colOff>
      <xdr:row>4</xdr:row>
      <xdr:rowOff>161924</xdr:rowOff>
    </xdr:to>
    <xdr:pic>
      <xdr:nvPicPr>
        <xdr:cNvPr id="29" name="Picture 28">
          <a:extLst>
            <a:ext uri="{FF2B5EF4-FFF2-40B4-BE49-F238E27FC236}">
              <a16:creationId xmlns:a16="http://schemas.microsoft.com/office/drawing/2014/main" id="{00000000-0008-0000-0A00-00001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1474" y="190499"/>
          <a:ext cx="3099225" cy="619125"/>
        </a:xfrm>
        <a:prstGeom prst="rect">
          <a:avLst/>
        </a:prstGeom>
      </xdr:spPr>
    </xdr:pic>
    <xdr:clientData/>
  </xdr:twoCellAnchor>
  <xdr:twoCellAnchor editAs="oneCell">
    <xdr:from>
      <xdr:col>0</xdr:col>
      <xdr:colOff>180975</xdr:colOff>
      <xdr:row>7</xdr:row>
      <xdr:rowOff>104775</xdr:rowOff>
    </xdr:from>
    <xdr:to>
      <xdr:col>3</xdr:col>
      <xdr:colOff>419100</xdr:colOff>
      <xdr:row>32</xdr:row>
      <xdr:rowOff>38101</xdr:rowOff>
    </xdr:to>
    <xdr:pic>
      <xdr:nvPicPr>
        <xdr:cNvPr id="27" name="Picture 26">
          <a:extLst>
            <a:ext uri="{FF2B5EF4-FFF2-40B4-BE49-F238E27FC236}">
              <a16:creationId xmlns:a16="http://schemas.microsoft.com/office/drawing/2014/main" id="{00000000-0008-0000-0A00-00001B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0"/>
        <a:srcRect l="33309" t="35462" r="7628" b="9019"/>
        <a:stretch/>
      </xdr:blipFill>
      <xdr:spPr>
        <a:xfrm>
          <a:off x="180975" y="1238250"/>
          <a:ext cx="6553200" cy="3981451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</xdr:spPr>
    </xdr:pic>
    <xdr:clientData/>
  </xdr:twoCellAnchor>
  <xdr:twoCellAnchor>
    <xdr:from>
      <xdr:col>3</xdr:col>
      <xdr:colOff>428622</xdr:colOff>
      <xdr:row>8</xdr:row>
      <xdr:rowOff>123825</xdr:rowOff>
    </xdr:from>
    <xdr:to>
      <xdr:col>6</xdr:col>
      <xdr:colOff>180974</xdr:colOff>
      <xdr:row>12</xdr:row>
      <xdr:rowOff>47625</xdr:rowOff>
    </xdr:to>
    <xdr:sp macro="" textlink="">
      <xdr:nvSpPr>
        <xdr:cNvPr id="21" name="Right Arrow 20">
          <a:extLst>
            <a:ext uri="{FF2B5EF4-FFF2-40B4-BE49-F238E27FC236}">
              <a16:creationId xmlns:a16="http://schemas.microsoft.com/office/drawing/2014/main" id="{00000000-0008-0000-0A00-000015000000}"/>
            </a:ext>
          </a:extLst>
        </xdr:cNvPr>
        <xdr:cNvSpPr/>
      </xdr:nvSpPr>
      <xdr:spPr>
        <a:xfrm flipH="1">
          <a:off x="6743697" y="1419225"/>
          <a:ext cx="2057402" cy="571500"/>
        </a:xfrm>
        <a:prstGeom prst="rightArrow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050" b="1">
              <a:solidFill>
                <a:srgbClr val="5C7F92"/>
              </a:solidFill>
              <a:latin typeface="Arial" panose="020B0604020202020204" pitchFamily="34" charset="0"/>
              <a:cs typeface="Arial" panose="020B0604020202020204" pitchFamily="34" charset="0"/>
            </a:rPr>
            <a:t>1) COPY ENVISION TABLE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7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5.xml"/><Relationship Id="rId4" Type="http://schemas.openxmlformats.org/officeDocument/2006/relationships/ctrlProp" Target="../ctrlProps/ctrlProp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A1:S102"/>
  <sheetViews>
    <sheetView zoomScaleNormal="100" workbookViewId="0">
      <selection activeCell="L36" sqref="L36"/>
    </sheetView>
  </sheetViews>
  <sheetFormatPr defaultColWidth="8.75" defaultRowHeight="12.75" x14ac:dyDescent="0.2"/>
  <cols>
    <col min="1" max="1" width="32.125" style="218" customWidth="1"/>
    <col min="2" max="2" width="15.125" style="218" bestFit="1" customWidth="1"/>
    <col min="3" max="9" width="9.375" style="218" customWidth="1"/>
    <col min="10" max="10" width="7.25" style="218" customWidth="1"/>
    <col min="11" max="11" width="25.75" style="218" bestFit="1" customWidth="1"/>
    <col min="12" max="12" width="7.25" style="218" customWidth="1"/>
    <col min="13" max="16384" width="8.75" style="218"/>
  </cols>
  <sheetData>
    <row r="1" spans="1:12" ht="18.75" thickBot="1" x14ac:dyDescent="0.3">
      <c r="A1" s="1156" t="s">
        <v>312</v>
      </c>
      <c r="B1" s="1157"/>
      <c r="C1" s="1157"/>
      <c r="D1" s="1157"/>
      <c r="E1" s="1157"/>
      <c r="F1" s="1157"/>
      <c r="G1" s="1157"/>
      <c r="H1" s="1157"/>
      <c r="I1" s="1157"/>
      <c r="J1" s="1158"/>
    </row>
    <row r="2" spans="1:12" x14ac:dyDescent="0.2">
      <c r="B2" s="1155"/>
      <c r="C2" s="1155"/>
      <c r="D2" s="1155"/>
      <c r="E2" s="1155"/>
      <c r="F2" s="1155"/>
    </row>
    <row r="4" spans="1:12" x14ac:dyDescent="0.2">
      <c r="A4" s="219"/>
      <c r="F4" s="219"/>
      <c r="I4" s="220"/>
    </row>
    <row r="5" spans="1:12" x14ac:dyDescent="0.2">
      <c r="A5" s="219"/>
      <c r="F5" s="219"/>
      <c r="I5" s="221"/>
    </row>
    <row r="6" spans="1:12" x14ac:dyDescent="0.2">
      <c r="A6" s="219"/>
    </row>
    <row r="7" spans="1:12" x14ac:dyDescent="0.2">
      <c r="A7" s="219"/>
      <c r="C7" s="222"/>
      <c r="D7" s="222" t="s">
        <v>69</v>
      </c>
      <c r="E7" s="222" t="s">
        <v>44</v>
      </c>
      <c r="F7" s="222" t="s">
        <v>45</v>
      </c>
    </row>
    <row r="8" spans="1:12" x14ac:dyDescent="0.2">
      <c r="A8" s="223"/>
      <c r="C8" s="224" t="s">
        <v>27</v>
      </c>
      <c r="D8" s="225">
        <f ca="1">B25</f>
        <v>6629.7393219529176</v>
      </c>
      <c r="E8" s="225">
        <f ca="1">B26</f>
        <v>6021.1818729517281</v>
      </c>
      <c r="F8" s="225">
        <f ca="1">B27</f>
        <v>9737.1733313799014</v>
      </c>
      <c r="G8" s="226"/>
      <c r="H8" s="223"/>
      <c r="I8" s="223"/>
      <c r="L8" s="222"/>
    </row>
    <row r="9" spans="1:12" x14ac:dyDescent="0.2">
      <c r="A9" s="223"/>
      <c r="B9" s="218">
        <v>2</v>
      </c>
      <c r="C9" s="225">
        <f>B9*'Data Input'!$H$13/10</f>
        <v>40000</v>
      </c>
      <c r="D9" s="225">
        <f ca="1">$D$8+B9*$C$25/10</f>
        <v>12509.101021330211</v>
      </c>
      <c r="E9" s="225">
        <f ca="1">$E$8+B9*$C$26/10</f>
        <v>11581.702527834321</v>
      </c>
      <c r="F9" s="225">
        <f ca="1">$F$8+B9*$C$27/10</f>
        <v>15195.664852024192</v>
      </c>
      <c r="G9" s="223"/>
      <c r="H9" s="223"/>
      <c r="I9" s="223"/>
      <c r="L9" s="222"/>
    </row>
    <row r="10" spans="1:12" x14ac:dyDescent="0.2">
      <c r="A10" s="219"/>
      <c r="B10" s="218">
        <v>4</v>
      </c>
      <c r="C10" s="225">
        <f>B10*'Data Input'!$H$13/10</f>
        <v>80000</v>
      </c>
      <c r="D10" s="225">
        <f ca="1">$D$8+B10*$C$25/10</f>
        <v>18388.462720707506</v>
      </c>
      <c r="E10" s="225">
        <f ca="1">$E$8+B10*$C$26/10</f>
        <v>17142.223182716916</v>
      </c>
      <c r="F10" s="225">
        <f ca="1">$F$8+B10*$C$27/10</f>
        <v>20654.156372668484</v>
      </c>
      <c r="G10" s="227"/>
      <c r="H10" s="228"/>
      <c r="I10" s="227"/>
      <c r="L10" s="222"/>
    </row>
    <row r="11" spans="1:12" x14ac:dyDescent="0.2">
      <c r="A11" s="219"/>
      <c r="B11" s="218">
        <v>6</v>
      </c>
      <c r="C11" s="225">
        <f>B11*'Data Input'!$H$13/10</f>
        <v>120000</v>
      </c>
      <c r="D11" s="225">
        <f ca="1">$D$8+B11*$C$25/10</f>
        <v>24267.824420084802</v>
      </c>
      <c r="E11" s="225">
        <f ca="1">$E$8+B11*$C$26/10</f>
        <v>22702.743837599508</v>
      </c>
      <c r="F11" s="225">
        <f ca="1">$F$8+B11*$C$27/10</f>
        <v>26112.647893312773</v>
      </c>
      <c r="G11" s="227"/>
      <c r="H11" s="228"/>
      <c r="I11" s="227"/>
      <c r="L11" s="222"/>
    </row>
    <row r="12" spans="1:12" x14ac:dyDescent="0.2">
      <c r="A12" s="219"/>
      <c r="B12" s="218">
        <v>8</v>
      </c>
      <c r="C12" s="225">
        <f>B12*'Data Input'!$H$13/10</f>
        <v>160000</v>
      </c>
      <c r="D12" s="225">
        <f ca="1">$D$8+B12*$C$25/10</f>
        <v>30147.186119462094</v>
      </c>
      <c r="E12" s="225">
        <f ca="1">$E$8+B12*$C$26/10</f>
        <v>28263.264492482103</v>
      </c>
      <c r="F12" s="225">
        <f ca="1">$F$8+B12*$C$27/10</f>
        <v>31571.139413957066</v>
      </c>
      <c r="G12" s="227"/>
      <c r="I12" s="227"/>
      <c r="L12" s="222"/>
    </row>
    <row r="13" spans="1:12" x14ac:dyDescent="0.2">
      <c r="A13" s="219"/>
      <c r="B13" s="218">
        <v>10</v>
      </c>
      <c r="C13" s="225">
        <f>B13*'Data Input'!$H$13/10</f>
        <v>200000</v>
      </c>
      <c r="D13" s="225">
        <f ca="1">$D$8+B13*$C$25/10</f>
        <v>36026.547818839383</v>
      </c>
      <c r="E13" s="225">
        <f ca="1">$E$8+B13*$C$26/10</f>
        <v>33823.785147364695</v>
      </c>
      <c r="F13" s="225">
        <f ca="1">$F$8+B13*$C$27/10</f>
        <v>37029.630934601359</v>
      </c>
      <c r="G13" s="227"/>
      <c r="I13" s="227"/>
      <c r="L13" s="222"/>
    </row>
    <row r="14" spans="1:12" x14ac:dyDescent="0.2">
      <c r="A14" s="219"/>
      <c r="C14" s="224" t="s">
        <v>14</v>
      </c>
      <c r="D14" s="229">
        <f ca="1">E25</f>
        <v>33966.283924268711</v>
      </c>
      <c r="E14" s="229">
        <f ca="1">E26</f>
        <v>32070.698777097296</v>
      </c>
      <c r="F14" s="229">
        <f ca="1">E27</f>
        <v>32985.680231015729</v>
      </c>
      <c r="G14" s="227"/>
      <c r="I14" s="227"/>
      <c r="L14" s="222"/>
    </row>
    <row r="15" spans="1:12" x14ac:dyDescent="0.2">
      <c r="A15" s="219"/>
      <c r="C15" s="225"/>
      <c r="D15" s="225"/>
      <c r="E15" s="225"/>
      <c r="F15" s="225"/>
      <c r="G15" s="227"/>
      <c r="I15" s="227"/>
      <c r="L15" s="222"/>
    </row>
    <row r="16" spans="1:12" x14ac:dyDescent="0.2">
      <c r="A16" s="219"/>
      <c r="I16" s="227"/>
      <c r="L16" s="222"/>
    </row>
    <row r="17" spans="1:12" x14ac:dyDescent="0.2">
      <c r="A17" s="230"/>
      <c r="C17" s="225"/>
      <c r="D17" s="225"/>
      <c r="E17" s="225"/>
      <c r="F17" s="225"/>
      <c r="G17" s="231"/>
      <c r="I17" s="232"/>
      <c r="L17" s="222"/>
    </row>
    <row r="18" spans="1:12" x14ac:dyDescent="0.2">
      <c r="A18" s="230"/>
      <c r="G18" s="219"/>
      <c r="I18" s="232"/>
      <c r="J18" s="219"/>
      <c r="L18" s="222"/>
    </row>
    <row r="19" spans="1:12" x14ac:dyDescent="0.2">
      <c r="A19" s="230"/>
      <c r="L19" s="222"/>
    </row>
    <row r="20" spans="1:12" x14ac:dyDescent="0.2">
      <c r="A20" s="230"/>
      <c r="B20" s="222"/>
      <c r="C20" s="222"/>
      <c r="D20" s="222"/>
      <c r="E20" s="222"/>
      <c r="F20" s="222"/>
      <c r="L20" s="222"/>
    </row>
    <row r="21" spans="1:12" x14ac:dyDescent="0.2">
      <c r="A21" s="230"/>
      <c r="E21" s="219"/>
      <c r="L21" s="228"/>
    </row>
    <row r="22" spans="1:12" x14ac:dyDescent="0.2">
      <c r="B22" s="220"/>
      <c r="C22" s="220"/>
      <c r="D22" s="220"/>
      <c r="G22" s="220"/>
      <c r="I22" s="220"/>
    </row>
    <row r="23" spans="1:12" ht="15.75" x14ac:dyDescent="0.25">
      <c r="A23" s="233"/>
      <c r="B23" s="234"/>
      <c r="C23" s="235"/>
      <c r="D23" s="236"/>
      <c r="E23" s="237"/>
      <c r="F23" s="222"/>
      <c r="G23" s="238"/>
      <c r="I23" s="228"/>
    </row>
    <row r="24" spans="1:12" ht="15" thickBot="1" x14ac:dyDescent="0.3">
      <c r="A24" s="239" t="s">
        <v>15</v>
      </c>
      <c r="B24" s="240" t="s">
        <v>27</v>
      </c>
      <c r="C24" s="237" t="s">
        <v>68</v>
      </c>
      <c r="D24" s="224" t="s">
        <v>311</v>
      </c>
      <c r="E24" s="240" t="s">
        <v>14</v>
      </c>
      <c r="F24" s="288" t="s">
        <v>313</v>
      </c>
      <c r="G24" s="289" t="s">
        <v>314</v>
      </c>
      <c r="I24" s="224"/>
      <c r="J24" s="231"/>
    </row>
    <row r="25" spans="1:12" x14ac:dyDescent="0.2">
      <c r="A25" s="241" t="s">
        <v>69</v>
      </c>
      <c r="B25" s="1114">
        <f ca="1">'LCA Calculations'!I120</f>
        <v>6629.7393219529176</v>
      </c>
      <c r="C25" s="1115">
        <f ca="1">'LCA Calculations'!J120</f>
        <v>29396.808496886471</v>
      </c>
      <c r="D25" s="1115">
        <f ca="1">'LCA Calculations'!K120</f>
        <v>-2060.2638945706776</v>
      </c>
      <c r="E25" s="1116">
        <f ca="1">B25+C25+D25</f>
        <v>33966.283924268711</v>
      </c>
      <c r="F25" s="1117">
        <f ca="1">B25+D25</f>
        <v>4569.47542738224</v>
      </c>
      <c r="G25" s="1118">
        <f ca="1">B25+C25</f>
        <v>36026.54781883939</v>
      </c>
      <c r="I25" s="228"/>
      <c r="K25" s="293"/>
      <c r="L25" s="264"/>
    </row>
    <row r="26" spans="1:12" x14ac:dyDescent="0.2">
      <c r="A26" s="241" t="s">
        <v>44</v>
      </c>
      <c r="B26" s="1119">
        <f ca="1">'LCA Calculations'!I121</f>
        <v>6021.1818729517281</v>
      </c>
      <c r="C26" s="1120">
        <f ca="1">'LCA Calculations'!J121</f>
        <v>27802.603274412966</v>
      </c>
      <c r="D26" s="1120">
        <f ca="1">'LCA Calculations'!K121</f>
        <v>-1753.0863702674005</v>
      </c>
      <c r="E26" s="1121">
        <f ca="1">B26+C26+D26</f>
        <v>32070.698777097296</v>
      </c>
      <c r="F26" s="1122">
        <f ca="1">B26+D26</f>
        <v>4268.0955026843276</v>
      </c>
      <c r="G26" s="1123">
        <f ca="1">B26+C26</f>
        <v>33823.785147364695</v>
      </c>
      <c r="H26" s="251"/>
      <c r="I26" s="224"/>
      <c r="K26" s="293"/>
      <c r="L26" s="264"/>
    </row>
    <row r="27" spans="1:12" ht="13.5" thickBot="1" x14ac:dyDescent="0.25">
      <c r="A27" s="241" t="s">
        <v>45</v>
      </c>
      <c r="B27" s="1124">
        <f ca="1">'LCA Calculations'!I122</f>
        <v>9737.1733313799014</v>
      </c>
      <c r="C27" s="1125">
        <f ca="1">'LCA Calculations'!J122</f>
        <v>27292.457603221454</v>
      </c>
      <c r="D27" s="1125">
        <f ca="1">'LCA Calculations'!K122</f>
        <v>-4043.9507035856309</v>
      </c>
      <c r="E27" s="1126">
        <f ca="1">B27+C27+D27</f>
        <v>32985.680231015729</v>
      </c>
      <c r="F27" s="1127">
        <f ca="1">B27+D27</f>
        <v>5693.22262779427</v>
      </c>
      <c r="G27" s="1128">
        <f ca="1">B27+C27</f>
        <v>37029.630934601359</v>
      </c>
      <c r="H27" s="251"/>
      <c r="K27" s="293"/>
      <c r="L27" s="264"/>
    </row>
    <row r="28" spans="1:12" x14ac:dyDescent="0.2">
      <c r="A28" s="257" t="s">
        <v>46</v>
      </c>
      <c r="B28" s="1129">
        <f t="shared" ref="B28:G28" ca="1" si="0">B25-B26</f>
        <v>608.55744900118953</v>
      </c>
      <c r="C28" s="1130">
        <f t="shared" ca="1" si="0"/>
        <v>1594.2052224735053</v>
      </c>
      <c r="D28" s="1130">
        <f t="shared" ca="1" si="0"/>
        <v>-307.1775243032771</v>
      </c>
      <c r="E28" s="1131">
        <f t="shared" ca="1" si="0"/>
        <v>1895.5851471714159</v>
      </c>
      <c r="F28" s="1132">
        <f t="shared" ca="1" si="0"/>
        <v>301.37992469791243</v>
      </c>
      <c r="G28" s="1133">
        <f t="shared" ca="1" si="0"/>
        <v>2202.7626714746948</v>
      </c>
      <c r="H28" s="251"/>
      <c r="K28" s="293"/>
      <c r="L28" s="264"/>
    </row>
    <row r="29" spans="1:12" x14ac:dyDescent="0.2">
      <c r="A29" s="257" t="s">
        <v>110</v>
      </c>
      <c r="B29" s="1129">
        <f t="shared" ref="B29:G29" ca="1" si="1">B25-B27</f>
        <v>-3107.4340094269837</v>
      </c>
      <c r="C29" s="1130">
        <f t="shared" ca="1" si="1"/>
        <v>2104.3508936650178</v>
      </c>
      <c r="D29" s="1130">
        <f t="shared" ca="1" si="1"/>
        <v>1983.6868090149533</v>
      </c>
      <c r="E29" s="1131">
        <f t="shared" ca="1" si="1"/>
        <v>980.60369325298234</v>
      </c>
      <c r="F29" s="1129">
        <f t="shared" ca="1" si="1"/>
        <v>-1123.74720041203</v>
      </c>
      <c r="G29" s="1131">
        <f t="shared" ca="1" si="1"/>
        <v>-1003.0831157619687</v>
      </c>
      <c r="H29" s="251"/>
      <c r="K29" s="293"/>
      <c r="L29" s="250"/>
    </row>
    <row r="30" spans="1:12" ht="13.5" thickBot="1" x14ac:dyDescent="0.25">
      <c r="A30" s="257" t="s">
        <v>4</v>
      </c>
      <c r="B30" s="1134">
        <f t="shared" ref="B30:G30" ca="1" si="2">B26-B27</f>
        <v>-3715.9914584281732</v>
      </c>
      <c r="C30" s="1135">
        <f t="shared" ca="1" si="2"/>
        <v>510.14567119151252</v>
      </c>
      <c r="D30" s="1135">
        <f t="shared" ca="1" si="2"/>
        <v>2290.8643333182304</v>
      </c>
      <c r="E30" s="1136">
        <f t="shared" ca="1" si="2"/>
        <v>-914.98145391843354</v>
      </c>
      <c r="F30" s="1134">
        <f t="shared" ca="1" si="2"/>
        <v>-1425.1271251099424</v>
      </c>
      <c r="G30" s="1136">
        <f t="shared" ca="1" si="2"/>
        <v>-3205.8457872366635</v>
      </c>
      <c r="H30" s="251"/>
    </row>
    <row r="31" spans="1:12" x14ac:dyDescent="0.2">
      <c r="A31" s="230"/>
      <c r="B31" s="228"/>
      <c r="C31" s="229"/>
      <c r="D31" s="228"/>
      <c r="E31" s="219"/>
      <c r="H31" s="251"/>
    </row>
    <row r="34" spans="1:19" x14ac:dyDescent="0.2">
      <c r="L34" s="264"/>
      <c r="M34" s="264"/>
      <c r="N34" s="264"/>
      <c r="O34" s="264"/>
      <c r="P34" s="264"/>
      <c r="Q34" s="264"/>
      <c r="R34" s="264"/>
      <c r="S34" s="264"/>
    </row>
    <row r="35" spans="1:19" x14ac:dyDescent="0.2">
      <c r="C35" s="222"/>
      <c r="D35" s="222" t="s">
        <v>69</v>
      </c>
      <c r="E35" s="222" t="s">
        <v>44</v>
      </c>
      <c r="F35" s="222" t="s">
        <v>45</v>
      </c>
      <c r="L35" s="264"/>
      <c r="M35" s="264"/>
      <c r="N35" s="264"/>
      <c r="O35" s="264"/>
      <c r="P35" s="264"/>
      <c r="Q35" s="264"/>
      <c r="R35" s="264"/>
      <c r="S35" s="264"/>
    </row>
    <row r="36" spans="1:19" x14ac:dyDescent="0.2">
      <c r="C36" s="224" t="s">
        <v>27</v>
      </c>
      <c r="D36" s="225">
        <f ca="1">B53</f>
        <v>100428.51718689549</v>
      </c>
      <c r="E36" s="225">
        <f ca="1">B54</f>
        <v>93302.302215075513</v>
      </c>
      <c r="F36" s="225">
        <f ca="1">B55</f>
        <v>139144.34283173262</v>
      </c>
      <c r="L36" s="264"/>
      <c r="M36" s="264"/>
      <c r="N36" s="264"/>
      <c r="O36" s="264"/>
      <c r="P36" s="264"/>
      <c r="Q36" s="264"/>
      <c r="R36" s="264"/>
      <c r="S36" s="264"/>
    </row>
    <row r="37" spans="1:19" x14ac:dyDescent="0.2">
      <c r="B37" s="218">
        <v>2</v>
      </c>
      <c r="C37" s="225">
        <f>B37*'Data Input'!$H$13/10</f>
        <v>40000</v>
      </c>
      <c r="D37" s="225">
        <f ca="1">$D$36+B37*$C$53/10</f>
        <v>182216.67309613494</v>
      </c>
      <c r="E37" s="225">
        <f ca="1">$E$36+B37*$C$54/10</f>
        <v>170655.04108573415</v>
      </c>
      <c r="F37" s="225">
        <f ca="1">$F$36+B37*$C$55/10</f>
        <v>215077.74825004544</v>
      </c>
      <c r="L37" s="264"/>
      <c r="M37" s="264"/>
      <c r="N37" s="264"/>
      <c r="O37" s="264"/>
      <c r="P37" s="264"/>
      <c r="Q37" s="264"/>
      <c r="R37" s="264"/>
      <c r="S37" s="264"/>
    </row>
    <row r="38" spans="1:19" x14ac:dyDescent="0.2">
      <c r="B38" s="218">
        <v>4</v>
      </c>
      <c r="C38" s="225">
        <f>B38*'Data Input'!$H$13/10</f>
        <v>80000</v>
      </c>
      <c r="D38" s="225">
        <f t="shared" ref="D38:D41" ca="1" si="3">$D$36+B38*$C$53/10</f>
        <v>264004.8290053744</v>
      </c>
      <c r="E38" s="225">
        <f t="shared" ref="E38:E41" ca="1" si="4">$E$36+B38*$C$54/10</f>
        <v>248007.77995639283</v>
      </c>
      <c r="F38" s="225">
        <f t="shared" ref="F38:F41" ca="1" si="5">$F$36+B38*$C$55/10</f>
        <v>291011.15366835822</v>
      </c>
      <c r="L38" s="264"/>
      <c r="M38" s="264"/>
      <c r="N38" s="264"/>
      <c r="O38" s="264"/>
      <c r="P38" s="264"/>
      <c r="Q38" s="264"/>
      <c r="R38" s="264"/>
      <c r="S38" s="264"/>
    </row>
    <row r="39" spans="1:19" x14ac:dyDescent="0.2">
      <c r="B39" s="218">
        <v>6</v>
      </c>
      <c r="C39" s="225">
        <f>B39*'Data Input'!$H$13/10</f>
        <v>120000</v>
      </c>
      <c r="D39" s="225">
        <f t="shared" ca="1" si="3"/>
        <v>345792.98491461383</v>
      </c>
      <c r="E39" s="225">
        <f t="shared" ca="1" si="4"/>
        <v>325360.51882705151</v>
      </c>
      <c r="F39" s="225">
        <f t="shared" ca="1" si="5"/>
        <v>366944.5590866711</v>
      </c>
      <c r="L39" s="264"/>
      <c r="M39" s="264"/>
      <c r="N39" s="264"/>
      <c r="O39" s="264"/>
      <c r="P39" s="264"/>
      <c r="Q39" s="264"/>
      <c r="R39" s="264"/>
      <c r="S39" s="264"/>
    </row>
    <row r="40" spans="1:19" x14ac:dyDescent="0.2">
      <c r="B40" s="218">
        <v>8</v>
      </c>
      <c r="C40" s="225">
        <f>B40*'Data Input'!$H$13/10</f>
        <v>160000</v>
      </c>
      <c r="D40" s="225">
        <f t="shared" ca="1" si="3"/>
        <v>427581.14082385326</v>
      </c>
      <c r="E40" s="225">
        <f t="shared" ca="1" si="4"/>
        <v>402713.25769771013</v>
      </c>
      <c r="F40" s="225">
        <f t="shared" ca="1" si="5"/>
        <v>442877.96450498386</v>
      </c>
      <c r="J40" s="265"/>
      <c r="L40" s="264"/>
      <c r="M40" s="264"/>
      <c r="N40" s="264"/>
      <c r="O40" s="264"/>
      <c r="P40" s="264"/>
      <c r="Q40" s="264"/>
      <c r="R40" s="264"/>
      <c r="S40" s="264"/>
    </row>
    <row r="41" spans="1:19" x14ac:dyDescent="0.2">
      <c r="B41" s="218">
        <v>10</v>
      </c>
      <c r="C41" s="225">
        <f>B41*'Data Input'!$H$13/10</f>
        <v>200000</v>
      </c>
      <c r="D41" s="225">
        <f t="shared" ca="1" si="3"/>
        <v>509369.29673309269</v>
      </c>
      <c r="E41" s="225">
        <f t="shared" ca="1" si="4"/>
        <v>480065.99656836881</v>
      </c>
      <c r="F41" s="225">
        <f t="shared" ca="1" si="5"/>
        <v>518811.36992329673</v>
      </c>
      <c r="L41" s="264"/>
      <c r="M41" s="235"/>
      <c r="N41" s="257"/>
      <c r="O41" s="266"/>
      <c r="P41" s="235"/>
      <c r="Q41" s="264"/>
      <c r="R41" s="264"/>
      <c r="S41" s="264"/>
    </row>
    <row r="42" spans="1:19" x14ac:dyDescent="0.2">
      <c r="C42" s="224" t="s">
        <v>14</v>
      </c>
      <c r="D42" s="229">
        <f ca="1">E53</f>
        <v>489127.87785471592</v>
      </c>
      <c r="E42" s="229">
        <f ca="1">E54</f>
        <v>462886.44633356447</v>
      </c>
      <c r="F42" s="229">
        <f ca="1">E55</f>
        <v>474092.53723850526</v>
      </c>
      <c r="K42" s="267"/>
      <c r="L42" s="250"/>
      <c r="M42" s="268"/>
      <c r="N42" s="257"/>
      <c r="O42" s="237"/>
      <c r="P42" s="235"/>
      <c r="Q42" s="264"/>
      <c r="R42" s="264"/>
      <c r="S42" s="264"/>
    </row>
    <row r="43" spans="1:19" x14ac:dyDescent="0.2">
      <c r="K43" s="267"/>
      <c r="L43" s="250"/>
      <c r="M43" s="268"/>
      <c r="N43" s="269"/>
      <c r="O43" s="269"/>
      <c r="P43" s="269"/>
      <c r="Q43" s="264"/>
      <c r="R43" s="264"/>
      <c r="S43" s="264"/>
    </row>
    <row r="44" spans="1:19" x14ac:dyDescent="0.2">
      <c r="K44" s="267"/>
      <c r="L44" s="250"/>
      <c r="M44" s="268"/>
      <c r="N44" s="257"/>
      <c r="O44" s="237"/>
      <c r="P44" s="235"/>
      <c r="Q44" s="264"/>
      <c r="R44" s="264"/>
      <c r="S44" s="264"/>
    </row>
    <row r="45" spans="1:19" x14ac:dyDescent="0.2">
      <c r="L45" s="264"/>
      <c r="M45" s="235"/>
      <c r="N45" s="269"/>
      <c r="O45" s="269"/>
      <c r="P45" s="269"/>
      <c r="Q45" s="264"/>
      <c r="R45" s="264"/>
      <c r="S45" s="264"/>
    </row>
    <row r="46" spans="1:19" x14ac:dyDescent="0.2">
      <c r="K46" s="250"/>
      <c r="L46" s="264"/>
      <c r="M46" s="235"/>
      <c r="N46" s="257"/>
      <c r="O46" s="237"/>
      <c r="P46" s="235"/>
      <c r="Q46" s="269"/>
      <c r="R46" s="264"/>
      <c r="S46" s="264"/>
    </row>
    <row r="47" spans="1:19" x14ac:dyDescent="0.2">
      <c r="K47" s="250"/>
      <c r="L47" s="264"/>
      <c r="M47" s="235"/>
      <c r="N47" s="269"/>
      <c r="O47" s="269"/>
      <c r="P47" s="269"/>
      <c r="Q47" s="269"/>
      <c r="R47" s="264"/>
      <c r="S47" s="264"/>
    </row>
    <row r="48" spans="1:19" x14ac:dyDescent="0.2">
      <c r="A48" s="257"/>
      <c r="B48" s="247"/>
      <c r="C48" s="247"/>
      <c r="D48" s="247"/>
      <c r="E48" s="247"/>
      <c r="F48" s="247"/>
      <c r="G48" s="247"/>
      <c r="I48" s="250"/>
      <c r="K48" s="250"/>
      <c r="L48" s="264"/>
      <c r="M48" s="235"/>
      <c r="N48" s="269"/>
      <c r="O48" s="269"/>
      <c r="P48" s="269"/>
      <c r="Q48" s="269"/>
      <c r="R48" s="264"/>
      <c r="S48" s="264"/>
    </row>
    <row r="49" spans="1:19" x14ac:dyDescent="0.2">
      <c r="L49" s="264"/>
      <c r="M49" s="235"/>
      <c r="N49" s="269"/>
      <c r="O49" s="269"/>
      <c r="P49" s="269"/>
      <c r="Q49" s="269"/>
      <c r="R49" s="264"/>
      <c r="S49" s="264"/>
    </row>
    <row r="50" spans="1:19" x14ac:dyDescent="0.2">
      <c r="L50" s="264"/>
      <c r="M50" s="235"/>
      <c r="N50" s="239"/>
      <c r="O50" s="270"/>
      <c r="P50" s="270"/>
      <c r="Q50" s="269"/>
      <c r="R50" s="264"/>
      <c r="S50" s="264"/>
    </row>
    <row r="51" spans="1:19" ht="15.75" x14ac:dyDescent="0.25">
      <c r="A51" s="271"/>
      <c r="B51" s="234"/>
      <c r="C51" s="235"/>
      <c r="D51" s="236"/>
      <c r="E51" s="237"/>
      <c r="F51" s="222"/>
      <c r="G51" s="238"/>
      <c r="I51" s="228"/>
      <c r="K51" s="228"/>
      <c r="L51" s="264"/>
      <c r="M51" s="264"/>
      <c r="N51" s="264"/>
      <c r="O51" s="272"/>
      <c r="P51" s="272"/>
      <c r="Q51" s="273"/>
      <c r="R51" s="264"/>
      <c r="S51" s="264"/>
    </row>
    <row r="52" spans="1:19" ht="13.5" thickBot="1" x14ac:dyDescent="0.25">
      <c r="A52" s="239" t="s">
        <v>5</v>
      </c>
      <c r="B52" s="240" t="s">
        <v>27</v>
      </c>
      <c r="C52" s="237" t="s">
        <v>68</v>
      </c>
      <c r="D52" s="224" t="s">
        <v>311</v>
      </c>
      <c r="E52" s="240" t="s">
        <v>14</v>
      </c>
      <c r="F52" s="288" t="s">
        <v>313</v>
      </c>
      <c r="G52" s="289" t="s">
        <v>314</v>
      </c>
      <c r="I52" s="228"/>
      <c r="K52" s="228"/>
      <c r="L52" s="264"/>
      <c r="M52" s="257"/>
      <c r="N52" s="274"/>
      <c r="O52" s="269"/>
      <c r="P52" s="269"/>
      <c r="Q52" s="269"/>
      <c r="R52" s="264"/>
      <c r="S52" s="264"/>
    </row>
    <row r="53" spans="1:19" x14ac:dyDescent="0.2">
      <c r="A53" s="275" t="str">
        <f t="shared" ref="A53:A58" si="6">A25</f>
        <v>Baseline</v>
      </c>
      <c r="B53" s="242">
        <f ca="1">'LCA Calculations'!I125</f>
        <v>100428.51718689549</v>
      </c>
      <c r="C53" s="243">
        <f ca="1">'LCA Calculations'!J125</f>
        <v>408940.77954619721</v>
      </c>
      <c r="D53" s="243">
        <f ca="1">'LCA Calculations'!K125</f>
        <v>-20241.418878376753</v>
      </c>
      <c r="E53" s="244">
        <f ca="1">B53+C53+D53</f>
        <v>489127.87785471592</v>
      </c>
      <c r="F53" s="245">
        <f ca="1">B53+D53</f>
        <v>80187.098308518733</v>
      </c>
      <c r="G53" s="244">
        <f ca="1">B53+C53</f>
        <v>509369.29673309269</v>
      </c>
      <c r="I53" s="228"/>
      <c r="K53" s="228"/>
      <c r="L53" s="264"/>
      <c r="M53" s="235"/>
      <c r="N53" s="235"/>
      <c r="O53" s="269"/>
      <c r="P53" s="269"/>
      <c r="Q53" s="269"/>
      <c r="R53" s="264"/>
      <c r="S53" s="264"/>
    </row>
    <row r="54" spans="1:19" x14ac:dyDescent="0.2">
      <c r="A54" s="275" t="str">
        <f t="shared" si="6"/>
        <v>Contender 1</v>
      </c>
      <c r="B54" s="246">
        <f ca="1">'LCA Calculations'!I126</f>
        <v>93302.302215075513</v>
      </c>
      <c r="C54" s="248">
        <f ca="1">'LCA Calculations'!J126</f>
        <v>386763.69435329328</v>
      </c>
      <c r="D54" s="248">
        <f ca="1">'LCA Calculations'!K126</f>
        <v>-17179.550234804334</v>
      </c>
      <c r="E54" s="249">
        <f ca="1">B54+C54+D54</f>
        <v>462886.44633356447</v>
      </c>
      <c r="F54" s="250">
        <f ca="1">B54+D54</f>
        <v>76122.751980271176</v>
      </c>
      <c r="G54" s="249">
        <f ca="1">B54+C54</f>
        <v>480065.99656836881</v>
      </c>
      <c r="L54" s="264"/>
      <c r="M54" s="264"/>
      <c r="N54" s="235"/>
      <c r="O54" s="269"/>
      <c r="P54" s="269"/>
      <c r="Q54" s="269"/>
      <c r="R54" s="264"/>
      <c r="S54" s="264"/>
    </row>
    <row r="55" spans="1:19" ht="13.5" thickBot="1" x14ac:dyDescent="0.25">
      <c r="A55" s="275" t="str">
        <f t="shared" si="6"/>
        <v>Contender 2</v>
      </c>
      <c r="B55" s="252">
        <f ca="1">'LCA Calculations'!I127</f>
        <v>139144.34283173262</v>
      </c>
      <c r="C55" s="254">
        <f ca="1">'LCA Calculations'!J127</f>
        <v>379667.02709156409</v>
      </c>
      <c r="D55" s="254">
        <f ca="1">'LCA Calculations'!K127</f>
        <v>-44718.832684791494</v>
      </c>
      <c r="E55" s="255">
        <f ca="1">B55+C55+D55</f>
        <v>474092.53723850526</v>
      </c>
      <c r="F55" s="256">
        <f ca="1">B55+D55</f>
        <v>94425.510146941117</v>
      </c>
      <c r="G55" s="255">
        <f ca="1">B55+C55</f>
        <v>518811.36992329673</v>
      </c>
      <c r="I55" s="228"/>
      <c r="J55" s="228"/>
      <c r="K55" s="228"/>
      <c r="L55" s="264"/>
      <c r="M55" s="257"/>
      <c r="N55" s="235"/>
      <c r="O55" s="269"/>
      <c r="P55" s="269"/>
      <c r="Q55" s="269"/>
      <c r="R55" s="264"/>
      <c r="S55" s="264"/>
    </row>
    <row r="56" spans="1:19" x14ac:dyDescent="0.2">
      <c r="A56" s="275" t="str">
        <f t="shared" si="6"/>
        <v>Baseline - Contender Vehicle 1</v>
      </c>
      <c r="B56" s="258">
        <f t="shared" ref="B56:D56" ca="1" si="7">B53-B54</f>
        <v>7126.2149718199798</v>
      </c>
      <c r="C56" s="247">
        <f t="shared" ca="1" si="7"/>
        <v>22177.085192903935</v>
      </c>
      <c r="D56" s="247">
        <f t="shared" ca="1" si="7"/>
        <v>-3061.8686435724194</v>
      </c>
      <c r="E56" s="259">
        <f ca="1">E53-E54</f>
        <v>26241.431521151448</v>
      </c>
      <c r="F56" s="260">
        <f ca="1">F53-F54</f>
        <v>4064.3463282475568</v>
      </c>
      <c r="G56" s="261">
        <f ca="1">G53-G54</f>
        <v>29303.300164723885</v>
      </c>
      <c r="I56" s="228"/>
      <c r="J56" s="228"/>
      <c r="K56" s="228"/>
      <c r="L56" s="264"/>
      <c r="M56" s="235"/>
      <c r="N56" s="235"/>
      <c r="O56" s="269"/>
      <c r="P56" s="269"/>
      <c r="Q56" s="269"/>
      <c r="R56" s="264"/>
      <c r="S56" s="264"/>
    </row>
    <row r="57" spans="1:19" x14ac:dyDescent="0.2">
      <c r="A57" s="275" t="str">
        <f t="shared" si="6"/>
        <v>Baseline - Contender Vehicle 2</v>
      </c>
      <c r="B57" s="258">
        <f t="shared" ref="B57:D57" ca="1" si="8">B53-B55</f>
        <v>-38715.825644837125</v>
      </c>
      <c r="C57" s="247">
        <f t="shared" ca="1" si="8"/>
        <v>29273.752454633126</v>
      </c>
      <c r="D57" s="247">
        <f t="shared" ca="1" si="8"/>
        <v>24477.413806414741</v>
      </c>
      <c r="E57" s="259">
        <f ca="1">E53-E55</f>
        <v>15035.340616210655</v>
      </c>
      <c r="F57" s="258">
        <f ca="1">F53-F55</f>
        <v>-14238.411838422384</v>
      </c>
      <c r="G57" s="259">
        <f ca="1">G53-G55</f>
        <v>-9442.0731902040425</v>
      </c>
      <c r="I57" s="228"/>
      <c r="J57" s="228"/>
      <c r="K57" s="228"/>
      <c r="L57" s="264"/>
      <c r="M57" s="235"/>
      <c r="N57" s="235"/>
      <c r="O57" s="269"/>
      <c r="P57" s="269"/>
      <c r="Q57" s="269"/>
      <c r="R57" s="264"/>
      <c r="S57" s="264"/>
    </row>
    <row r="58" spans="1:19" ht="13.5" thickBot="1" x14ac:dyDescent="0.25">
      <c r="A58" s="275" t="str">
        <f t="shared" si="6"/>
        <v>Contender Vehicle 1 - Contender Vehicle 2</v>
      </c>
      <c r="B58" s="262">
        <f t="shared" ref="B58:C58" ca="1" si="9">B54-B55</f>
        <v>-45842.040616657105</v>
      </c>
      <c r="C58" s="253">
        <f t="shared" ca="1" si="9"/>
        <v>7096.6672617291915</v>
      </c>
      <c r="D58" s="253">
        <f ca="1">D54-D55</f>
        <v>27539.28244998716</v>
      </c>
      <c r="E58" s="263">
        <f ca="1">E54-E55</f>
        <v>-11206.090904940793</v>
      </c>
      <c r="F58" s="262">
        <f ca="1">F54-F55</f>
        <v>-18302.758166669941</v>
      </c>
      <c r="G58" s="263">
        <f ca="1">G54-G55</f>
        <v>-38745.373354927928</v>
      </c>
      <c r="J58" s="269"/>
      <c r="L58" s="264"/>
      <c r="M58" s="235"/>
      <c r="N58" s="276"/>
      <c r="O58" s="269"/>
      <c r="P58" s="269"/>
      <c r="Q58" s="269"/>
      <c r="R58" s="264"/>
      <c r="S58" s="264"/>
    </row>
    <row r="59" spans="1:19" x14ac:dyDescent="0.2">
      <c r="L59" s="264"/>
      <c r="M59" s="235"/>
      <c r="N59" s="276"/>
      <c r="O59" s="269"/>
      <c r="P59" s="269"/>
      <c r="Q59" s="269"/>
      <c r="R59" s="264"/>
      <c r="S59" s="264"/>
    </row>
    <row r="60" spans="1:19" x14ac:dyDescent="0.2">
      <c r="L60" s="264"/>
      <c r="M60" s="235"/>
      <c r="N60" s="276"/>
      <c r="O60" s="269"/>
      <c r="P60" s="269"/>
      <c r="Q60" s="269"/>
      <c r="R60" s="264"/>
      <c r="S60" s="264"/>
    </row>
    <row r="61" spans="1:19" x14ac:dyDescent="0.2">
      <c r="L61" s="264"/>
      <c r="M61" s="235"/>
      <c r="N61" s="247"/>
      <c r="O61" s="268"/>
      <c r="P61" s="268"/>
      <c r="Q61" s="269"/>
      <c r="R61" s="264"/>
      <c r="S61" s="264"/>
    </row>
    <row r="62" spans="1:19" x14ac:dyDescent="0.2">
      <c r="L62" s="264"/>
      <c r="M62" s="235"/>
      <c r="N62" s="247"/>
      <c r="O62" s="268"/>
      <c r="P62" s="268"/>
      <c r="Q62" s="269"/>
      <c r="R62" s="264"/>
      <c r="S62" s="264"/>
    </row>
    <row r="63" spans="1:19" x14ac:dyDescent="0.2">
      <c r="C63" s="222"/>
      <c r="D63" s="222" t="s">
        <v>69</v>
      </c>
      <c r="E63" s="222" t="s">
        <v>44</v>
      </c>
      <c r="F63" s="222" t="s">
        <v>45</v>
      </c>
      <c r="L63" s="264"/>
      <c r="M63" s="264"/>
      <c r="N63" s="264"/>
      <c r="O63" s="264"/>
      <c r="P63" s="264"/>
      <c r="Q63" s="264"/>
      <c r="R63" s="264"/>
      <c r="S63" s="264"/>
    </row>
    <row r="64" spans="1:19" x14ac:dyDescent="0.2">
      <c r="C64" s="224" t="s">
        <v>27</v>
      </c>
      <c r="D64" s="225">
        <f ca="1">B81</f>
        <v>94588.690876675333</v>
      </c>
      <c r="E64" s="225">
        <f ca="1">B82</f>
        <v>88098.794930798904</v>
      </c>
      <c r="F64" s="225">
        <f ca="1">B83</f>
        <v>126095.43935558452</v>
      </c>
      <c r="L64" s="264"/>
      <c r="M64" s="264"/>
      <c r="N64" s="264"/>
      <c r="O64" s="264"/>
      <c r="P64" s="264"/>
      <c r="Q64" s="264"/>
      <c r="R64" s="264"/>
      <c r="S64" s="264"/>
    </row>
    <row r="65" spans="1:19" x14ac:dyDescent="0.2">
      <c r="B65" s="218">
        <v>2</v>
      </c>
      <c r="C65" s="225">
        <f>B65*'Data Input'!$H$13/10</f>
        <v>40000</v>
      </c>
      <c r="D65" s="225">
        <f ca="1">$D$64+B65*$C$81/10</f>
        <v>172354.47846250955</v>
      </c>
      <c r="E65" s="225">
        <f ca="1">$E$64+B65*$C$82/10</f>
        <v>161647.30074224481</v>
      </c>
      <c r="F65" s="225">
        <f ca="1">$F$64+B65*$C$83/10</f>
        <v>198294.41499922622</v>
      </c>
      <c r="L65" s="264"/>
      <c r="M65" s="264"/>
      <c r="N65" s="264"/>
      <c r="O65" s="264"/>
      <c r="P65" s="264"/>
      <c r="Q65" s="264"/>
      <c r="R65" s="264"/>
      <c r="S65" s="264"/>
    </row>
    <row r="66" spans="1:19" x14ac:dyDescent="0.2">
      <c r="B66" s="218">
        <v>4</v>
      </c>
      <c r="C66" s="225">
        <f>B66*'Data Input'!$H$13/10</f>
        <v>80000</v>
      </c>
      <c r="D66" s="225">
        <f t="shared" ref="D66:D69" ca="1" si="10">$D$64+B66*$C$81/10</f>
        <v>250120.26604834376</v>
      </c>
      <c r="E66" s="225">
        <f t="shared" ref="E66:E69" ca="1" si="11">$E$64+B66*$C$82/10</f>
        <v>235195.80655369075</v>
      </c>
      <c r="F66" s="225">
        <f t="shared" ref="F66:F69" ca="1" si="12">$F$64+B66*$C$83/10</f>
        <v>270493.39064286789</v>
      </c>
      <c r="L66" s="264"/>
      <c r="M66" s="264"/>
      <c r="N66" s="264"/>
      <c r="O66" s="264"/>
      <c r="P66" s="264"/>
      <c r="Q66" s="264"/>
      <c r="R66" s="264"/>
      <c r="S66" s="264"/>
    </row>
    <row r="67" spans="1:19" x14ac:dyDescent="0.2">
      <c r="B67" s="218">
        <v>6</v>
      </c>
      <c r="C67" s="225">
        <f>B67*'Data Input'!$H$13/10</f>
        <v>120000</v>
      </c>
      <c r="D67" s="225">
        <f t="shared" ca="1" si="10"/>
        <v>327886.05363417801</v>
      </c>
      <c r="E67" s="225">
        <f t="shared" ca="1" si="11"/>
        <v>308744.31236513669</v>
      </c>
      <c r="F67" s="225">
        <f t="shared" ca="1" si="12"/>
        <v>342692.36628650955</v>
      </c>
      <c r="L67" s="264"/>
      <c r="M67" s="264"/>
      <c r="N67" s="264"/>
      <c r="O67" s="264"/>
      <c r="P67" s="264"/>
      <c r="Q67" s="264"/>
      <c r="R67" s="264"/>
      <c r="S67" s="264"/>
    </row>
    <row r="68" spans="1:19" x14ac:dyDescent="0.2">
      <c r="B68" s="218">
        <v>8</v>
      </c>
      <c r="C68" s="225">
        <f>B68*'Data Input'!$H$13/10</f>
        <v>160000</v>
      </c>
      <c r="D68" s="225">
        <f t="shared" ca="1" si="10"/>
        <v>405651.84122001217</v>
      </c>
      <c r="E68" s="225">
        <f t="shared" ca="1" si="11"/>
        <v>382292.81817658257</v>
      </c>
      <c r="F68" s="225">
        <f t="shared" ca="1" si="12"/>
        <v>414891.34193015128</v>
      </c>
      <c r="L68" s="264"/>
      <c r="M68" s="264"/>
      <c r="N68" s="264"/>
      <c r="O68" s="264"/>
      <c r="P68" s="264"/>
      <c r="Q68" s="264"/>
      <c r="R68" s="264"/>
      <c r="S68" s="264"/>
    </row>
    <row r="69" spans="1:19" x14ac:dyDescent="0.2">
      <c r="B69" s="218">
        <v>10</v>
      </c>
      <c r="C69" s="225">
        <f>B69*'Data Input'!$H$13/10</f>
        <v>200000</v>
      </c>
      <c r="D69" s="225">
        <f t="shared" ca="1" si="10"/>
        <v>483417.62880584644</v>
      </c>
      <c r="E69" s="225">
        <f t="shared" ca="1" si="11"/>
        <v>455841.32398802857</v>
      </c>
      <c r="F69" s="225">
        <f t="shared" ca="1" si="12"/>
        <v>487090.31757379294</v>
      </c>
      <c r="L69" s="264"/>
      <c r="M69" s="264"/>
      <c r="N69" s="264"/>
      <c r="O69" s="264"/>
      <c r="P69" s="264"/>
      <c r="Q69" s="264"/>
      <c r="R69" s="264"/>
      <c r="S69" s="264"/>
    </row>
    <row r="70" spans="1:19" x14ac:dyDescent="0.2">
      <c r="C70" s="224" t="s">
        <v>14</v>
      </c>
      <c r="D70" s="229">
        <f ca="1">E81</f>
        <v>464083.29943752591</v>
      </c>
      <c r="E70" s="229">
        <f ca="1">E82</f>
        <v>439399.04724711488</v>
      </c>
      <c r="F70" s="229">
        <f ca="1">E83</f>
        <v>448075.93455354893</v>
      </c>
      <c r="I70" s="269"/>
      <c r="J70" s="264"/>
      <c r="L70" s="264"/>
      <c r="M70" s="264"/>
      <c r="N70" s="264"/>
      <c r="O70" s="264"/>
      <c r="P70" s="264"/>
      <c r="Q70" s="264"/>
      <c r="R70" s="264"/>
      <c r="S70" s="264"/>
    </row>
    <row r="71" spans="1:19" x14ac:dyDescent="0.2">
      <c r="I71" s="277"/>
      <c r="J71" s="277"/>
      <c r="L71" s="264"/>
      <c r="M71" s="264"/>
      <c r="N71" s="264"/>
      <c r="O71" s="264"/>
      <c r="P71" s="264"/>
      <c r="Q71" s="264"/>
      <c r="R71" s="264"/>
      <c r="S71" s="264"/>
    </row>
    <row r="72" spans="1:19" x14ac:dyDescent="0.2">
      <c r="I72" s="277"/>
      <c r="J72" s="277"/>
      <c r="L72" s="264"/>
      <c r="M72" s="264"/>
      <c r="N72" s="264"/>
      <c r="O72" s="264"/>
      <c r="P72" s="264"/>
      <c r="Q72" s="264"/>
      <c r="R72" s="264"/>
      <c r="S72" s="264"/>
    </row>
    <row r="73" spans="1:19" x14ac:dyDescent="0.2">
      <c r="I73" s="278"/>
      <c r="J73" s="278"/>
      <c r="L73" s="264"/>
      <c r="M73" s="264"/>
      <c r="N73" s="264"/>
      <c r="O73" s="264"/>
      <c r="P73" s="264"/>
      <c r="Q73" s="264"/>
      <c r="R73" s="264"/>
      <c r="S73" s="264"/>
    </row>
    <row r="74" spans="1:19" x14ac:dyDescent="0.2">
      <c r="I74" s="278"/>
      <c r="J74" s="278"/>
      <c r="L74" s="264"/>
      <c r="M74" s="264"/>
      <c r="N74" s="264"/>
      <c r="O74" s="264"/>
      <c r="P74" s="264"/>
      <c r="Q74" s="264"/>
      <c r="R74" s="264"/>
      <c r="S74" s="264"/>
    </row>
    <row r="75" spans="1:19" x14ac:dyDescent="0.2">
      <c r="I75" s="278"/>
      <c r="J75" s="278"/>
      <c r="L75" s="264"/>
      <c r="M75" s="264"/>
      <c r="N75" s="264"/>
      <c r="O75" s="264"/>
      <c r="P75" s="264"/>
      <c r="Q75" s="264"/>
      <c r="R75" s="264"/>
      <c r="S75" s="264"/>
    </row>
    <row r="76" spans="1:19" x14ac:dyDescent="0.2">
      <c r="I76" s="278"/>
      <c r="J76" s="278"/>
    </row>
    <row r="77" spans="1:19" x14ac:dyDescent="0.2">
      <c r="I77" s="278"/>
      <c r="J77" s="278"/>
    </row>
    <row r="78" spans="1:19" x14ac:dyDescent="0.2">
      <c r="I78" s="278"/>
      <c r="J78" s="278"/>
    </row>
    <row r="79" spans="1:19" ht="15.75" x14ac:dyDescent="0.25">
      <c r="A79" s="271"/>
      <c r="B79" s="234"/>
      <c r="C79" s="235"/>
      <c r="D79" s="236"/>
      <c r="E79" s="237"/>
      <c r="F79" s="222"/>
      <c r="G79" s="238"/>
      <c r="I79" s="279"/>
      <c r="J79" s="279"/>
    </row>
    <row r="80" spans="1:19" ht="13.5" thickBot="1" x14ac:dyDescent="0.25">
      <c r="A80" s="239" t="s">
        <v>6</v>
      </c>
      <c r="B80" s="240" t="s">
        <v>27</v>
      </c>
      <c r="C80" s="237" t="s">
        <v>68</v>
      </c>
      <c r="D80" s="224" t="s">
        <v>311</v>
      </c>
      <c r="E80" s="240" t="s">
        <v>14</v>
      </c>
      <c r="F80" s="288" t="s">
        <v>313</v>
      </c>
      <c r="G80" s="289" t="s">
        <v>314</v>
      </c>
      <c r="I80" s="250"/>
      <c r="J80" s="250"/>
    </row>
    <row r="81" spans="1:10" x14ac:dyDescent="0.2">
      <c r="A81" s="275" t="str">
        <f t="shared" ref="A81:A86" si="13">A25</f>
        <v>Baseline</v>
      </c>
      <c r="B81" s="242">
        <f ca="1">'LCA Calculations'!I130</f>
        <v>94588.690876675333</v>
      </c>
      <c r="C81" s="243">
        <f ca="1">'LCA Calculations'!J130</f>
        <v>388828.93792917108</v>
      </c>
      <c r="D81" s="243">
        <f ca="1">'LCA Calculations'!K130</f>
        <v>-19334.329368320537</v>
      </c>
      <c r="E81" s="244">
        <f ca="1">B81+C81+D81</f>
        <v>464083.29943752591</v>
      </c>
      <c r="F81" s="245">
        <f ca="1">B81+D81</f>
        <v>75254.361508354792</v>
      </c>
      <c r="G81" s="244">
        <f ca="1">B81+C81</f>
        <v>483417.62880584644</v>
      </c>
      <c r="I81" s="250"/>
      <c r="J81" s="250"/>
    </row>
    <row r="82" spans="1:10" x14ac:dyDescent="0.2">
      <c r="A82" s="275" t="str">
        <f t="shared" si="13"/>
        <v>Contender 1</v>
      </c>
      <c r="B82" s="246">
        <f ca="1">'LCA Calculations'!I131</f>
        <v>88098.794930798904</v>
      </c>
      <c r="C82" s="248">
        <f ca="1">'LCA Calculations'!J131</f>
        <v>367742.52905722964</v>
      </c>
      <c r="D82" s="248">
        <f ca="1">'LCA Calculations'!K131</f>
        <v>-16442.276740913676</v>
      </c>
      <c r="E82" s="249">
        <f ca="1">B82+C82+D82</f>
        <v>439399.04724711488</v>
      </c>
      <c r="F82" s="250">
        <f ca="1">B82+D82</f>
        <v>71656.518189885232</v>
      </c>
      <c r="G82" s="249">
        <f ca="1">B82+C82</f>
        <v>455841.32398802857</v>
      </c>
      <c r="I82" s="277"/>
      <c r="J82" s="277"/>
    </row>
    <row r="83" spans="1:10" ht="13.5" thickBot="1" x14ac:dyDescent="0.25">
      <c r="A83" s="275" t="str">
        <f t="shared" si="13"/>
        <v>Contender 2</v>
      </c>
      <c r="B83" s="252">
        <f ca="1">'LCA Calculations'!I132</f>
        <v>126095.43935558452</v>
      </c>
      <c r="C83" s="254">
        <f ca="1">'LCA Calculations'!J132</f>
        <v>360994.87821820844</v>
      </c>
      <c r="D83" s="254">
        <f ca="1">'LCA Calculations'!K132</f>
        <v>-39014.383020244</v>
      </c>
      <c r="E83" s="255">
        <f ca="1">B83+C83+D83</f>
        <v>448075.93455354893</v>
      </c>
      <c r="F83" s="256">
        <f ca="1">B83+D83</f>
        <v>87081.056335340516</v>
      </c>
      <c r="G83" s="255">
        <f ca="1">B83+C83</f>
        <v>487090.31757379294</v>
      </c>
      <c r="I83" s="277"/>
      <c r="J83" s="277"/>
    </row>
    <row r="84" spans="1:10" x14ac:dyDescent="0.2">
      <c r="A84" s="275" t="str">
        <f t="shared" si="13"/>
        <v>Baseline - Contender Vehicle 1</v>
      </c>
      <c r="B84" s="258">
        <f t="shared" ref="B84:D84" ca="1" si="14">B81-B82</f>
        <v>6489.8959458764293</v>
      </c>
      <c r="C84" s="247">
        <f t="shared" ca="1" si="14"/>
        <v>21086.408871941443</v>
      </c>
      <c r="D84" s="247">
        <f t="shared" ca="1" si="14"/>
        <v>-2892.0526274068616</v>
      </c>
      <c r="E84" s="259">
        <f ca="1">E81-E82</f>
        <v>24684.252190411033</v>
      </c>
      <c r="F84" s="260">
        <f ca="1">F81-F82</f>
        <v>3597.8433184695605</v>
      </c>
      <c r="G84" s="261">
        <f ca="1">G81-G82</f>
        <v>27576.304817817872</v>
      </c>
      <c r="I84" s="278"/>
      <c r="J84" s="278"/>
    </row>
    <row r="85" spans="1:10" x14ac:dyDescent="0.2">
      <c r="A85" s="275" t="str">
        <f t="shared" si="13"/>
        <v>Baseline - Contender Vehicle 2</v>
      </c>
      <c r="B85" s="258">
        <f t="shared" ref="B85:D85" ca="1" si="15">B81-B83</f>
        <v>-31506.748478909183</v>
      </c>
      <c r="C85" s="247">
        <f t="shared" ca="1" si="15"/>
        <v>27834.05971096264</v>
      </c>
      <c r="D85" s="247">
        <f t="shared" ca="1" si="15"/>
        <v>19680.053651923463</v>
      </c>
      <c r="E85" s="259">
        <f ca="1">E81-E83</f>
        <v>16007.364883976988</v>
      </c>
      <c r="F85" s="258">
        <f ca="1">F81-F83</f>
        <v>-11826.694826985724</v>
      </c>
      <c r="G85" s="259">
        <f ca="1">G81-G83</f>
        <v>-3672.6887679464999</v>
      </c>
      <c r="I85" s="278"/>
      <c r="J85" s="278"/>
    </row>
    <row r="86" spans="1:10" ht="13.5" thickBot="1" x14ac:dyDescent="0.25">
      <c r="A86" s="275" t="str">
        <f t="shared" si="13"/>
        <v>Contender Vehicle 1 - Contender Vehicle 2</v>
      </c>
      <c r="B86" s="262">
        <f t="shared" ref="B86:D86" ca="1" si="16">B82-B83</f>
        <v>-37996.644424785613</v>
      </c>
      <c r="C86" s="253">
        <f t="shared" ca="1" si="16"/>
        <v>6747.6508390211966</v>
      </c>
      <c r="D86" s="253">
        <f t="shared" ca="1" si="16"/>
        <v>22572.106279330324</v>
      </c>
      <c r="E86" s="263">
        <f ca="1">E82-E83</f>
        <v>-8676.8873064340441</v>
      </c>
      <c r="F86" s="262">
        <f ca="1">F82-F83</f>
        <v>-15424.538145455284</v>
      </c>
      <c r="G86" s="263">
        <f ca="1">G82-G83</f>
        <v>-31248.993585764372</v>
      </c>
      <c r="I86" s="278"/>
      <c r="J86" s="278"/>
    </row>
    <row r="87" spans="1:10" x14ac:dyDescent="0.2">
      <c r="I87" s="278"/>
      <c r="J87" s="278"/>
    </row>
    <row r="88" spans="1:10" x14ac:dyDescent="0.2">
      <c r="A88" s="275"/>
      <c r="B88" s="247"/>
      <c r="C88" s="247"/>
      <c r="D88" s="247"/>
      <c r="E88" s="247"/>
      <c r="F88" s="247"/>
      <c r="G88" s="247"/>
      <c r="I88" s="278"/>
      <c r="J88" s="278"/>
    </row>
    <row r="89" spans="1:10" x14ac:dyDescent="0.2">
      <c r="A89" s="264"/>
      <c r="B89" s="279"/>
      <c r="C89" s="278"/>
      <c r="D89" s="278"/>
      <c r="E89" s="279"/>
      <c r="F89" s="278"/>
      <c r="G89" s="278"/>
      <c r="H89" s="279"/>
      <c r="I89" s="278"/>
      <c r="J89" s="278"/>
    </row>
    <row r="90" spans="1:10" x14ac:dyDescent="0.2">
      <c r="A90" s="280"/>
      <c r="B90" s="279"/>
      <c r="C90" s="279"/>
      <c r="D90" s="279"/>
      <c r="E90" s="279"/>
      <c r="F90" s="279"/>
      <c r="G90" s="279"/>
      <c r="H90" s="279"/>
      <c r="I90" s="279"/>
      <c r="J90" s="279"/>
    </row>
    <row r="91" spans="1:10" x14ac:dyDescent="0.2">
      <c r="A91" s="280"/>
      <c r="B91" s="250"/>
      <c r="C91" s="250"/>
      <c r="D91" s="250"/>
      <c r="E91" s="250"/>
      <c r="F91" s="250"/>
      <c r="G91" s="250"/>
      <c r="H91" s="250"/>
      <c r="I91" s="250"/>
      <c r="J91" s="250"/>
    </row>
    <row r="92" spans="1:10" x14ac:dyDescent="0.2">
      <c r="A92" s="281"/>
      <c r="B92" s="282"/>
      <c r="C92" s="283"/>
      <c r="D92" s="250"/>
      <c r="E92" s="278"/>
      <c r="F92" s="250"/>
      <c r="G92" s="250"/>
      <c r="H92" s="250"/>
      <c r="I92" s="250"/>
      <c r="J92" s="250"/>
    </row>
    <row r="93" spans="1:10" x14ac:dyDescent="0.2">
      <c r="A93" s="284"/>
      <c r="B93" s="277"/>
      <c r="C93" s="277"/>
      <c r="D93" s="277"/>
      <c r="E93" s="277"/>
      <c r="F93" s="277"/>
      <c r="G93" s="277"/>
      <c r="H93" s="277"/>
      <c r="I93" s="277"/>
      <c r="J93" s="277"/>
    </row>
    <row r="94" spans="1:10" x14ac:dyDescent="0.2">
      <c r="A94" s="284"/>
      <c r="B94" s="277"/>
      <c r="C94" s="277"/>
      <c r="D94" s="277"/>
      <c r="E94" s="277"/>
      <c r="F94" s="277"/>
      <c r="G94" s="277"/>
      <c r="H94" s="277"/>
      <c r="I94" s="277"/>
      <c r="J94" s="277"/>
    </row>
    <row r="95" spans="1:10" x14ac:dyDescent="0.2">
      <c r="A95" s="264"/>
      <c r="B95" s="279"/>
      <c r="C95" s="278"/>
      <c r="D95" s="278"/>
      <c r="E95" s="279"/>
      <c r="F95" s="278"/>
      <c r="G95" s="278"/>
      <c r="H95" s="279"/>
      <c r="I95" s="278"/>
      <c r="J95" s="278"/>
    </row>
    <row r="96" spans="1:10" x14ac:dyDescent="0.2">
      <c r="A96" s="264"/>
      <c r="B96" s="279"/>
      <c r="C96" s="278"/>
      <c r="D96" s="278"/>
      <c r="E96" s="279"/>
      <c r="F96" s="278"/>
      <c r="G96" s="278"/>
      <c r="H96" s="279"/>
      <c r="I96" s="278"/>
      <c r="J96" s="278"/>
    </row>
    <row r="97" spans="1:10" x14ac:dyDescent="0.2">
      <c r="A97" s="264"/>
      <c r="B97" s="279"/>
      <c r="C97" s="278"/>
      <c r="D97" s="278"/>
      <c r="E97" s="279"/>
      <c r="F97" s="278"/>
      <c r="G97" s="278"/>
      <c r="H97" s="279"/>
      <c r="I97" s="278"/>
      <c r="J97" s="278"/>
    </row>
    <row r="98" spans="1:10" x14ac:dyDescent="0.2">
      <c r="A98" s="264"/>
      <c r="B98" s="279"/>
      <c r="C98" s="278"/>
      <c r="D98" s="278"/>
      <c r="E98" s="279"/>
      <c r="F98" s="278"/>
      <c r="G98" s="278"/>
      <c r="H98" s="279"/>
      <c r="I98" s="278"/>
      <c r="J98" s="278"/>
    </row>
    <row r="99" spans="1:10" x14ac:dyDescent="0.2">
      <c r="A99" s="264"/>
      <c r="B99" s="279"/>
      <c r="C99" s="278"/>
      <c r="D99" s="278"/>
      <c r="E99" s="279"/>
      <c r="F99" s="278"/>
      <c r="G99" s="278"/>
      <c r="H99" s="279"/>
      <c r="I99" s="278"/>
      <c r="J99" s="278"/>
    </row>
    <row r="100" spans="1:10" x14ac:dyDescent="0.2">
      <c r="A100" s="264"/>
      <c r="B100" s="279"/>
      <c r="C100" s="278"/>
      <c r="D100" s="278"/>
      <c r="E100" s="279"/>
      <c r="F100" s="278"/>
      <c r="G100" s="278"/>
      <c r="H100" s="279"/>
      <c r="I100" s="278"/>
      <c r="J100" s="278"/>
    </row>
    <row r="101" spans="1:10" x14ac:dyDescent="0.2">
      <c r="A101" s="280"/>
      <c r="B101" s="279"/>
      <c r="C101" s="279"/>
      <c r="D101" s="279"/>
      <c r="E101" s="279"/>
      <c r="F101" s="279"/>
      <c r="G101" s="279"/>
      <c r="H101" s="279"/>
      <c r="I101" s="279"/>
      <c r="J101" s="279"/>
    </row>
    <row r="102" spans="1:10" x14ac:dyDescent="0.2">
      <c r="A102" s="285"/>
      <c r="B102" s="264"/>
      <c r="C102" s="264"/>
      <c r="D102" s="264"/>
      <c r="E102" s="286"/>
      <c r="F102" s="264"/>
      <c r="G102" s="264"/>
      <c r="H102" s="287"/>
      <c r="I102" s="264"/>
      <c r="J102" s="264"/>
    </row>
  </sheetData>
  <mergeCells count="2">
    <mergeCell ref="B2:F2"/>
    <mergeCell ref="A1:J1"/>
  </mergeCells>
  <phoneticPr fontId="8" type="noConversion"/>
  <pageMargins left="0.33" right="0.16" top="0.72" bottom="0.66" header="0.42" footer="0.5"/>
  <pageSetup scale="74" orientation="portrait" horizontalDpi="4294967293" verticalDpi="200" r:id="rId1"/>
  <headerFooter alignWithMargins="0"/>
  <ignoredErrors>
    <ignoredError sqref="B28:G30 B56:E58 B84:E86 A53:A58 F56:G58 F84:G86 A81:A86" unlockedFormula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>
    <tabColor rgb="FF00ABEA"/>
  </sheetPr>
  <dimension ref="A1:AI272"/>
  <sheetViews>
    <sheetView showGridLines="0" tabSelected="1" workbookViewId="0">
      <selection activeCell="S14" sqref="S14"/>
    </sheetView>
  </sheetViews>
  <sheetFormatPr defaultColWidth="8" defaultRowHeight="12.75" x14ac:dyDescent="0.2"/>
  <cols>
    <col min="1" max="1" width="2.875" style="235" customWidth="1"/>
    <col min="2" max="5" width="6.25" style="235" customWidth="1"/>
    <col min="6" max="6" width="5.625" style="235" customWidth="1"/>
    <col min="7" max="7" width="6.25" style="235" customWidth="1"/>
    <col min="8" max="8" width="10.875" style="60" customWidth="1"/>
    <col min="9" max="9" width="5.625" style="60" customWidth="1"/>
    <col min="10" max="11" width="6.25" style="60" customWidth="1"/>
    <col min="12" max="13" width="5.625" style="60" customWidth="1"/>
    <col min="14" max="14" width="6.25" style="60" customWidth="1"/>
    <col min="15" max="15" width="2.625" style="60" customWidth="1"/>
    <col min="16" max="16" width="6.25" style="60" customWidth="1"/>
    <col min="17" max="17" width="10.625" style="60" customWidth="1"/>
    <col min="18" max="18" width="6.125" style="380" customWidth="1"/>
    <col min="19" max="26" width="10.625" style="380" customWidth="1"/>
    <col min="27" max="27" width="11.875" style="380" bestFit="1" customWidth="1"/>
    <col min="28" max="30" width="10.625" style="380" customWidth="1"/>
    <col min="31" max="33" width="8" style="380"/>
    <col min="34" max="16384" width="8" style="60"/>
  </cols>
  <sheetData>
    <row r="1" spans="1:34" ht="13.5" thickBot="1" x14ac:dyDescent="0.25">
      <c r="B1" s="1161" t="s">
        <v>849</v>
      </c>
      <c r="C1" s="1162"/>
      <c r="D1" s="1162"/>
      <c r="E1" s="1162"/>
      <c r="F1" s="1162"/>
      <c r="G1" s="1162"/>
      <c r="H1" s="1162"/>
      <c r="I1" s="1162"/>
      <c r="J1" s="1162"/>
      <c r="K1" s="1162"/>
      <c r="L1" s="1162"/>
      <c r="M1" s="1162"/>
      <c r="N1" s="1162"/>
      <c r="O1" s="1162"/>
      <c r="P1" s="1162"/>
      <c r="Q1" s="1162"/>
      <c r="R1" s="1162"/>
      <c r="S1" s="1163" t="s">
        <v>850</v>
      </c>
      <c r="T1" s="1163"/>
      <c r="U1" s="1163"/>
      <c r="V1" s="1163"/>
      <c r="W1" s="1163"/>
      <c r="X1" s="1163"/>
      <c r="Y1" s="1163"/>
      <c r="Z1" s="1164"/>
    </row>
    <row r="2" spans="1:34" ht="13.5" thickBot="1" x14ac:dyDescent="0.25">
      <c r="T2" s="216"/>
    </row>
    <row r="3" spans="1:34" s="380" customFormat="1" ht="12.75" customHeight="1" x14ac:dyDescent="0.2">
      <c r="A3" s="235"/>
      <c r="B3" s="74" t="s">
        <v>552</v>
      </c>
      <c r="C3" s="718"/>
      <c r="D3" s="718"/>
      <c r="E3" s="718"/>
      <c r="F3" s="30"/>
      <c r="G3" s="30"/>
      <c r="H3" s="342"/>
      <c r="I3" s="342"/>
      <c r="J3" s="342"/>
      <c r="K3" s="342"/>
      <c r="L3" s="342"/>
      <c r="M3" s="342"/>
      <c r="N3" s="342"/>
      <c r="O3" s="342"/>
      <c r="P3" s="342"/>
      <c r="Q3" s="342"/>
      <c r="R3" s="344"/>
      <c r="S3" s="22"/>
      <c r="T3" s="216"/>
      <c r="AE3" s="382"/>
    </row>
    <row r="4" spans="1:34" s="387" customFormat="1" ht="12.75" customHeight="1" thickBot="1" x14ac:dyDescent="0.25">
      <c r="A4" s="361"/>
      <c r="B4" s="148" t="s">
        <v>91</v>
      </c>
      <c r="C4" s="22"/>
      <c r="D4" s="22"/>
      <c r="E4" s="22"/>
      <c r="F4" s="22"/>
      <c r="G4" s="235"/>
      <c r="H4" s="96" t="s">
        <v>16</v>
      </c>
      <c r="I4" s="361"/>
      <c r="J4" s="361" t="s">
        <v>554</v>
      </c>
      <c r="K4" s="361"/>
      <c r="L4" s="361"/>
      <c r="M4" s="361"/>
      <c r="N4" s="361"/>
      <c r="O4" s="361"/>
      <c r="P4" s="361"/>
      <c r="Q4" s="361"/>
      <c r="R4" s="938"/>
      <c r="S4" s="22"/>
      <c r="V4" s="380"/>
      <c r="W4" s="380"/>
      <c r="AE4" s="361"/>
    </row>
    <row r="5" spans="1:34" s="380" customFormat="1" ht="12.75" customHeight="1" x14ac:dyDescent="0.2">
      <c r="A5" s="235"/>
      <c r="B5" s="148" t="s">
        <v>145</v>
      </c>
      <c r="C5" s="22"/>
      <c r="D5" s="22"/>
      <c r="E5" s="22"/>
      <c r="F5" s="22"/>
      <c r="G5" s="235"/>
      <c r="H5" s="237"/>
      <c r="I5" s="99"/>
      <c r="J5" s="235"/>
      <c r="K5" s="235"/>
      <c r="L5" s="235"/>
      <c r="M5" s="235"/>
      <c r="N5" s="25" t="s">
        <v>205</v>
      </c>
      <c r="O5" s="25"/>
      <c r="P5" s="25"/>
      <c r="Q5" s="235"/>
      <c r="R5" s="366"/>
      <c r="S5" s="22"/>
      <c r="T5" s="339" t="s">
        <v>558</v>
      </c>
      <c r="U5" s="342"/>
      <c r="V5" s="342"/>
      <c r="W5" s="342"/>
      <c r="X5" s="342"/>
      <c r="Y5" s="342"/>
      <c r="Z5" s="344"/>
      <c r="AE5" s="382"/>
    </row>
    <row r="6" spans="1:34" ht="12.75" customHeight="1" x14ac:dyDescent="0.2">
      <c r="B6" s="148"/>
      <c r="C6" s="935" t="s">
        <v>185</v>
      </c>
      <c r="D6" s="935"/>
      <c r="E6" s="22"/>
      <c r="F6" s="22"/>
      <c r="H6" s="982" t="s">
        <v>174</v>
      </c>
      <c r="I6" s="22"/>
      <c r="J6" s="22"/>
      <c r="K6" s="22"/>
      <c r="L6" s="22"/>
      <c r="M6" s="22"/>
      <c r="N6" s="25" t="s">
        <v>149</v>
      </c>
      <c r="O6" s="25"/>
      <c r="P6" s="1166">
        <v>0</v>
      </c>
      <c r="Q6" s="1166"/>
      <c r="R6" s="366"/>
      <c r="S6" s="22"/>
      <c r="T6" s="638"/>
      <c r="U6" s="235"/>
      <c r="V6" s="235"/>
      <c r="W6" s="235"/>
      <c r="X6" s="235"/>
      <c r="Y6" s="235"/>
      <c r="Z6" s="366"/>
      <c r="AE6" s="382"/>
      <c r="AH6" s="380"/>
    </row>
    <row r="7" spans="1:34" ht="12.75" customHeight="1" x14ac:dyDescent="0.2">
      <c r="B7" s="148"/>
      <c r="C7" s="935" t="s">
        <v>549</v>
      </c>
      <c r="D7" s="935"/>
      <c r="E7" s="97"/>
      <c r="F7" s="22"/>
      <c r="H7" s="237"/>
      <c r="I7" s="22"/>
      <c r="J7" s="22"/>
      <c r="K7" s="22"/>
      <c r="L7" s="22"/>
      <c r="M7" s="22"/>
      <c r="N7" s="743" t="s">
        <v>64</v>
      </c>
      <c r="O7" s="743"/>
      <c r="P7" s="1159" t="s">
        <v>451</v>
      </c>
      <c r="Q7" s="1159"/>
      <c r="R7" s="366"/>
      <c r="S7" s="22"/>
      <c r="T7" s="973"/>
      <c r="U7" s="235" t="s">
        <v>124</v>
      </c>
      <c r="V7" s="934"/>
      <c r="W7" s="934"/>
      <c r="X7" s="235"/>
      <c r="Y7" s="235"/>
      <c r="Z7" s="366"/>
      <c r="AE7" s="382"/>
      <c r="AH7" s="380"/>
    </row>
    <row r="8" spans="1:34" ht="12.75" customHeight="1" x14ac:dyDescent="0.2">
      <c r="B8" s="939" t="s">
        <v>101</v>
      </c>
      <c r="C8" s="22"/>
      <c r="D8" s="22"/>
      <c r="E8" s="22"/>
      <c r="F8" s="22"/>
      <c r="G8" s="22"/>
      <c r="H8" s="720" t="s">
        <v>863</v>
      </c>
      <c r="I8" s="22"/>
      <c r="J8" s="22"/>
      <c r="K8" s="22"/>
      <c r="L8" s="22"/>
      <c r="M8" s="22"/>
      <c r="N8" s="25" t="s">
        <v>151</v>
      </c>
      <c r="O8" s="25"/>
      <c r="P8" s="25"/>
      <c r="Q8" s="22"/>
      <c r="R8" s="366"/>
      <c r="S8" s="22"/>
      <c r="T8" s="974"/>
      <c r="U8" s="235" t="s">
        <v>125</v>
      </c>
      <c r="V8" s="235"/>
      <c r="W8" s="235"/>
      <c r="X8" s="235"/>
      <c r="Y8" s="235"/>
      <c r="Z8" s="366"/>
      <c r="AE8" s="382"/>
      <c r="AH8" s="380"/>
    </row>
    <row r="9" spans="1:34" ht="12.75" customHeight="1" x14ac:dyDescent="0.2">
      <c r="B9" s="940" t="s">
        <v>112</v>
      </c>
      <c r="C9" s="22"/>
      <c r="D9" s="22"/>
      <c r="E9" s="22"/>
      <c r="F9" s="22"/>
      <c r="G9" s="22"/>
      <c r="H9" s="719" t="s">
        <v>465</v>
      </c>
      <c r="I9" s="22"/>
      <c r="J9" s="22"/>
      <c r="K9" s="22"/>
      <c r="L9" s="22"/>
      <c r="M9" s="22"/>
      <c r="N9" s="212" t="s">
        <v>150</v>
      </c>
      <c r="O9" s="918"/>
      <c r="P9" s="1165">
        <v>0</v>
      </c>
      <c r="Q9" s="1165"/>
      <c r="R9" s="366"/>
      <c r="S9" s="22"/>
      <c r="T9" s="975"/>
      <c r="U9" s="235" t="s">
        <v>126</v>
      </c>
      <c r="V9" s="235"/>
      <c r="W9" s="235"/>
      <c r="X9" s="235"/>
      <c r="Y9" s="235"/>
      <c r="Z9" s="366"/>
      <c r="AC9" s="60"/>
      <c r="AD9" s="60"/>
    </row>
    <row r="10" spans="1:34" ht="12.75" customHeight="1" x14ac:dyDescent="0.2">
      <c r="B10" s="940"/>
      <c r="C10" s="22"/>
      <c r="D10" s="22"/>
      <c r="E10" s="22"/>
      <c r="F10" s="22"/>
      <c r="G10" s="22"/>
      <c r="H10" s="937"/>
      <c r="I10" s="22"/>
      <c r="J10" s="22"/>
      <c r="K10" s="22"/>
      <c r="L10" s="22"/>
      <c r="M10" s="22"/>
      <c r="N10" s="744" t="s">
        <v>65</v>
      </c>
      <c r="O10" s="744"/>
      <c r="P10" s="1159" t="s">
        <v>25</v>
      </c>
      <c r="Q10" s="1159"/>
      <c r="R10" s="366"/>
      <c r="S10" s="22"/>
      <c r="T10" s="976"/>
      <c r="U10" s="235" t="s">
        <v>127</v>
      </c>
      <c r="V10" s="235"/>
      <c r="W10" s="235"/>
      <c r="X10" s="235"/>
      <c r="Y10" s="235"/>
      <c r="Z10" s="366"/>
      <c r="AC10" s="60"/>
      <c r="AD10" s="60"/>
    </row>
    <row r="11" spans="1:34" ht="12.75" customHeight="1" x14ac:dyDescent="0.2">
      <c r="B11" s="763" t="s">
        <v>458</v>
      </c>
      <c r="C11" s="361"/>
      <c r="E11" s="927"/>
      <c r="G11" s="295" t="s">
        <v>1</v>
      </c>
      <c r="H11" s="397">
        <v>200000</v>
      </c>
      <c r="I11" s="22"/>
      <c r="J11" s="24" t="s">
        <v>555</v>
      </c>
      <c r="K11" s="22"/>
      <c r="L11" s="22"/>
      <c r="M11" s="22"/>
      <c r="N11" s="22"/>
      <c r="O11" s="22"/>
      <c r="P11" s="22"/>
      <c r="Q11" s="22"/>
      <c r="R11" s="366"/>
      <c r="S11" s="22"/>
      <c r="T11" s="977"/>
      <c r="U11" s="235" t="s">
        <v>128</v>
      </c>
      <c r="V11" s="934"/>
      <c r="W11" s="934"/>
      <c r="X11" s="235"/>
      <c r="Y11" s="235"/>
      <c r="Z11" s="366"/>
      <c r="AC11" s="60"/>
      <c r="AD11" s="60"/>
    </row>
    <row r="12" spans="1:34" ht="12.75" customHeight="1" thickBot="1" x14ac:dyDescent="0.25">
      <c r="B12" s="638"/>
      <c r="D12" s="49"/>
      <c r="E12" s="49"/>
      <c r="G12" s="929" t="s">
        <v>550</v>
      </c>
      <c r="H12" s="98">
        <f>H11/1.609</f>
        <v>124300.80795525172</v>
      </c>
      <c r="I12" s="22"/>
      <c r="J12" s="22"/>
      <c r="K12" s="22"/>
      <c r="L12" s="235"/>
      <c r="M12" s="235"/>
      <c r="N12" s="35" t="s">
        <v>556</v>
      </c>
      <c r="O12" s="35"/>
      <c r="P12" s="1160" t="s">
        <v>456</v>
      </c>
      <c r="Q12" s="1160"/>
      <c r="R12" s="366"/>
      <c r="S12" s="22"/>
      <c r="T12" s="978"/>
      <c r="U12" s="941" t="s">
        <v>129</v>
      </c>
      <c r="V12" s="979"/>
      <c r="W12" s="979"/>
      <c r="X12" s="941"/>
      <c r="Y12" s="941"/>
      <c r="Z12" s="944"/>
      <c r="AC12" s="60"/>
      <c r="AD12" s="60"/>
    </row>
    <row r="13" spans="1:34" ht="12.75" customHeight="1" x14ac:dyDescent="0.2">
      <c r="B13" s="148"/>
      <c r="C13" s="22"/>
      <c r="F13" s="212" t="s">
        <v>327</v>
      </c>
      <c r="G13" s="929" t="s">
        <v>1</v>
      </c>
      <c r="H13" s="73">
        <f>IF(OR(H4="BEV",H4="PHEV20",H4="PHEV40"),150000,200000)</f>
        <v>200000</v>
      </c>
      <c r="I13" s="22"/>
      <c r="J13" s="22"/>
      <c r="K13" s="22"/>
      <c r="L13" s="235"/>
      <c r="M13" s="235"/>
      <c r="N13" s="22"/>
      <c r="O13" s="22"/>
      <c r="P13" s="22"/>
      <c r="Q13" s="22"/>
      <c r="R13" s="366"/>
      <c r="S13" s="22"/>
      <c r="AC13" s="60"/>
      <c r="AD13" s="60"/>
    </row>
    <row r="14" spans="1:34" ht="12.75" customHeight="1" thickBot="1" x14ac:dyDescent="0.25">
      <c r="B14" s="746"/>
      <c r="C14" s="63"/>
      <c r="D14" s="570"/>
      <c r="E14" s="570"/>
      <c r="F14" s="941"/>
      <c r="G14" s="942" t="s">
        <v>550</v>
      </c>
      <c r="H14" s="943">
        <f>H13/1.609</f>
        <v>124300.80795525172</v>
      </c>
      <c r="I14" s="63"/>
      <c r="J14" s="63"/>
      <c r="K14" s="63"/>
      <c r="L14" s="941"/>
      <c r="M14" s="941"/>
      <c r="N14" s="63"/>
      <c r="O14" s="63"/>
      <c r="P14" s="63"/>
      <c r="Q14" s="63"/>
      <c r="R14" s="944"/>
      <c r="S14" s="22"/>
      <c r="AB14" s="235"/>
      <c r="AC14" s="235"/>
      <c r="AD14" s="60"/>
    </row>
    <row r="15" spans="1:34" ht="12.75" customHeight="1" thickBot="1" x14ac:dyDescent="0.25">
      <c r="B15" s="60"/>
      <c r="C15" s="60"/>
      <c r="D15" s="34"/>
      <c r="E15" s="34"/>
      <c r="G15" s="929"/>
      <c r="H15" s="98"/>
      <c r="L15" s="235"/>
      <c r="M15" s="235"/>
      <c r="S15" s="22"/>
      <c r="T15" s="22"/>
      <c r="U15" s="924"/>
      <c r="V15" s="934"/>
      <c r="W15" s="934"/>
      <c r="AC15" s="60"/>
      <c r="AD15" s="60"/>
    </row>
    <row r="16" spans="1:34" s="28" customFormat="1" ht="12.75" customHeight="1" x14ac:dyDescent="0.2">
      <c r="A16" s="34"/>
      <c r="B16" s="74" t="s">
        <v>559</v>
      </c>
      <c r="C16" s="714"/>
      <c r="D16" s="714"/>
      <c r="E16" s="714"/>
      <c r="F16" s="714"/>
      <c r="G16" s="714"/>
      <c r="H16" s="718" t="s">
        <v>93</v>
      </c>
      <c r="I16" s="714"/>
      <c r="J16" s="714"/>
      <c r="K16" s="714"/>
      <c r="L16" s="714"/>
      <c r="M16" s="714"/>
      <c r="N16" s="747"/>
      <c r="O16" s="34"/>
      <c r="P16" s="945"/>
      <c r="Q16" s="928" t="s">
        <v>548</v>
      </c>
      <c r="R16" s="29"/>
      <c r="S16" s="29"/>
      <c r="T16" s="29"/>
      <c r="U16" s="29"/>
      <c r="V16" s="29"/>
      <c r="W16" s="29"/>
      <c r="X16" s="29"/>
      <c r="Y16" s="29"/>
      <c r="Z16" s="31"/>
      <c r="AA16" s="34"/>
    </row>
    <row r="17" spans="2:35" ht="12.75" customHeight="1" x14ac:dyDescent="0.2">
      <c r="B17" s="946" t="s">
        <v>317</v>
      </c>
      <c r="C17" s="22"/>
      <c r="E17" s="22"/>
      <c r="F17" s="294" t="s">
        <v>30</v>
      </c>
      <c r="H17" s="22"/>
      <c r="I17" s="34"/>
      <c r="J17" s="48" t="s">
        <v>95</v>
      </c>
      <c r="K17" s="48"/>
      <c r="L17" s="34"/>
      <c r="M17" s="48" t="s">
        <v>87</v>
      </c>
      <c r="N17" s="366"/>
      <c r="O17" s="235"/>
      <c r="P17" s="148"/>
      <c r="Q17" s="22"/>
      <c r="R17" s="22"/>
      <c r="S17" s="48" t="s">
        <v>69</v>
      </c>
      <c r="T17" s="48"/>
      <c r="U17" s="34"/>
      <c r="V17" s="48" t="s">
        <v>44</v>
      </c>
      <c r="W17" s="48"/>
      <c r="X17" s="48"/>
      <c r="Y17" s="48" t="s">
        <v>45</v>
      </c>
      <c r="Z17" s="947"/>
      <c r="AA17" s="235"/>
      <c r="AC17" s="60"/>
      <c r="AD17" s="60"/>
    </row>
    <row r="18" spans="2:35" ht="12.75" customHeight="1" x14ac:dyDescent="0.2">
      <c r="B18" s="148"/>
      <c r="C18" s="57" t="s">
        <v>462</v>
      </c>
      <c r="D18" s="22"/>
      <c r="E18" s="22"/>
      <c r="F18" s="22"/>
      <c r="H18" s="22"/>
      <c r="I18" s="212" t="s">
        <v>460</v>
      </c>
      <c r="J18" s="45">
        <v>0.75</v>
      </c>
      <c r="K18" s="46" t="s">
        <v>48</v>
      </c>
      <c r="L18" s="47"/>
      <c r="M18" s="45">
        <v>0.75</v>
      </c>
      <c r="N18" s="959" t="s">
        <v>48</v>
      </c>
      <c r="O18" s="46"/>
      <c r="P18" s="148"/>
      <c r="Q18" s="22"/>
      <c r="R18" s="918" t="s">
        <v>67</v>
      </c>
      <c r="S18" s="76" t="s">
        <v>94</v>
      </c>
      <c r="T18" s="57" t="s">
        <v>102</v>
      </c>
      <c r="U18" s="37"/>
      <c r="V18" s="21" t="s">
        <v>94</v>
      </c>
      <c r="W18" s="931" t="s">
        <v>102</v>
      </c>
      <c r="X18" s="50"/>
      <c r="Y18" s="49" t="s">
        <v>94</v>
      </c>
      <c r="Z18" s="129" t="s">
        <v>102</v>
      </c>
      <c r="AA18" s="235"/>
      <c r="AC18" s="60"/>
      <c r="AD18" s="60"/>
    </row>
    <row r="19" spans="2:35" ht="12.75" customHeight="1" x14ac:dyDescent="0.2">
      <c r="B19" s="148"/>
      <c r="C19" s="936" t="s">
        <v>463</v>
      </c>
      <c r="D19" s="22"/>
      <c r="E19" s="22"/>
      <c r="F19" s="22"/>
      <c r="H19" s="22"/>
      <c r="I19" s="25" t="s">
        <v>9</v>
      </c>
      <c r="J19" s="45">
        <v>0.67</v>
      </c>
      <c r="K19" s="46" t="s">
        <v>48</v>
      </c>
      <c r="L19" s="47"/>
      <c r="M19" s="45">
        <v>0.67</v>
      </c>
      <c r="N19" s="959" t="s">
        <v>48</v>
      </c>
      <c r="O19" s="46"/>
      <c r="P19" s="148"/>
      <c r="Q19" s="22"/>
      <c r="R19" s="920" t="s">
        <v>70</v>
      </c>
      <c r="S19" s="90">
        <f ca="1">IF(BOM="Yes","-----n/a-----",'Expert Data Input'!B5*CWminus)</f>
        <v>468.48</v>
      </c>
      <c r="T19" s="185">
        <f t="shared" ref="T19:T38" ca="1" si="0">IF(F$17="Yes","-----n/a-----",S19/$S$39)</f>
        <v>0.4</v>
      </c>
      <c r="U19" s="39"/>
      <c r="V19" s="91">
        <f ca="1">IF(BOM="Yes","-----n/a-----",S19-B35-$J$41*Sc*'Expert Data Input'!D6)</f>
        <v>136.38000000000002</v>
      </c>
      <c r="W19" s="40">
        <f t="shared" ref="W19:W39" ca="1" si="1">IF(F$17="Yes","-----n/a-----",V19/$V$39)</f>
        <v>0.12936824132043262</v>
      </c>
      <c r="X19" s="40"/>
      <c r="Y19" s="91">
        <f ca="1">IF(BOM="Yes","-----n/a-----",S19-B35-$M$41*Sc*'Expert Data Input'!D6)</f>
        <v>133.78800000000001</v>
      </c>
      <c r="Z19" s="948">
        <f t="shared" ref="Z19:Z39" ca="1" si="2">IF(F$17="Yes","-----n/a-----",Y19/$Y$39)</f>
        <v>0.13158267437743423</v>
      </c>
      <c r="AA19" s="235"/>
      <c r="AC19" s="60"/>
      <c r="AD19" s="60"/>
    </row>
    <row r="20" spans="2:35" ht="12.75" customHeight="1" x14ac:dyDescent="0.2">
      <c r="B20" s="638"/>
      <c r="H20" s="22"/>
      <c r="I20" s="212" t="s">
        <v>461</v>
      </c>
      <c r="J20" s="45">
        <v>0.55000000000000004</v>
      </c>
      <c r="K20" s="46" t="s">
        <v>48</v>
      </c>
      <c r="L20" s="22"/>
      <c r="M20" s="45">
        <v>0.55000000000000004</v>
      </c>
      <c r="N20" s="959" t="s">
        <v>48</v>
      </c>
      <c r="O20" s="46"/>
      <c r="P20" s="148"/>
      <c r="Q20" s="22"/>
      <c r="R20" s="920" t="s">
        <v>33</v>
      </c>
      <c r="S20" s="90">
        <f ca="1">IF(BOM="Yes","-----n/a-----",'Expert Data Input'!B6*CWminus)</f>
        <v>175.68</v>
      </c>
      <c r="T20" s="185">
        <f t="shared" ca="1" si="0"/>
        <v>0.15</v>
      </c>
      <c r="U20" s="39"/>
      <c r="V20" s="91">
        <f ca="1">IF(BOM="Yes","-----n/a-----",S20-B36-$J$41*Sc*'Expert Data Input'!D7)</f>
        <v>134.28</v>
      </c>
      <c r="W20" s="40">
        <f t="shared" ca="1" si="1"/>
        <v>0.12737620944792263</v>
      </c>
      <c r="X20" s="40"/>
      <c r="Y20" s="91">
        <f ca="1">IF(BOM="Yes","-----n/a-----",S20-B36-$M$41*Sc*'Expert Data Input'!D7)</f>
        <v>132.55200000000002</v>
      </c>
      <c r="Z20" s="948">
        <f t="shared" ca="1" si="2"/>
        <v>0.13036704827097845</v>
      </c>
      <c r="AA20" s="235"/>
      <c r="AC20" s="60"/>
      <c r="AD20" s="60"/>
    </row>
    <row r="21" spans="2:35" ht="12.75" customHeight="1" x14ac:dyDescent="0.2">
      <c r="B21" s="930" t="s">
        <v>383</v>
      </c>
      <c r="C21" s="24"/>
      <c r="D21" s="24"/>
      <c r="E21" s="24"/>
      <c r="G21" s="22"/>
      <c r="H21" s="22"/>
      <c r="I21" s="25" t="s">
        <v>36</v>
      </c>
      <c r="J21" s="45">
        <v>0.5</v>
      </c>
      <c r="K21" s="46" t="s">
        <v>48</v>
      </c>
      <c r="L21" s="47"/>
      <c r="M21" s="45">
        <v>0.5</v>
      </c>
      <c r="N21" s="959" t="s">
        <v>48</v>
      </c>
      <c r="O21" s="46"/>
      <c r="P21" s="148"/>
      <c r="Q21" s="22"/>
      <c r="R21" s="920" t="s">
        <v>209</v>
      </c>
      <c r="S21" s="90">
        <f ca="1">IF(BOM="Yes","-----n/a-----",'Expert Data Input'!B7*CWminus)</f>
        <v>117.12</v>
      </c>
      <c r="T21" s="185">
        <f t="shared" ca="1" si="0"/>
        <v>0.1</v>
      </c>
      <c r="U21" s="39"/>
      <c r="V21" s="91">
        <f ca="1">IF(BOM="Yes","-----n/a-----",S21-B37-$J$41*Sc*'Expert Data Input'!D8)</f>
        <v>117.12</v>
      </c>
      <c r="W21" s="40">
        <f t="shared" ca="1" si="1"/>
        <v>0.1110984632896984</v>
      </c>
      <c r="X21" s="40"/>
      <c r="Y21" s="91">
        <f ca="1">IF(BOM="Yes","-----n/a-----",S21-B37-$M$41*Sc*'Expert Data Input'!D8)</f>
        <v>117.12</v>
      </c>
      <c r="Z21" s="948">
        <f t="shared" ca="1" si="2"/>
        <v>0.11518942523309338</v>
      </c>
      <c r="AA21" s="235"/>
      <c r="AC21" s="60"/>
      <c r="AD21" s="60"/>
    </row>
    <row r="22" spans="2:35" ht="12.75" customHeight="1" x14ac:dyDescent="0.3">
      <c r="B22" s="764">
        <f ca="1">B24</f>
        <v>1260</v>
      </c>
      <c r="C22" s="295" t="s">
        <v>384</v>
      </c>
      <c r="D22" s="22"/>
      <c r="H22" s="22"/>
      <c r="I22" s="22"/>
      <c r="J22" s="22"/>
      <c r="K22" s="22"/>
      <c r="L22" s="22"/>
      <c r="M22" s="22"/>
      <c r="N22" s="952"/>
      <c r="O22" s="22"/>
      <c r="P22" s="148"/>
      <c r="Q22" s="22"/>
      <c r="R22" s="920" t="s">
        <v>206</v>
      </c>
      <c r="S22" s="90">
        <f ca="1">IF(BOM="Yes","-----n/a-----",'Expert Data Input'!B8*CWminus)</f>
        <v>0</v>
      </c>
      <c r="T22" s="185">
        <f t="shared" ca="1" si="0"/>
        <v>0</v>
      </c>
      <c r="U22" s="39"/>
      <c r="V22" s="91">
        <f ca="1">IF(BOM="Yes","-----n/a-----",S22+K26)</f>
        <v>243</v>
      </c>
      <c r="W22" s="40">
        <f t="shared" ca="1" si="1"/>
        <v>0.23050654524758118</v>
      </c>
      <c r="X22" s="40"/>
      <c r="Y22" s="91">
        <f ca="1">IF(BOM="Yes","-----n/a-----",S22+N26)</f>
        <v>0</v>
      </c>
      <c r="Z22" s="948">
        <f t="shared" ca="1" si="2"/>
        <v>0</v>
      </c>
      <c r="AA22" s="235"/>
      <c r="AC22" s="60"/>
      <c r="AD22" s="60"/>
    </row>
    <row r="23" spans="2:35" ht="12.75" customHeight="1" x14ac:dyDescent="0.3">
      <c r="B23" s="926">
        <f ca="1">CWc*2.20462262</f>
        <v>2777.8245011999998</v>
      </c>
      <c r="C23" s="295" t="s">
        <v>385</v>
      </c>
      <c r="D23" s="22"/>
      <c r="H23" s="58" t="s">
        <v>108</v>
      </c>
      <c r="I23" s="22"/>
      <c r="J23" s="742"/>
      <c r="K23" s="742"/>
      <c r="L23" s="724"/>
      <c r="M23" s="741"/>
      <c r="N23" s="960"/>
      <c r="O23" s="918"/>
      <c r="P23" s="148"/>
      <c r="Q23" s="22"/>
      <c r="R23" s="920" t="s">
        <v>207</v>
      </c>
      <c r="S23" s="90">
        <f ca="1">IF(BOM="Yes","-----n/a-----",'Expert Data Input'!B9*CWminus)</f>
        <v>0</v>
      </c>
      <c r="T23" s="185">
        <f t="shared" ca="1" si="0"/>
        <v>0</v>
      </c>
      <c r="U23" s="39"/>
      <c r="V23" s="91">
        <f ca="1">IF(BOM="Yes","-----n/a-----",S23+K27)</f>
        <v>27</v>
      </c>
      <c r="W23" s="40">
        <f t="shared" ca="1" si="1"/>
        <v>2.5611838360842354E-2</v>
      </c>
      <c r="X23" s="40"/>
      <c r="Y23" s="91">
        <f ca="1">IF(BOM="Yes","-----n/a-----",S23+N27)</f>
        <v>0</v>
      </c>
      <c r="Z23" s="948">
        <f t="shared" ca="1" si="2"/>
        <v>0</v>
      </c>
      <c r="AA23" s="235"/>
      <c r="AC23" s="60"/>
      <c r="AD23" s="22"/>
      <c r="AE23" s="235"/>
      <c r="AF23" s="235"/>
      <c r="AG23" s="235"/>
      <c r="AH23" s="22"/>
      <c r="AI23" s="22"/>
    </row>
    <row r="24" spans="2:35" ht="12.75" customHeight="1" x14ac:dyDescent="0.3">
      <c r="B24" s="38">
        <f ca="1">'ED - ES'!B52</f>
        <v>1260</v>
      </c>
      <c r="C24" s="295" t="s">
        <v>386</v>
      </c>
      <c r="D24" s="22"/>
      <c r="H24" s="22"/>
      <c r="I24" s="932"/>
      <c r="J24" s="48" t="s">
        <v>95</v>
      </c>
      <c r="K24" s="48"/>
      <c r="L24" s="34"/>
      <c r="M24" s="48" t="s">
        <v>87</v>
      </c>
      <c r="N24" s="947"/>
      <c r="O24" s="48"/>
      <c r="P24" s="148"/>
      <c r="Q24" s="22"/>
      <c r="R24" s="920" t="s">
        <v>208</v>
      </c>
      <c r="S24" s="90">
        <f ca="1">IF(BOM="Yes","-----n/a-----",'Expert Data Input'!B10*CWminus)</f>
        <v>0</v>
      </c>
      <c r="T24" s="185">
        <f t="shared" ca="1" si="0"/>
        <v>0</v>
      </c>
      <c r="U24" s="39"/>
      <c r="V24" s="91">
        <f ca="1">IF(BOM="Yes","-----n/a-----",S24+K28)</f>
        <v>0</v>
      </c>
      <c r="W24" s="40">
        <f t="shared" ca="1" si="1"/>
        <v>0</v>
      </c>
      <c r="X24" s="40"/>
      <c r="Y24" s="91">
        <f ca="1">IF(BOM="Yes","-----n/a-----",S24+N28)</f>
        <v>0</v>
      </c>
      <c r="Z24" s="948">
        <f t="shared" ca="1" si="2"/>
        <v>0</v>
      </c>
      <c r="AA24" s="235"/>
      <c r="AC24" s="60"/>
      <c r="AD24" s="22"/>
      <c r="AE24" s="235"/>
      <c r="AF24" s="235"/>
      <c r="AG24" s="235"/>
      <c r="AH24" s="22"/>
      <c r="AI24" s="22"/>
    </row>
    <row r="25" spans="2:35" ht="12.75" customHeight="1" x14ac:dyDescent="0.3">
      <c r="B25" s="926">
        <f ca="1">B24*2.20462262</f>
        <v>2777.8245011999998</v>
      </c>
      <c r="C25" s="295" t="s">
        <v>842</v>
      </c>
      <c r="D25" s="22"/>
      <c r="H25" s="22"/>
      <c r="I25" s="933"/>
      <c r="J25" s="49" t="s">
        <v>37</v>
      </c>
      <c r="K25" s="50" t="s">
        <v>94</v>
      </c>
      <c r="L25" s="34"/>
      <c r="M25" s="49" t="s">
        <v>37</v>
      </c>
      <c r="N25" s="961" t="s">
        <v>94</v>
      </c>
      <c r="O25" s="50"/>
      <c r="P25" s="148"/>
      <c r="Q25" s="22"/>
      <c r="R25" s="920" t="s">
        <v>88</v>
      </c>
      <c r="S25" s="90">
        <f ca="1">IF(BOM="Yes","-----n/a-----",'Expert Data Input'!B11*CWminus)</f>
        <v>11.712000000000002</v>
      </c>
      <c r="T25" s="185">
        <f t="shared" ca="1" si="0"/>
        <v>0.01</v>
      </c>
      <c r="U25" s="39"/>
      <c r="V25" s="91">
        <f ca="1">IF(BOM="Yes","-----n/a-----",S25+K29-$J$41*Sc*'Expert Data Input'!D9)</f>
        <v>9.0120000000000005</v>
      </c>
      <c r="W25" s="40">
        <f t="shared" ca="1" si="1"/>
        <v>8.5486624928856041E-3</v>
      </c>
      <c r="X25" s="40"/>
      <c r="Y25" s="91">
        <f ca="1">IF(BOM="Yes","-----n/a-----",S25+N29-$M$41*Sc*'Expert Data Input'!D9)</f>
        <v>176.988</v>
      </c>
      <c r="Z25" s="948">
        <f t="shared" ca="1" si="2"/>
        <v>0.17407057712734569</v>
      </c>
      <c r="AA25" s="235"/>
      <c r="AC25" s="60"/>
      <c r="AD25" s="22"/>
      <c r="AE25" s="235"/>
      <c r="AF25" s="235"/>
      <c r="AG25" s="235"/>
      <c r="AH25" s="22"/>
      <c r="AI25" s="22"/>
    </row>
    <row r="26" spans="2:35" ht="12.75" customHeight="1" x14ac:dyDescent="0.2">
      <c r="B26" s="638"/>
      <c r="H26" s="22"/>
      <c r="I26" s="212" t="s">
        <v>206</v>
      </c>
      <c r="J26" s="51">
        <v>0.9</v>
      </c>
      <c r="K26" s="77">
        <f ca="1">J26*($B$38*KSc)</f>
        <v>243</v>
      </c>
      <c r="L26" s="22"/>
      <c r="M26" s="51">
        <v>0</v>
      </c>
      <c r="N26" s="962">
        <f ca="1">M26*$B$38*M18</f>
        <v>0</v>
      </c>
      <c r="O26" s="970"/>
      <c r="P26" s="148"/>
      <c r="Q26" s="22"/>
      <c r="R26" s="920" t="s">
        <v>98</v>
      </c>
      <c r="S26" s="90">
        <f ca="1">IF(BOM="Yes","-----n/a-----",'Expert Data Input'!B12*CWminus)</f>
        <v>11.712000000000002</v>
      </c>
      <c r="T26" s="185">
        <f t="shared" ca="1" si="0"/>
        <v>0.01</v>
      </c>
      <c r="U26" s="39"/>
      <c r="V26" s="91">
        <f ca="1">IF(BOM="Yes","-----n/a-----",S26+K30-$J$41*Sc*'Expert Data Input'!D10)</f>
        <v>9.0120000000000005</v>
      </c>
      <c r="W26" s="40">
        <f t="shared" ca="1" si="1"/>
        <v>8.5486624928856041E-3</v>
      </c>
      <c r="X26" s="40"/>
      <c r="Y26" s="91">
        <f ca="1">IF(BOM="Yes","-----n/a-----",S26+N30-$M$41*Sc*'Expert Data Input'!D10)</f>
        <v>80.50800000000001</v>
      </c>
      <c r="Z26" s="948">
        <f t="shared" ca="1" si="2"/>
        <v>7.9180927652543392E-2</v>
      </c>
      <c r="AA26" s="235"/>
      <c r="AC26" s="60"/>
      <c r="AD26" s="22"/>
      <c r="AE26" s="235"/>
      <c r="AF26" s="235"/>
      <c r="AG26" s="235"/>
      <c r="AH26" s="22"/>
      <c r="AI26" s="22"/>
    </row>
    <row r="27" spans="2:35" ht="12.75" customHeight="1" x14ac:dyDescent="0.2">
      <c r="B27" s="930" t="s">
        <v>332</v>
      </c>
      <c r="C27" s="24"/>
      <c r="D27" s="24"/>
      <c r="E27" s="22"/>
      <c r="F27" s="24"/>
      <c r="H27" s="22"/>
      <c r="I27" s="212" t="s">
        <v>207</v>
      </c>
      <c r="J27" s="51">
        <v>0.1</v>
      </c>
      <c r="K27" s="77">
        <f ca="1">J27*($B$38*KSc)</f>
        <v>27</v>
      </c>
      <c r="L27" s="22"/>
      <c r="M27" s="51">
        <v>0</v>
      </c>
      <c r="N27" s="962">
        <f ca="1">M27*$B$38*M18</f>
        <v>0</v>
      </c>
      <c r="O27" s="970"/>
      <c r="P27" s="148"/>
      <c r="Q27" s="22"/>
      <c r="R27" s="920" t="s">
        <v>99</v>
      </c>
      <c r="S27" s="90">
        <f ca="1">IF(BOM="Yes","-----n/a-----",'Expert Data Input'!B13*CWminus)</f>
        <v>58.56</v>
      </c>
      <c r="T27" s="185">
        <f t="shared" ca="1" si="0"/>
        <v>0.05</v>
      </c>
      <c r="U27" s="39"/>
      <c r="V27" s="91">
        <f ca="1">IF(BOM="Yes","-----n/a-----",S27+K31-$J$41*Sc*'Expert Data Input'!D11)</f>
        <v>50.46</v>
      </c>
      <c r="W27" s="40">
        <f t="shared" ca="1" si="1"/>
        <v>4.7865680136596492E-2</v>
      </c>
      <c r="X27" s="40"/>
      <c r="Y27" s="91">
        <f ca="1">IF(BOM="Yes","-----n/a-----",S27+N31-$M$41*Sc*'Expert Data Input'!D11)</f>
        <v>47.868000000000002</v>
      </c>
      <c r="Z27" s="948">
        <f t="shared" ca="1" si="2"/>
        <v>4.7078956685943592E-2</v>
      </c>
      <c r="AA27" s="235"/>
      <c r="AC27" s="60"/>
      <c r="AD27" s="22"/>
      <c r="AE27" s="235"/>
      <c r="AF27" s="235"/>
      <c r="AG27" s="235"/>
      <c r="AH27" s="22"/>
      <c r="AI27" s="22"/>
    </row>
    <row r="28" spans="2:35" ht="12.75" customHeight="1" x14ac:dyDescent="0.2">
      <c r="B28" s="949">
        <f ca="1">B30</f>
        <v>360</v>
      </c>
      <c r="C28" s="295" t="s">
        <v>328</v>
      </c>
      <c r="D28" s="22"/>
      <c r="E28" s="22"/>
      <c r="F28" s="22"/>
      <c r="H28" s="22"/>
      <c r="I28" s="212" t="s">
        <v>208</v>
      </c>
      <c r="J28" s="51">
        <v>0</v>
      </c>
      <c r="K28" s="77">
        <f ca="1">J28*($B$38*KSc/100)</f>
        <v>0</v>
      </c>
      <c r="L28" s="22"/>
      <c r="M28" s="51">
        <v>0</v>
      </c>
      <c r="N28" s="962">
        <f ca="1">M28*$B$38*M18</f>
        <v>0</v>
      </c>
      <c r="O28" s="970"/>
      <c r="P28" s="148"/>
      <c r="Q28" s="22"/>
      <c r="R28" s="920" t="s">
        <v>210</v>
      </c>
      <c r="S28" s="90">
        <f ca="1">IF(BOM="Yes","-----n/a-----",'Expert Data Input'!B14*CWminus)</f>
        <v>0</v>
      </c>
      <c r="T28" s="185">
        <f t="shared" ca="1" si="0"/>
        <v>0</v>
      </c>
      <c r="U28" s="39"/>
      <c r="V28" s="91">
        <f ca="1">IF(BOM="Yes","-----n/a-----",S28+K32)</f>
        <v>0</v>
      </c>
      <c r="W28" s="40">
        <f t="shared" ca="1" si="1"/>
        <v>0</v>
      </c>
      <c r="X28" s="40"/>
      <c r="Y28" s="91">
        <f ca="1">IF(BOM="Yes","-----n/a-----",S28+N32)</f>
        <v>0</v>
      </c>
      <c r="Z28" s="948">
        <f t="shared" ca="1" si="2"/>
        <v>0</v>
      </c>
      <c r="AA28" s="22"/>
      <c r="AB28" s="60"/>
      <c r="AC28" s="60"/>
      <c r="AD28" s="22"/>
      <c r="AE28" s="235"/>
      <c r="AF28" s="235"/>
      <c r="AG28" s="235"/>
      <c r="AH28" s="22"/>
      <c r="AI28" s="22"/>
    </row>
    <row r="29" spans="2:35" ht="12.75" customHeight="1" x14ac:dyDescent="0.2">
      <c r="B29" s="926">
        <f ca="1">DMc*2.20462262</f>
        <v>793.6641431999999</v>
      </c>
      <c r="C29" s="295" t="s">
        <v>329</v>
      </c>
      <c r="D29" s="22"/>
      <c r="E29" s="22"/>
      <c r="F29" s="22"/>
      <c r="H29" s="22"/>
      <c r="I29" s="25" t="s">
        <v>88</v>
      </c>
      <c r="J29" s="51">
        <v>0</v>
      </c>
      <c r="K29" s="77">
        <f ca="1">J29*($B$38*KAc)</f>
        <v>0</v>
      </c>
      <c r="L29" s="22"/>
      <c r="M29" s="51">
        <v>0.7</v>
      </c>
      <c r="N29" s="962">
        <f ca="1">M29*$B$38*M19</f>
        <v>168.84</v>
      </c>
      <c r="O29" s="970"/>
      <c r="P29" s="148"/>
      <c r="Q29" s="22"/>
      <c r="R29" s="920" t="s">
        <v>211</v>
      </c>
      <c r="S29" s="90">
        <f ca="1">IF(BOM="Yes","-----n/a-----",'Expert Data Input'!B15*CWminus)</f>
        <v>0</v>
      </c>
      <c r="T29" s="185">
        <f t="shared" ca="1" si="0"/>
        <v>0</v>
      </c>
      <c r="U29" s="39"/>
      <c r="V29" s="91">
        <f ca="1">IF(BOM="Yes","-----n/a-----",S29+K33)</f>
        <v>0</v>
      </c>
      <c r="W29" s="40">
        <f t="shared" ca="1" si="1"/>
        <v>0</v>
      </c>
      <c r="X29" s="40"/>
      <c r="Y29" s="91">
        <f ca="1">IF(BOM="Yes","-----n/a-----",S29+N33)</f>
        <v>0</v>
      </c>
      <c r="Z29" s="948">
        <f t="shared" ca="1" si="2"/>
        <v>0</v>
      </c>
      <c r="AA29" s="22"/>
      <c r="AB29" s="60"/>
      <c r="AC29" s="60"/>
      <c r="AD29" s="22"/>
      <c r="AE29" s="22"/>
      <c r="AF29" s="22"/>
      <c r="AG29" s="22"/>
      <c r="AH29" s="22"/>
      <c r="AI29" s="22"/>
    </row>
    <row r="30" spans="2:35" ht="12.75" customHeight="1" x14ac:dyDescent="0.2">
      <c r="B30" s="38">
        <f ca="1">'ED - ES'!B56</f>
        <v>360</v>
      </c>
      <c r="C30" s="296" t="s">
        <v>330</v>
      </c>
      <c r="D30" s="22"/>
      <c r="E30" s="22"/>
      <c r="F30" s="22"/>
      <c r="H30" s="22"/>
      <c r="I30" s="25" t="s">
        <v>98</v>
      </c>
      <c r="J30" s="51">
        <v>0</v>
      </c>
      <c r="K30" s="77">
        <f ca="1">J30*($B$38*KAc)</f>
        <v>0</v>
      </c>
      <c r="L30" s="22"/>
      <c r="M30" s="51">
        <v>0.3</v>
      </c>
      <c r="N30" s="962">
        <f ca="1">M30*$B$38*M19</f>
        <v>72.36</v>
      </c>
      <c r="O30" s="970"/>
      <c r="P30" s="148"/>
      <c r="Q30" s="22"/>
      <c r="R30" s="920" t="s">
        <v>76</v>
      </c>
      <c r="S30" s="90">
        <f ca="1">IF(BOM="Yes","-----n/a-----",'Expert Data Input'!B16*CWminus)</f>
        <v>0</v>
      </c>
      <c r="T30" s="185">
        <f t="shared" ca="1" si="0"/>
        <v>0</v>
      </c>
      <c r="U30" s="39"/>
      <c r="V30" s="91">
        <f ca="1">IF(BOM="Yes","-----n/a-----",S30+K34)</f>
        <v>0</v>
      </c>
      <c r="W30" s="40">
        <f t="shared" ca="1" si="1"/>
        <v>0</v>
      </c>
      <c r="X30" s="40"/>
      <c r="Y30" s="91">
        <f ca="1">IF(BOM="Yes","-----n/a-----",S30+N34)</f>
        <v>0</v>
      </c>
      <c r="Z30" s="948">
        <f t="shared" ca="1" si="2"/>
        <v>0</v>
      </c>
      <c r="AA30" s="22"/>
      <c r="AB30" s="60"/>
      <c r="AC30" s="60"/>
      <c r="AD30" s="22"/>
      <c r="AE30" s="22"/>
      <c r="AF30" s="48"/>
      <c r="AG30" s="34"/>
      <c r="AH30" s="22"/>
      <c r="AI30" s="22"/>
    </row>
    <row r="31" spans="2:35" ht="12.75" customHeight="1" x14ac:dyDescent="0.2">
      <c r="B31" s="926">
        <f ca="1">B30*2.20462262</f>
        <v>793.6641431999999</v>
      </c>
      <c r="C31" s="296" t="s">
        <v>331</v>
      </c>
      <c r="D31" s="22"/>
      <c r="E31" s="22"/>
      <c r="F31" s="22"/>
      <c r="H31" s="22"/>
      <c r="I31" s="25" t="s">
        <v>99</v>
      </c>
      <c r="J31" s="51">
        <v>0</v>
      </c>
      <c r="K31" s="77">
        <f ca="1">J31*($B$38*KAc)</f>
        <v>0</v>
      </c>
      <c r="L31" s="22"/>
      <c r="M31" s="51">
        <v>0</v>
      </c>
      <c r="N31" s="962">
        <f ca="1">M31*$B$38*M19</f>
        <v>0</v>
      </c>
      <c r="O31" s="970"/>
      <c r="P31" s="148"/>
      <c r="Q31" s="22"/>
      <c r="R31" s="920" t="s">
        <v>77</v>
      </c>
      <c r="S31" s="90">
        <f ca="1">IF(BOM="Yes","-----n/a-----",'Expert Data Input'!B17*CWminus)</f>
        <v>0</v>
      </c>
      <c r="T31" s="185">
        <f t="shared" ca="1" si="0"/>
        <v>0</v>
      </c>
      <c r="U31" s="39"/>
      <c r="V31" s="91">
        <f ca="1">IF(BOM="Yes","-----n/a-----",S31+K35)</f>
        <v>0</v>
      </c>
      <c r="W31" s="40">
        <f t="shared" ca="1" si="1"/>
        <v>0</v>
      </c>
      <c r="X31" s="40"/>
      <c r="Y31" s="91">
        <f ca="1">IF(BOM="Yes","-----n/a-----",S31+N35)</f>
        <v>0</v>
      </c>
      <c r="Z31" s="948">
        <f t="shared" ca="1" si="2"/>
        <v>0</v>
      </c>
      <c r="AA31" s="22"/>
      <c r="AB31" s="60"/>
      <c r="AC31" s="60"/>
      <c r="AD31" s="22"/>
      <c r="AE31" s="22"/>
      <c r="AF31" s="34"/>
      <c r="AG31" s="34"/>
      <c r="AH31" s="22"/>
      <c r="AI31" s="22"/>
    </row>
    <row r="32" spans="2:35" ht="12.75" customHeight="1" x14ac:dyDescent="0.2">
      <c r="B32" s="148"/>
      <c r="C32" s="22"/>
      <c r="D32" s="22"/>
      <c r="E32" s="22"/>
      <c r="F32" s="22"/>
      <c r="G32" s="22"/>
      <c r="H32" s="22"/>
      <c r="I32" s="634" t="s">
        <v>210</v>
      </c>
      <c r="J32" s="51">
        <v>0</v>
      </c>
      <c r="K32" s="77">
        <f ca="1">J32*($B$38*KMc)</f>
        <v>0</v>
      </c>
      <c r="L32" s="22"/>
      <c r="M32" s="51">
        <v>0</v>
      </c>
      <c r="N32" s="962">
        <f ca="1">M32*$B$38*M21</f>
        <v>0</v>
      </c>
      <c r="O32" s="970"/>
      <c r="P32" s="148"/>
      <c r="Q32" s="22"/>
      <c r="R32" s="920" t="s">
        <v>78</v>
      </c>
      <c r="S32" s="90">
        <f ca="1">IF(BOM="Yes","-----n/a-----",'Expert Data Input'!B18*CWminus)</f>
        <v>0</v>
      </c>
      <c r="T32" s="185">
        <f t="shared" ca="1" si="0"/>
        <v>0</v>
      </c>
      <c r="U32" s="39"/>
      <c r="V32" s="91">
        <f ca="1">IF(BOM="Yes","-----n/a-----",S32+K36)</f>
        <v>0</v>
      </c>
      <c r="W32" s="40">
        <f t="shared" ca="1" si="1"/>
        <v>0</v>
      </c>
      <c r="X32" s="40"/>
      <c r="Y32" s="91">
        <f ca="1">IF(BOM="Yes","-----n/a-----",S32+N36)</f>
        <v>0</v>
      </c>
      <c r="Z32" s="948">
        <f t="shared" ca="1" si="2"/>
        <v>0</v>
      </c>
      <c r="AA32" s="22"/>
      <c r="AB32" s="60"/>
      <c r="AC32" s="60"/>
      <c r="AD32" s="22"/>
      <c r="AE32" s="22"/>
      <c r="AF32" s="34"/>
      <c r="AG32" s="34"/>
      <c r="AH32" s="22"/>
      <c r="AI32" s="22"/>
    </row>
    <row r="33" spans="1:35" ht="12.75" customHeight="1" x14ac:dyDescent="0.2">
      <c r="A33" s="60"/>
      <c r="B33" s="75" t="s">
        <v>466</v>
      </c>
      <c r="C33" s="58"/>
      <c r="D33" s="58"/>
      <c r="G33" s="22"/>
      <c r="H33" s="22"/>
      <c r="I33" s="634" t="s">
        <v>211</v>
      </c>
      <c r="J33" s="51">
        <v>0</v>
      </c>
      <c r="K33" s="77">
        <f ca="1">J33*($B$38*KMc)</f>
        <v>0</v>
      </c>
      <c r="L33" s="22"/>
      <c r="M33" s="51">
        <v>0</v>
      </c>
      <c r="N33" s="962">
        <f ca="1">M33*$B$38*M21</f>
        <v>0</v>
      </c>
      <c r="O33" s="970"/>
      <c r="P33" s="148"/>
      <c r="Q33" s="22"/>
      <c r="R33" s="921" t="s">
        <v>212</v>
      </c>
      <c r="S33" s="90">
        <f ca="1">IF(BOM="Yes","-----n/a-----",'Expert Data Input'!B19*CWminus)</f>
        <v>140.54400000000001</v>
      </c>
      <c r="T33" s="185">
        <f t="shared" ca="1" si="0"/>
        <v>0.12000000000000001</v>
      </c>
      <c r="U33" s="39"/>
      <c r="V33" s="91">
        <f t="shared" ref="V33:V38" ca="1" si="3">IF(BOM="Yes","-----n/a-----",S33)</f>
        <v>140.54400000000001</v>
      </c>
      <c r="W33" s="40">
        <f t="shared" ca="1" si="1"/>
        <v>0.13331815594763807</v>
      </c>
      <c r="X33" s="40"/>
      <c r="Y33" s="91">
        <f t="shared" ref="Y33:Y38" ca="1" si="4">IF(BOM="Yes","-----n/a-----",S33)</f>
        <v>140.54400000000001</v>
      </c>
      <c r="Z33" s="948">
        <f t="shared" ca="1" si="2"/>
        <v>0.13822731027971205</v>
      </c>
      <c r="AA33" s="22"/>
      <c r="AB33" s="60"/>
      <c r="AC33" s="60"/>
      <c r="AD33" s="22"/>
      <c r="AE33" s="22"/>
      <c r="AF33" s="34"/>
      <c r="AG33" s="34"/>
      <c r="AH33" s="22"/>
      <c r="AI33" s="22"/>
    </row>
    <row r="34" spans="1:35" ht="12.75" customHeight="1" x14ac:dyDescent="0.2">
      <c r="B34" s="748" t="s">
        <v>94</v>
      </c>
      <c r="C34" s="49" t="s">
        <v>37</v>
      </c>
      <c r="D34" s="34"/>
      <c r="G34" s="22"/>
      <c r="H34" s="22"/>
      <c r="I34" s="33" t="s">
        <v>76</v>
      </c>
      <c r="J34" s="51">
        <v>0</v>
      </c>
      <c r="K34" s="77">
        <f ca="1">J34*($B$38*KCc)</f>
        <v>0</v>
      </c>
      <c r="L34" s="22"/>
      <c r="M34" s="51">
        <v>0</v>
      </c>
      <c r="N34" s="962">
        <f ca="1">M34*$B$38*M20</f>
        <v>0</v>
      </c>
      <c r="O34" s="970"/>
      <c r="P34" s="148"/>
      <c r="Q34" s="22"/>
      <c r="R34" s="921" t="s">
        <v>310</v>
      </c>
      <c r="S34" s="90">
        <f ca="1">IF(BOM="Yes","-----n/a-----",'Expert Data Input'!B20*CWminus)</f>
        <v>35.136000000000003</v>
      </c>
      <c r="T34" s="185">
        <f t="shared" ca="1" si="0"/>
        <v>3.0000000000000002E-2</v>
      </c>
      <c r="U34" s="39"/>
      <c r="V34" s="91">
        <f t="shared" ca="1" si="3"/>
        <v>35.136000000000003</v>
      </c>
      <c r="W34" s="40">
        <f t="shared" ca="1" si="1"/>
        <v>3.3329538986909518E-2</v>
      </c>
      <c r="X34" s="40"/>
      <c r="Y34" s="91">
        <f t="shared" ca="1" si="4"/>
        <v>35.136000000000003</v>
      </c>
      <c r="Z34" s="948">
        <f t="shared" ca="1" si="2"/>
        <v>3.4556827569928013E-2</v>
      </c>
      <c r="AA34" s="22"/>
      <c r="AB34" s="60"/>
      <c r="AC34" s="60"/>
      <c r="AD34" s="22"/>
      <c r="AE34" s="22"/>
      <c r="AF34" s="34"/>
      <c r="AG34" s="34"/>
      <c r="AH34" s="22"/>
      <c r="AI34" s="22"/>
    </row>
    <row r="35" spans="1:35" ht="12.75" customHeight="1" x14ac:dyDescent="0.2">
      <c r="A35" s="60"/>
      <c r="B35" s="950">
        <f ca="1">0.9*DMc</f>
        <v>324</v>
      </c>
      <c r="C35" s="40">
        <f ca="1">B35/DMc</f>
        <v>0.9</v>
      </c>
      <c r="D35" s="62" t="s">
        <v>70</v>
      </c>
      <c r="G35" s="22"/>
      <c r="H35" s="22"/>
      <c r="I35" s="33" t="s">
        <v>77</v>
      </c>
      <c r="J35" s="51">
        <v>0</v>
      </c>
      <c r="K35" s="77">
        <f ca="1">J35*($B$38*KCc)</f>
        <v>0</v>
      </c>
      <c r="L35" s="22"/>
      <c r="M35" s="87">
        <v>0</v>
      </c>
      <c r="N35" s="962">
        <f ca="1">M35*$B$38*M20</f>
        <v>0</v>
      </c>
      <c r="O35" s="970"/>
      <c r="P35" s="148"/>
      <c r="Q35" s="22"/>
      <c r="R35" s="922" t="s">
        <v>214</v>
      </c>
      <c r="S35" s="90">
        <f ca="1">IF(BOM="Yes","-----n/a-----",'Expert Data Input'!B21*CWminus)</f>
        <v>35.136000000000003</v>
      </c>
      <c r="T35" s="185">
        <f t="shared" ca="1" si="0"/>
        <v>3.0000000000000002E-2</v>
      </c>
      <c r="U35" s="39"/>
      <c r="V35" s="91">
        <f t="shared" ca="1" si="3"/>
        <v>35.136000000000003</v>
      </c>
      <c r="W35" s="40">
        <f t="shared" ca="1" si="1"/>
        <v>3.3329538986909518E-2</v>
      </c>
      <c r="X35" s="40"/>
      <c r="Y35" s="91">
        <f t="shared" ca="1" si="4"/>
        <v>35.136000000000003</v>
      </c>
      <c r="Z35" s="948">
        <f t="shared" ca="1" si="2"/>
        <v>3.4556827569928013E-2</v>
      </c>
      <c r="AA35" s="22"/>
      <c r="AB35" s="60"/>
      <c r="AC35" s="60"/>
      <c r="AD35" s="22"/>
      <c r="AE35" s="22"/>
      <c r="AF35" s="34"/>
      <c r="AG35" s="34"/>
      <c r="AH35" s="22"/>
      <c r="AI35" s="22"/>
    </row>
    <row r="36" spans="1:35" ht="12.75" customHeight="1" x14ac:dyDescent="0.2">
      <c r="A36" s="60"/>
      <c r="B36" s="950">
        <f ca="1">0.1*DMc</f>
        <v>36</v>
      </c>
      <c r="C36" s="40">
        <f ca="1">B36/DMc</f>
        <v>0.1</v>
      </c>
      <c r="D36" s="62" t="s">
        <v>33</v>
      </c>
      <c r="G36" s="22"/>
      <c r="H36" s="22"/>
      <c r="I36" s="33" t="s">
        <v>78</v>
      </c>
      <c r="J36" s="51">
        <v>0</v>
      </c>
      <c r="K36" s="77">
        <f ca="1">J36*($B$38*KCc)</f>
        <v>0</v>
      </c>
      <c r="L36" s="22"/>
      <c r="M36" s="51">
        <v>0</v>
      </c>
      <c r="N36" s="962">
        <f ca="1">M36*$B$38*M20</f>
        <v>0</v>
      </c>
      <c r="O36" s="970"/>
      <c r="P36" s="148"/>
      <c r="Q36" s="22"/>
      <c r="R36" s="922" t="s">
        <v>215</v>
      </c>
      <c r="S36" s="90">
        <f ca="1">IF(BOM="Yes","-----n/a-----",'Expert Data Input'!B22*CWminus)</f>
        <v>23.424000000000003</v>
      </c>
      <c r="T36" s="185">
        <f t="shared" ca="1" si="0"/>
        <v>0.02</v>
      </c>
      <c r="U36" s="39"/>
      <c r="V36" s="91">
        <f t="shared" ca="1" si="3"/>
        <v>23.424000000000003</v>
      </c>
      <c r="W36" s="40">
        <f t="shared" ca="1" si="1"/>
        <v>2.2219692657939681E-2</v>
      </c>
      <c r="X36" s="40"/>
      <c r="Y36" s="91">
        <f t="shared" ca="1" si="4"/>
        <v>23.424000000000003</v>
      </c>
      <c r="Z36" s="948">
        <f t="shared" ca="1" si="2"/>
        <v>2.3037885046618675E-2</v>
      </c>
      <c r="AA36" s="22"/>
      <c r="AB36" s="60"/>
      <c r="AC36" s="60"/>
      <c r="AD36" s="22"/>
      <c r="AE36" s="22"/>
      <c r="AF36" s="34"/>
      <c r="AG36" s="34"/>
      <c r="AH36" s="22"/>
      <c r="AI36" s="22"/>
    </row>
    <row r="37" spans="1:35" ht="12.75" customHeight="1" x14ac:dyDescent="0.2">
      <c r="A37" s="60"/>
      <c r="B37" s="950">
        <v>0</v>
      </c>
      <c r="C37" s="40">
        <f ca="1">B37/DMc</f>
        <v>0</v>
      </c>
      <c r="D37" s="18" t="s">
        <v>209</v>
      </c>
      <c r="G37" s="22"/>
      <c r="H37" s="22"/>
      <c r="I37" s="924" t="s">
        <v>92</v>
      </c>
      <c r="J37" s="52">
        <f>SUM(J26:J36)</f>
        <v>1</v>
      </c>
      <c r="K37" s="55">
        <f ca="1">SUM(K26:K36)</f>
        <v>270</v>
      </c>
      <c r="L37" s="58"/>
      <c r="M37" s="52">
        <f>SUM(M26:M36)</f>
        <v>1</v>
      </c>
      <c r="N37" s="963">
        <f ca="1">SUM(N26:N36)</f>
        <v>241.2</v>
      </c>
      <c r="O37" s="55"/>
      <c r="P37" s="148"/>
      <c r="Q37" s="22"/>
      <c r="R37" s="922" t="s">
        <v>218</v>
      </c>
      <c r="S37" s="90">
        <f ca="1">IF(BOM="Yes","-----n/a-----",'Expert Data Input'!B23*CWminus)</f>
        <v>0</v>
      </c>
      <c r="T37" s="185">
        <f t="shared" ca="1" si="0"/>
        <v>0</v>
      </c>
      <c r="U37" s="39"/>
      <c r="V37" s="320">
        <f t="shared" ca="1" si="3"/>
        <v>0</v>
      </c>
      <c r="W37" s="40">
        <f t="shared" ca="1" si="1"/>
        <v>0</v>
      </c>
      <c r="X37" s="40"/>
      <c r="Y37" s="573">
        <f t="shared" ca="1" si="4"/>
        <v>0</v>
      </c>
      <c r="Z37" s="948">
        <f t="shared" ca="1" si="2"/>
        <v>0</v>
      </c>
      <c r="AA37" s="22"/>
      <c r="AB37" s="60"/>
      <c r="AC37" s="60"/>
      <c r="AD37" s="22"/>
      <c r="AE37" s="22"/>
      <c r="AF37" s="34"/>
      <c r="AG37" s="34"/>
      <c r="AH37" s="22"/>
      <c r="AI37" s="22"/>
    </row>
    <row r="38" spans="1:35" ht="12.75" customHeight="1" x14ac:dyDescent="0.2">
      <c r="A38" s="60"/>
      <c r="B38" s="951">
        <f ca="1">SUM(B35:B37)</f>
        <v>360</v>
      </c>
      <c r="C38" s="44">
        <f ca="1">SUM(C35:C37)</f>
        <v>1</v>
      </c>
      <c r="D38" s="34"/>
      <c r="G38" s="22"/>
      <c r="H38" s="22"/>
      <c r="I38" s="34"/>
      <c r="J38" s="34"/>
      <c r="K38" s="34"/>
      <c r="L38" s="34"/>
      <c r="M38" s="34"/>
      <c r="N38" s="36"/>
      <c r="O38" s="34"/>
      <c r="P38" s="148"/>
      <c r="Q38" s="22"/>
      <c r="R38" s="920" t="s">
        <v>50</v>
      </c>
      <c r="S38" s="90">
        <f ca="1">IF(BOM="Yes","-----n/a-----",'Expert Data Input'!B24*CWminus)</f>
        <v>93.695999999999827</v>
      </c>
      <c r="T38" s="185">
        <f t="shared" ca="1" si="0"/>
        <v>7.9999999999999849E-2</v>
      </c>
      <c r="U38" s="39"/>
      <c r="V38" s="91">
        <f t="shared" ca="1" si="3"/>
        <v>93.695999999999827</v>
      </c>
      <c r="W38" s="40">
        <f t="shared" ca="1" si="1"/>
        <v>8.8878770631758544E-2</v>
      </c>
      <c r="X38" s="40"/>
      <c r="Y38" s="91">
        <f t="shared" ca="1" si="4"/>
        <v>93.695999999999827</v>
      </c>
      <c r="Z38" s="948">
        <f t="shared" ca="1" si="2"/>
        <v>9.215154018647452E-2</v>
      </c>
      <c r="AA38" s="22"/>
      <c r="AB38" s="60"/>
      <c r="AC38" s="60"/>
      <c r="AD38" s="22"/>
      <c r="AE38" s="22"/>
      <c r="AF38" s="34"/>
      <c r="AG38" s="34"/>
      <c r="AH38" s="22"/>
      <c r="AI38" s="22"/>
    </row>
    <row r="39" spans="1:35" ht="12.75" customHeight="1" x14ac:dyDescent="0.2">
      <c r="A39" s="60"/>
      <c r="B39" s="148"/>
      <c r="C39" s="22"/>
      <c r="D39" s="22"/>
      <c r="E39" s="22"/>
      <c r="F39" s="22"/>
      <c r="G39" s="22"/>
      <c r="H39" s="24" t="s">
        <v>11</v>
      </c>
      <c r="I39" s="24"/>
      <c r="J39" s="34"/>
      <c r="K39" s="34"/>
      <c r="L39" s="34"/>
      <c r="M39" s="34"/>
      <c r="N39" s="953"/>
      <c r="O39" s="61"/>
      <c r="P39" s="148"/>
      <c r="Q39" s="22"/>
      <c r="R39" s="235"/>
      <c r="S39" s="59">
        <f ca="1">IF(F17="Yes","-----n/a-----",CW-SUM(S40:S43))</f>
        <v>1171.2</v>
      </c>
      <c r="T39" s="41"/>
      <c r="U39" s="43"/>
      <c r="V39" s="321">
        <f ca="1">IF(F17="Yes","-----n/a-----",SUM(V19:V38))</f>
        <v>1054.1999999999996</v>
      </c>
      <c r="W39" s="40">
        <f t="shared" ca="1" si="1"/>
        <v>1</v>
      </c>
      <c r="X39" s="40"/>
      <c r="Y39" s="321">
        <f ca="1">IF(F17="Yes","-----n/a-----",SUM(Y19:Y38))</f>
        <v>1016.7599999999999</v>
      </c>
      <c r="Z39" s="948">
        <f t="shared" ca="1" si="2"/>
        <v>1</v>
      </c>
      <c r="AA39" s="22"/>
      <c r="AB39" s="60"/>
      <c r="AC39" s="60"/>
      <c r="AD39" s="22"/>
      <c r="AE39" s="22"/>
      <c r="AF39" s="34"/>
      <c r="AG39" s="34"/>
      <c r="AH39" s="22"/>
      <c r="AI39" s="22"/>
    </row>
    <row r="40" spans="1:35" ht="12.75" customHeight="1" x14ac:dyDescent="0.2">
      <c r="A40" s="60"/>
      <c r="B40" s="930" t="s">
        <v>551</v>
      </c>
      <c r="C40" s="22"/>
      <c r="D40" s="22"/>
      <c r="E40" s="22"/>
      <c r="F40" s="22"/>
      <c r="G40" s="22"/>
      <c r="H40" s="22"/>
      <c r="I40" s="58"/>
      <c r="J40" s="918" t="s">
        <v>95</v>
      </c>
      <c r="K40" s="918"/>
      <c r="L40" s="48"/>
      <c r="M40" s="918" t="s">
        <v>87</v>
      </c>
      <c r="N40" s="960"/>
      <c r="O40" s="918"/>
      <c r="P40" s="148"/>
      <c r="Q40" s="22"/>
      <c r="R40" s="920" t="s">
        <v>130</v>
      </c>
      <c r="S40" s="190">
        <f ca="1">IF(F17="Yes","-----n/a-----",'ED - ES'!B61)</f>
        <v>0</v>
      </c>
      <c r="T40" s="34"/>
      <c r="U40" s="39"/>
      <c r="V40" s="91">
        <f ca="1">IF(BOM="Yes","-----n/a-----",(SUM(V19:V38)+SUM(V41:V43))*'ED - ES'!B72)</f>
        <v>0</v>
      </c>
      <c r="W40" s="40"/>
      <c r="X40" s="40"/>
      <c r="Y40" s="91">
        <f ca="1">IF(BOM="Yes","-----n/a-----",(SUM(Y19:Y38)+SUM(Y41:Y43))*'ED - ES'!B72)</f>
        <v>0</v>
      </c>
      <c r="Z40" s="952"/>
      <c r="AA40" s="22"/>
      <c r="AB40" s="60"/>
      <c r="AC40" s="60"/>
      <c r="AD40" s="22"/>
      <c r="AE40" s="22"/>
      <c r="AF40" s="34"/>
      <c r="AG40" s="34"/>
      <c r="AH40" s="22"/>
      <c r="AI40" s="22"/>
    </row>
    <row r="41" spans="1:35" ht="12.75" customHeight="1" thickBot="1" x14ac:dyDescent="0.25">
      <c r="A41" s="60"/>
      <c r="B41" s="964">
        <v>0.3</v>
      </c>
      <c r="C41" s="965" t="s">
        <v>553</v>
      </c>
      <c r="D41" s="63"/>
      <c r="E41" s="63"/>
      <c r="F41" s="63"/>
      <c r="G41" s="63"/>
      <c r="H41" s="63"/>
      <c r="I41" s="63"/>
      <c r="J41" s="966">
        <f ca="1">DMc-K37</f>
        <v>90</v>
      </c>
      <c r="K41" s="967" t="s">
        <v>94</v>
      </c>
      <c r="L41" s="968"/>
      <c r="M41" s="966">
        <f ca="1">DMc-N37</f>
        <v>118.80000000000001</v>
      </c>
      <c r="N41" s="969" t="s">
        <v>94</v>
      </c>
      <c r="O41" s="56"/>
      <c r="P41" s="148"/>
      <c r="Q41" s="22"/>
      <c r="R41" s="921" t="s">
        <v>216</v>
      </c>
      <c r="S41" s="190">
        <f>IF(F17="Yes","-----n/a-----",0)</f>
        <v>0</v>
      </c>
      <c r="T41" s="34"/>
      <c r="U41" s="39"/>
      <c r="V41" s="320">
        <f>IF(BOM="Yes","-----n/a-----",S41)</f>
        <v>0</v>
      </c>
      <c r="W41" s="40"/>
      <c r="X41" s="40"/>
      <c r="Y41" s="320">
        <f>IF(BOM="Yes","-----n/a-----",S41)</f>
        <v>0</v>
      </c>
      <c r="Z41" s="953"/>
      <c r="AA41" s="22"/>
      <c r="AB41" s="60"/>
      <c r="AC41" s="60"/>
      <c r="AD41" s="22"/>
      <c r="AE41" s="22"/>
      <c r="AF41" s="34"/>
      <c r="AG41" s="34"/>
      <c r="AH41" s="22"/>
      <c r="AI41" s="22"/>
    </row>
    <row r="42" spans="1:35" ht="12.75" customHeight="1" thickBot="1" x14ac:dyDescent="0.25">
      <c r="A42" s="60"/>
      <c r="B42" s="22"/>
      <c r="C42" s="22"/>
      <c r="G42" s="22"/>
      <c r="H42" s="22"/>
      <c r="I42" s="22"/>
      <c r="J42" s="22"/>
      <c r="K42" s="22"/>
      <c r="L42" s="22"/>
      <c r="M42" s="22"/>
      <c r="N42" s="22"/>
      <c r="O42" s="22"/>
      <c r="P42" s="148"/>
      <c r="Q42" s="22"/>
      <c r="R42" s="922" t="s">
        <v>217</v>
      </c>
      <c r="S42" s="190">
        <f ca="1">IF(F17="Yes","-----n/a-----",'Expert Data Input'!B73)</f>
        <v>28.8</v>
      </c>
      <c r="T42" s="22"/>
      <c r="U42" s="39"/>
      <c r="V42" s="91">
        <f ca="1">IF(BOM="Yes","-----n/a-----",S42)</f>
        <v>28.8</v>
      </c>
      <c r="W42" s="40"/>
      <c r="X42" s="40"/>
      <c r="Y42" s="91">
        <f ca="1">IF(BOM="Yes","-----n/a-----",S42)</f>
        <v>28.8</v>
      </c>
      <c r="Z42" s="953"/>
      <c r="AA42" s="22"/>
      <c r="AB42" s="60"/>
      <c r="AC42" s="60"/>
      <c r="AD42" s="22"/>
      <c r="AE42" s="22"/>
      <c r="AF42" s="34"/>
      <c r="AG42" s="34"/>
      <c r="AH42" s="22"/>
      <c r="AI42" s="22"/>
    </row>
    <row r="43" spans="1:35" ht="12.75" customHeight="1" x14ac:dyDescent="0.2">
      <c r="A43" s="60"/>
      <c r="B43" s="925"/>
      <c r="C43" s="29"/>
      <c r="D43" s="29"/>
      <c r="E43" s="29"/>
      <c r="F43" s="29"/>
      <c r="G43" s="29"/>
      <c r="H43" s="29"/>
      <c r="I43" s="29"/>
      <c r="J43" s="29"/>
      <c r="K43" s="29"/>
      <c r="L43" s="29"/>
      <c r="M43" s="29"/>
      <c r="N43" s="31"/>
      <c r="O43" s="22"/>
      <c r="P43" s="148"/>
      <c r="Q43" s="22"/>
      <c r="R43" s="921" t="s">
        <v>288</v>
      </c>
      <c r="S43" s="190">
        <f>IF(F17="Yes","-----n/a-----",4*'Expert Data Input'!D20)</f>
        <v>60</v>
      </c>
      <c r="T43" s="22"/>
      <c r="U43" s="39"/>
      <c r="V43" s="320">
        <f>IF(BOM="Yes","-----n/a-----",S43)</f>
        <v>60</v>
      </c>
      <c r="W43" s="40"/>
      <c r="X43" s="40"/>
      <c r="Y43" s="320">
        <f>IF(BOM="Yes","-----n/a-----",S43)</f>
        <v>60</v>
      </c>
      <c r="Z43" s="953"/>
      <c r="AA43" s="22"/>
      <c r="AB43" s="60"/>
      <c r="AC43" s="60"/>
      <c r="AD43" s="22"/>
      <c r="AE43" s="22"/>
      <c r="AF43" s="34"/>
      <c r="AG43" s="34"/>
      <c r="AH43" s="22"/>
      <c r="AI43" s="22"/>
    </row>
    <row r="44" spans="1:35" ht="12.75" customHeight="1" x14ac:dyDescent="0.2">
      <c r="A44" s="60"/>
      <c r="B44" s="972" t="s">
        <v>557</v>
      </c>
      <c r="C44" s="22"/>
      <c r="G44" s="22"/>
      <c r="H44" s="22"/>
      <c r="I44" s="22"/>
      <c r="J44" s="22"/>
      <c r="K44" s="22"/>
      <c r="L44" s="22"/>
      <c r="M44" s="22"/>
      <c r="N44" s="952"/>
      <c r="O44" s="22"/>
      <c r="P44" s="148"/>
      <c r="Q44" s="22"/>
      <c r="R44" s="923" t="s">
        <v>305</v>
      </c>
      <c r="S44" s="42">
        <f ca="1">IF(F17="Yes","-----n/a-----",SUM(S39:S43))</f>
        <v>1260</v>
      </c>
      <c r="T44" s="22"/>
      <c r="U44" s="22"/>
      <c r="V44" s="42">
        <f ca="1">IF(B23="Yes","-----n/a-----",SUM(V39:V43))</f>
        <v>1142.9999999999995</v>
      </c>
      <c r="W44" s="22"/>
      <c r="X44" s="22"/>
      <c r="Y44" s="42">
        <f ca="1">IF(B29="Yes","-----n/a-----",SUM(Y39:Y43))</f>
        <v>1105.56</v>
      </c>
      <c r="Z44" s="954"/>
      <c r="AA44" s="22"/>
      <c r="AB44" s="60"/>
      <c r="AC44" s="60"/>
      <c r="AD44" s="22"/>
      <c r="AE44" s="22"/>
      <c r="AF44" s="34"/>
      <c r="AG44" s="34"/>
      <c r="AH44" s="22"/>
      <c r="AI44" s="22"/>
    </row>
    <row r="45" spans="1:35" ht="12.75" customHeight="1" thickBot="1" x14ac:dyDescent="0.25">
      <c r="A45" s="60"/>
      <c r="B45" s="746"/>
      <c r="C45" s="63"/>
      <c r="D45" s="63"/>
      <c r="E45" s="63"/>
      <c r="F45" s="63"/>
      <c r="G45" s="63"/>
      <c r="H45" s="63"/>
      <c r="I45" s="63"/>
      <c r="J45" s="63"/>
      <c r="K45" s="63"/>
      <c r="L45" s="63"/>
      <c r="M45" s="63"/>
      <c r="N45" s="971"/>
      <c r="O45" s="22"/>
      <c r="P45" s="746"/>
      <c r="Q45" s="63"/>
      <c r="R45" s="941"/>
      <c r="S45" s="955"/>
      <c r="T45" s="955"/>
      <c r="U45" s="955"/>
      <c r="V45" s="956">
        <f ca="1">IF(F17="Yes","-----n/a-----",S44-V44)</f>
        <v>117.00000000000045</v>
      </c>
      <c r="W45" s="957">
        <f ca="1">IF(F17="Yes","-----n/a-----",V45/B22)</f>
        <v>9.2857142857143221E-2</v>
      </c>
      <c r="X45" s="957"/>
      <c r="Y45" s="956">
        <f ca="1">IF(F17="Yes","-----n/a-----",S44-Y44)</f>
        <v>154.44000000000005</v>
      </c>
      <c r="Z45" s="958">
        <f ca="1">IF(F17="Yes","-----n/a-----",Y45/B22)</f>
        <v>0.12257142857142861</v>
      </c>
      <c r="AA45" s="22"/>
      <c r="AB45" s="60"/>
      <c r="AC45" s="60"/>
      <c r="AD45" s="22"/>
      <c r="AE45" s="22"/>
      <c r="AF45" s="34"/>
      <c r="AG45" s="34"/>
      <c r="AH45" s="22"/>
      <c r="AI45" s="22"/>
    </row>
    <row r="46" spans="1:35" ht="12.75" customHeight="1" x14ac:dyDescent="0.2">
      <c r="A46" s="60"/>
      <c r="B46" s="60"/>
      <c r="C46" s="60"/>
      <c r="D46" s="60"/>
      <c r="E46" s="60"/>
      <c r="F46" s="60"/>
      <c r="G46" s="60"/>
      <c r="Q46" s="22"/>
      <c r="R46" s="34"/>
      <c r="S46" s="34"/>
      <c r="T46" s="932"/>
      <c r="U46" s="34"/>
      <c r="V46" s="34"/>
      <c r="W46" s="34"/>
      <c r="X46" s="34"/>
      <c r="Y46" s="34"/>
      <c r="Z46" s="558"/>
      <c r="AA46" s="22"/>
      <c r="AB46" s="60"/>
      <c r="AC46" s="60"/>
      <c r="AD46" s="22"/>
      <c r="AE46" s="22"/>
      <c r="AF46" s="34"/>
      <c r="AG46" s="34"/>
      <c r="AH46" s="22"/>
      <c r="AI46" s="22"/>
    </row>
    <row r="47" spans="1:35" ht="12.75" customHeight="1" x14ac:dyDescent="0.2">
      <c r="A47" s="60"/>
      <c r="B47" s="60"/>
      <c r="C47" s="60"/>
      <c r="D47" s="60"/>
      <c r="E47" s="60"/>
      <c r="F47" s="60"/>
      <c r="G47" s="60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60"/>
      <c r="AC47" s="60"/>
      <c r="AD47" s="22"/>
      <c r="AE47" s="22"/>
      <c r="AF47" s="34"/>
      <c r="AG47" s="34"/>
      <c r="AH47" s="22"/>
      <c r="AI47" s="22"/>
    </row>
    <row r="48" spans="1:35" ht="12.75" customHeight="1" x14ac:dyDescent="0.2">
      <c r="A48" s="60"/>
      <c r="B48" s="60"/>
      <c r="C48" s="60"/>
      <c r="D48" s="60"/>
      <c r="E48" s="60"/>
      <c r="F48" s="60"/>
      <c r="G48" s="60"/>
      <c r="R48" s="60"/>
      <c r="S48" s="60"/>
      <c r="T48" s="60"/>
      <c r="U48" s="60"/>
      <c r="V48" s="60"/>
      <c r="W48" s="60"/>
      <c r="X48" s="60"/>
      <c r="Y48" s="60"/>
      <c r="Z48" s="60"/>
      <c r="AA48" s="60"/>
      <c r="AB48" s="60"/>
      <c r="AC48" s="60"/>
      <c r="AD48" s="22"/>
      <c r="AE48" s="22"/>
      <c r="AF48" s="34"/>
      <c r="AG48" s="34"/>
      <c r="AH48" s="22"/>
      <c r="AI48" s="22"/>
    </row>
    <row r="49" spans="1:35" ht="12.75" customHeight="1" x14ac:dyDescent="0.2">
      <c r="A49" s="60"/>
      <c r="B49" s="60"/>
      <c r="C49" s="60"/>
      <c r="D49" s="60"/>
      <c r="E49" s="60"/>
      <c r="F49" s="60"/>
      <c r="G49" s="60"/>
      <c r="R49" s="60"/>
      <c r="S49" s="60"/>
      <c r="T49" s="60"/>
      <c r="U49" s="60"/>
      <c r="V49" s="60"/>
      <c r="W49" s="60"/>
      <c r="X49" s="60"/>
      <c r="Y49" s="60"/>
      <c r="Z49" s="60"/>
      <c r="AA49" s="60"/>
      <c r="AB49" s="60"/>
      <c r="AC49" s="60"/>
      <c r="AD49" s="22"/>
      <c r="AE49" s="22"/>
      <c r="AF49" s="34"/>
      <c r="AG49" s="34"/>
      <c r="AH49" s="22"/>
      <c r="AI49" s="22"/>
    </row>
    <row r="50" spans="1:35" ht="12.75" customHeight="1" x14ac:dyDescent="0.2">
      <c r="A50" s="60"/>
      <c r="B50" s="60"/>
      <c r="C50" s="60"/>
      <c r="D50" s="60"/>
      <c r="E50" s="60"/>
      <c r="F50" s="60"/>
      <c r="G50" s="60"/>
      <c r="R50" s="60"/>
      <c r="S50" s="60"/>
      <c r="T50" s="60"/>
      <c r="U50" s="60"/>
      <c r="V50" s="60"/>
      <c r="W50" s="60"/>
      <c r="X50" s="60"/>
      <c r="Y50" s="60"/>
      <c r="Z50" s="60"/>
      <c r="AA50" s="60"/>
      <c r="AB50" s="60"/>
      <c r="AC50" s="60"/>
      <c r="AD50" s="22"/>
      <c r="AE50" s="22"/>
      <c r="AF50" s="34"/>
      <c r="AG50" s="34"/>
      <c r="AH50" s="22"/>
      <c r="AI50" s="22"/>
    </row>
    <row r="51" spans="1:35" ht="12.75" customHeight="1" x14ac:dyDescent="0.2">
      <c r="A51" s="60"/>
      <c r="B51" s="60"/>
      <c r="C51" s="60"/>
      <c r="D51" s="60"/>
      <c r="E51" s="60"/>
      <c r="F51" s="60"/>
      <c r="G51" s="60"/>
      <c r="R51" s="60"/>
      <c r="S51" s="60"/>
      <c r="T51" s="60"/>
      <c r="U51" s="60"/>
      <c r="V51" s="60"/>
      <c r="W51" s="60"/>
      <c r="X51" s="60"/>
      <c r="Y51" s="60"/>
      <c r="Z51" s="60"/>
      <c r="AA51" s="60"/>
      <c r="AB51" s="60"/>
      <c r="AC51" s="60"/>
      <c r="AD51" s="22"/>
      <c r="AE51" s="22"/>
      <c r="AF51" s="34"/>
      <c r="AG51" s="34"/>
      <c r="AH51" s="22"/>
      <c r="AI51" s="22"/>
    </row>
    <row r="52" spans="1:35" ht="12.75" customHeight="1" x14ac:dyDescent="0.2">
      <c r="A52" s="60"/>
      <c r="B52" s="60"/>
      <c r="C52" s="60"/>
      <c r="D52" s="60"/>
      <c r="E52" s="60"/>
      <c r="F52" s="60"/>
      <c r="G52" s="60"/>
      <c r="R52" s="60"/>
      <c r="S52" s="60"/>
      <c r="T52" s="60"/>
      <c r="U52" s="60"/>
      <c r="V52" s="60"/>
      <c r="W52" s="60"/>
      <c r="X52" s="60"/>
      <c r="Y52" s="60"/>
      <c r="Z52" s="60"/>
      <c r="AA52" s="60"/>
      <c r="AB52" s="60"/>
      <c r="AC52" s="60"/>
      <c r="AD52" s="22"/>
      <c r="AE52" s="22"/>
      <c r="AF52" s="34"/>
      <c r="AG52" s="34"/>
      <c r="AH52" s="22"/>
      <c r="AI52" s="22"/>
    </row>
    <row r="53" spans="1:35" ht="12.75" customHeight="1" x14ac:dyDescent="0.2">
      <c r="A53" s="60"/>
      <c r="B53" s="60"/>
      <c r="C53" s="60"/>
      <c r="D53" s="60"/>
      <c r="E53" s="60"/>
      <c r="F53" s="60"/>
      <c r="G53" s="60"/>
      <c r="R53" s="60"/>
      <c r="S53" s="60"/>
      <c r="T53" s="60"/>
      <c r="U53" s="60"/>
      <c r="V53" s="60"/>
      <c r="W53" s="60"/>
      <c r="X53" s="60"/>
      <c r="Y53" s="60"/>
      <c r="Z53" s="60"/>
      <c r="AA53" s="60"/>
      <c r="AB53" s="60"/>
      <c r="AC53" s="60"/>
      <c r="AD53" s="22"/>
      <c r="AE53" s="22"/>
      <c r="AF53" s="34"/>
      <c r="AG53" s="34"/>
      <c r="AH53" s="22"/>
      <c r="AI53" s="22"/>
    </row>
    <row r="54" spans="1:35" ht="12.75" customHeight="1" x14ac:dyDescent="0.2">
      <c r="A54" s="60"/>
      <c r="B54" s="60"/>
      <c r="C54" s="60"/>
      <c r="D54" s="60"/>
      <c r="E54" s="60"/>
      <c r="F54" s="60"/>
      <c r="G54" s="60"/>
      <c r="R54" s="60"/>
      <c r="S54" s="60"/>
      <c r="T54" s="60"/>
      <c r="U54" s="60"/>
      <c r="V54" s="60"/>
      <c r="W54" s="60"/>
      <c r="X54" s="60"/>
      <c r="Y54" s="60"/>
      <c r="Z54" s="60"/>
      <c r="AA54" s="60"/>
      <c r="AB54" s="60"/>
      <c r="AC54" s="60"/>
      <c r="AD54" s="22"/>
      <c r="AE54" s="22"/>
      <c r="AF54" s="34"/>
      <c r="AG54" s="34"/>
      <c r="AH54" s="22"/>
      <c r="AI54" s="22"/>
    </row>
    <row r="55" spans="1:35" ht="12.75" customHeight="1" x14ac:dyDescent="0.2">
      <c r="A55" s="60"/>
      <c r="B55" s="60"/>
      <c r="C55" s="60"/>
      <c r="D55" s="60"/>
      <c r="E55" s="60"/>
      <c r="F55" s="60"/>
      <c r="G55" s="60"/>
      <c r="R55" s="60"/>
      <c r="S55" s="60"/>
      <c r="T55" s="60"/>
      <c r="U55" s="60"/>
      <c r="V55" s="60"/>
      <c r="W55" s="60"/>
      <c r="X55" s="60"/>
      <c r="Y55" s="60"/>
      <c r="Z55" s="60"/>
      <c r="AA55" s="60"/>
      <c r="AB55" s="60"/>
      <c r="AC55" s="60"/>
      <c r="AD55" s="22"/>
      <c r="AE55" s="22"/>
      <c r="AF55" s="34"/>
      <c r="AG55" s="34"/>
      <c r="AH55" s="22"/>
      <c r="AI55" s="22"/>
    </row>
    <row r="56" spans="1:35" ht="12.75" customHeight="1" x14ac:dyDescent="0.2">
      <c r="A56" s="60"/>
      <c r="B56" s="60"/>
      <c r="C56" s="60"/>
      <c r="D56" s="60"/>
      <c r="E56" s="60"/>
      <c r="F56" s="60"/>
      <c r="G56" s="60"/>
      <c r="Q56" s="28"/>
      <c r="R56" s="28"/>
      <c r="S56" s="28"/>
      <c r="T56" s="60"/>
      <c r="U56" s="60"/>
      <c r="V56" s="60"/>
      <c r="W56" s="60"/>
      <c r="X56" s="60"/>
      <c r="Y56" s="60"/>
      <c r="Z56" s="60"/>
      <c r="AA56" s="60"/>
      <c r="AB56" s="60"/>
      <c r="AC56" s="60"/>
      <c r="AD56" s="22"/>
      <c r="AE56" s="22"/>
      <c r="AF56" s="34"/>
      <c r="AG56" s="34"/>
      <c r="AH56" s="22"/>
      <c r="AI56" s="22"/>
    </row>
    <row r="57" spans="1:35" ht="12.75" customHeight="1" x14ac:dyDescent="0.2">
      <c r="A57" s="60"/>
      <c r="B57" s="60"/>
      <c r="C57" s="60"/>
      <c r="D57" s="60"/>
      <c r="E57" s="60"/>
      <c r="F57" s="60"/>
      <c r="G57" s="60"/>
      <c r="Q57" s="28"/>
      <c r="R57" s="28"/>
      <c r="S57" s="28"/>
      <c r="T57" s="60"/>
      <c r="U57" s="60"/>
      <c r="V57" s="60"/>
      <c r="W57" s="60"/>
      <c r="X57" s="60"/>
      <c r="Y57" s="60"/>
      <c r="Z57" s="60"/>
      <c r="AA57" s="60"/>
      <c r="AB57" s="60"/>
      <c r="AC57" s="60"/>
      <c r="AD57" s="22"/>
      <c r="AE57" s="22"/>
      <c r="AF57" s="34"/>
      <c r="AG57" s="34"/>
      <c r="AH57" s="22"/>
      <c r="AI57" s="22"/>
    </row>
    <row r="58" spans="1:35" ht="12.75" customHeight="1" x14ac:dyDescent="0.2">
      <c r="A58" s="60"/>
      <c r="B58" s="60"/>
      <c r="C58" s="60"/>
      <c r="D58" s="60"/>
      <c r="E58" s="60"/>
      <c r="F58" s="60"/>
      <c r="G58" s="60"/>
      <c r="Q58" s="28"/>
      <c r="R58" s="28"/>
      <c r="S58" s="28"/>
      <c r="T58" s="60"/>
      <c r="U58" s="60"/>
      <c r="V58" s="60"/>
      <c r="W58" s="60"/>
      <c r="X58" s="60"/>
      <c r="Y58" s="60"/>
      <c r="Z58" s="60"/>
      <c r="AA58" s="60"/>
      <c r="AB58" s="60"/>
      <c r="AC58" s="60"/>
      <c r="AD58" s="22"/>
      <c r="AE58" s="22"/>
      <c r="AF58" s="34"/>
      <c r="AG58" s="34"/>
      <c r="AH58" s="22"/>
      <c r="AI58" s="22"/>
    </row>
    <row r="59" spans="1:35" ht="12.75" customHeight="1" x14ac:dyDescent="0.2">
      <c r="A59" s="60"/>
      <c r="B59" s="60"/>
      <c r="C59" s="60"/>
      <c r="D59" s="60"/>
      <c r="E59" s="60"/>
      <c r="F59" s="60"/>
      <c r="G59" s="60"/>
      <c r="Q59" s="28"/>
      <c r="R59" s="55"/>
      <c r="S59" s="980"/>
      <c r="T59" s="60"/>
      <c r="U59" s="60"/>
      <c r="V59" s="60"/>
      <c r="W59" s="60"/>
      <c r="X59" s="60"/>
      <c r="Y59" s="60"/>
      <c r="Z59" s="60"/>
      <c r="AA59" s="60"/>
      <c r="AB59" s="60"/>
      <c r="AC59" s="60"/>
      <c r="AD59" s="22"/>
      <c r="AE59" s="22"/>
      <c r="AF59" s="34"/>
      <c r="AG59" s="34"/>
      <c r="AH59" s="22"/>
      <c r="AI59" s="22"/>
    </row>
    <row r="60" spans="1:35" ht="12.75" customHeight="1" x14ac:dyDescent="0.2">
      <c r="A60" s="60"/>
      <c r="B60" s="60"/>
      <c r="C60" s="60"/>
      <c r="D60" s="60"/>
      <c r="E60" s="60"/>
      <c r="F60" s="60"/>
      <c r="G60" s="60"/>
      <c r="Q60" s="28"/>
      <c r="R60" s="55"/>
      <c r="S60" s="980"/>
      <c r="T60" s="60"/>
      <c r="U60" s="60"/>
      <c r="V60" s="60"/>
      <c r="W60" s="60"/>
      <c r="X60" s="60"/>
      <c r="Y60" s="60"/>
      <c r="Z60" s="60"/>
      <c r="AA60" s="60"/>
      <c r="AB60" s="60"/>
      <c r="AC60" s="60"/>
      <c r="AD60" s="22"/>
      <c r="AE60" s="22"/>
      <c r="AF60" s="22"/>
      <c r="AG60" s="22"/>
      <c r="AH60" s="22"/>
      <c r="AI60" s="22"/>
    </row>
    <row r="61" spans="1:35" ht="12.75" customHeight="1" x14ac:dyDescent="0.2">
      <c r="A61" s="60"/>
      <c r="B61" s="60"/>
      <c r="C61" s="60"/>
      <c r="D61" s="60"/>
      <c r="E61" s="60"/>
      <c r="F61" s="60"/>
      <c r="G61" s="60"/>
      <c r="Q61" s="28"/>
      <c r="R61" s="28"/>
      <c r="S61" s="28"/>
      <c r="T61" s="60"/>
      <c r="U61" s="60"/>
      <c r="V61" s="60"/>
      <c r="W61" s="60"/>
      <c r="X61" s="60"/>
      <c r="Y61" s="60"/>
      <c r="Z61" s="60"/>
      <c r="AA61" s="60"/>
      <c r="AB61" s="60"/>
      <c r="AC61" s="60"/>
      <c r="AD61" s="22"/>
      <c r="AE61" s="22"/>
      <c r="AF61" s="22"/>
      <c r="AG61" s="22"/>
      <c r="AH61" s="22"/>
      <c r="AI61" s="22"/>
    </row>
    <row r="62" spans="1:35" ht="12.75" customHeight="1" x14ac:dyDescent="0.2">
      <c r="A62" s="60"/>
      <c r="B62" s="60"/>
      <c r="C62" s="60"/>
      <c r="D62" s="60"/>
      <c r="E62" s="60"/>
      <c r="F62" s="60"/>
      <c r="G62" s="60"/>
      <c r="Q62" s="28"/>
      <c r="R62" s="28"/>
      <c r="S62" s="28"/>
      <c r="T62" s="60"/>
      <c r="U62" s="60"/>
      <c r="V62" s="60"/>
      <c r="W62" s="60"/>
      <c r="X62" s="60"/>
      <c r="Y62" s="60"/>
      <c r="Z62" s="60"/>
      <c r="AA62" s="60"/>
      <c r="AB62" s="60"/>
      <c r="AC62" s="60"/>
      <c r="AD62" s="22"/>
      <c r="AE62" s="22"/>
      <c r="AF62" s="22"/>
      <c r="AG62" s="22"/>
      <c r="AH62" s="22"/>
      <c r="AI62" s="22"/>
    </row>
    <row r="63" spans="1:35" ht="12.75" customHeight="1" x14ac:dyDescent="0.2">
      <c r="A63" s="60"/>
      <c r="B63" s="60"/>
      <c r="C63" s="60"/>
      <c r="D63" s="60"/>
      <c r="E63" s="60"/>
      <c r="F63" s="60"/>
      <c r="G63" s="60"/>
      <c r="R63" s="60"/>
      <c r="S63" s="60"/>
      <c r="T63" s="60"/>
      <c r="U63" s="60"/>
      <c r="V63" s="60"/>
      <c r="W63" s="60"/>
      <c r="X63" s="60"/>
      <c r="Y63" s="60"/>
      <c r="Z63" s="60"/>
      <c r="AA63" s="60"/>
      <c r="AB63" s="60"/>
      <c r="AC63" s="60"/>
      <c r="AD63" s="60"/>
      <c r="AE63" s="60"/>
      <c r="AF63" s="60"/>
      <c r="AG63" s="60"/>
    </row>
    <row r="64" spans="1:35" ht="12.75" customHeight="1" x14ac:dyDescent="0.2">
      <c r="A64" s="60"/>
      <c r="B64" s="60"/>
      <c r="C64" s="60"/>
      <c r="D64" s="60"/>
      <c r="E64" s="60"/>
      <c r="F64" s="60"/>
      <c r="G64" s="60"/>
      <c r="R64" s="60"/>
      <c r="S64" s="60"/>
      <c r="T64" s="60"/>
      <c r="U64" s="60"/>
      <c r="V64" s="60"/>
      <c r="W64" s="60"/>
      <c r="X64" s="60"/>
      <c r="Y64" s="60"/>
      <c r="Z64" s="60"/>
      <c r="AA64" s="60"/>
      <c r="AB64" s="60"/>
      <c r="AC64" s="60"/>
      <c r="AD64" s="60"/>
      <c r="AE64" s="60"/>
      <c r="AF64" s="60"/>
      <c r="AG64" s="60"/>
    </row>
    <row r="65" spans="1:33" ht="12.75" customHeight="1" x14ac:dyDescent="0.2">
      <c r="A65" s="60"/>
      <c r="B65" s="60"/>
      <c r="C65" s="60"/>
      <c r="D65" s="60"/>
      <c r="E65" s="60"/>
      <c r="F65" s="60"/>
      <c r="G65" s="60"/>
      <c r="R65" s="60"/>
      <c r="S65" s="60"/>
      <c r="T65" s="235"/>
      <c r="W65" s="235"/>
      <c r="Y65" s="60"/>
      <c r="Z65" s="60"/>
      <c r="AA65" s="60"/>
      <c r="AB65" s="60"/>
      <c r="AC65" s="60"/>
      <c r="AD65" s="60"/>
      <c r="AE65" s="60"/>
      <c r="AF65" s="60"/>
      <c r="AG65" s="60"/>
    </row>
    <row r="66" spans="1:33" ht="12.75" customHeight="1" x14ac:dyDescent="0.2">
      <c r="R66" s="60"/>
      <c r="S66" s="60"/>
      <c r="T66" s="235"/>
      <c r="V66" s="235"/>
      <c r="W66" s="361"/>
      <c r="Y66" s="60"/>
      <c r="Z66" s="60"/>
      <c r="AA66" s="60"/>
      <c r="AG66" s="60"/>
    </row>
    <row r="67" spans="1:33" ht="12.75" customHeight="1" x14ac:dyDescent="0.2">
      <c r="R67" s="60"/>
      <c r="S67" s="60"/>
      <c r="T67" s="235"/>
      <c r="V67" s="235"/>
      <c r="W67" s="235"/>
      <c r="Y67" s="60"/>
      <c r="Z67" s="60"/>
      <c r="AA67" s="60"/>
      <c r="AG67" s="60"/>
    </row>
    <row r="68" spans="1:33" ht="12.75" customHeight="1" x14ac:dyDescent="0.2">
      <c r="A68" s="60"/>
      <c r="R68" s="60"/>
      <c r="S68" s="60"/>
      <c r="T68" s="60"/>
      <c r="U68" s="60"/>
      <c r="V68" s="60"/>
      <c r="W68" s="60"/>
      <c r="X68" s="60"/>
      <c r="Y68" s="60"/>
      <c r="Z68" s="60"/>
      <c r="AA68" s="60"/>
      <c r="AG68" s="60"/>
    </row>
    <row r="69" spans="1:33" ht="12.75" customHeight="1" x14ac:dyDescent="0.2">
      <c r="A69" s="60"/>
      <c r="R69" s="60"/>
      <c r="S69" s="60"/>
      <c r="T69" s="60"/>
      <c r="U69" s="60"/>
      <c r="V69" s="60"/>
      <c r="W69" s="60"/>
      <c r="X69" s="60"/>
      <c r="Y69" s="60"/>
      <c r="Z69" s="60"/>
      <c r="AA69" s="60"/>
      <c r="AG69" s="60"/>
    </row>
    <row r="70" spans="1:33" ht="12.75" customHeight="1" x14ac:dyDescent="0.2">
      <c r="A70" s="60"/>
      <c r="R70" s="60"/>
      <c r="S70" s="60"/>
      <c r="T70" s="60"/>
      <c r="U70" s="60"/>
      <c r="V70" s="60"/>
      <c r="W70" s="60"/>
      <c r="X70" s="60"/>
      <c r="Y70" s="60"/>
      <c r="Z70" s="60"/>
      <c r="AA70" s="60"/>
      <c r="AG70" s="60"/>
    </row>
    <row r="71" spans="1:33" ht="12.75" customHeight="1" x14ac:dyDescent="0.2">
      <c r="A71" s="60"/>
      <c r="R71" s="60"/>
      <c r="S71" s="60"/>
      <c r="T71" s="60"/>
      <c r="U71" s="60"/>
      <c r="V71" s="60"/>
      <c r="W71" s="60"/>
      <c r="X71" s="60"/>
      <c r="Y71" s="60"/>
      <c r="Z71" s="60"/>
      <c r="AA71" s="60"/>
      <c r="AG71" s="60"/>
    </row>
    <row r="72" spans="1:33" ht="12.75" customHeight="1" x14ac:dyDescent="0.2">
      <c r="A72" s="60"/>
      <c r="R72" s="60"/>
      <c r="S72" s="60"/>
      <c r="T72" s="60"/>
      <c r="U72" s="60"/>
      <c r="V72" s="60"/>
      <c r="W72" s="60"/>
      <c r="X72" s="60"/>
      <c r="Y72" s="60"/>
      <c r="Z72" s="60"/>
      <c r="AA72" s="60"/>
      <c r="AG72" s="60"/>
    </row>
    <row r="73" spans="1:33" x14ac:dyDescent="0.2">
      <c r="A73" s="60"/>
      <c r="T73" s="60"/>
      <c r="U73" s="60"/>
      <c r="V73" s="60"/>
      <c r="W73" s="60"/>
      <c r="X73" s="60"/>
      <c r="Y73" s="60"/>
      <c r="Z73" s="60"/>
      <c r="AA73" s="60"/>
      <c r="AG73" s="60"/>
    </row>
    <row r="74" spans="1:33" x14ac:dyDescent="0.2">
      <c r="A74" s="60"/>
      <c r="T74" s="60"/>
      <c r="U74" s="60"/>
      <c r="V74" s="60"/>
      <c r="W74" s="60"/>
      <c r="X74" s="60"/>
      <c r="Y74" s="60"/>
      <c r="Z74" s="60"/>
      <c r="AA74" s="60"/>
      <c r="AG74" s="60"/>
    </row>
    <row r="75" spans="1:33" x14ac:dyDescent="0.2">
      <c r="A75" s="60"/>
      <c r="T75" s="60"/>
      <c r="U75" s="60"/>
      <c r="V75" s="60"/>
      <c r="W75" s="60"/>
      <c r="X75" s="60"/>
      <c r="Y75" s="60"/>
      <c r="Z75" s="60"/>
      <c r="AA75" s="60"/>
      <c r="AG75" s="60"/>
    </row>
    <row r="76" spans="1:33" x14ac:dyDescent="0.2">
      <c r="A76" s="60"/>
      <c r="T76" s="60"/>
      <c r="U76" s="60"/>
      <c r="V76" s="60"/>
      <c r="W76" s="60"/>
      <c r="X76" s="60"/>
      <c r="Y76" s="60"/>
      <c r="Z76" s="60"/>
      <c r="AA76" s="60"/>
      <c r="AG76" s="60"/>
    </row>
    <row r="77" spans="1:33" x14ac:dyDescent="0.2">
      <c r="A77" s="60"/>
      <c r="T77" s="60"/>
      <c r="U77" s="60"/>
      <c r="V77" s="60"/>
      <c r="W77" s="60"/>
      <c r="X77" s="60"/>
      <c r="Y77" s="60"/>
      <c r="Z77" s="60"/>
      <c r="AA77" s="60"/>
      <c r="AG77" s="60"/>
    </row>
    <row r="78" spans="1:33" x14ac:dyDescent="0.2">
      <c r="A78" s="60"/>
      <c r="T78" s="60"/>
      <c r="U78" s="60"/>
      <c r="V78" s="60"/>
      <c r="W78" s="60"/>
      <c r="X78" s="60"/>
      <c r="Y78" s="60"/>
      <c r="Z78" s="60"/>
      <c r="AA78" s="60"/>
      <c r="AG78" s="60"/>
    </row>
    <row r="79" spans="1:33" x14ac:dyDescent="0.2">
      <c r="A79" s="60"/>
      <c r="R79" s="60"/>
      <c r="S79" s="60"/>
      <c r="T79" s="60"/>
      <c r="U79" s="60"/>
      <c r="V79" s="60"/>
      <c r="W79" s="60"/>
      <c r="X79" s="60"/>
      <c r="Y79" s="60"/>
      <c r="Z79" s="60"/>
      <c r="AA79" s="60"/>
      <c r="AG79" s="60"/>
    </row>
    <row r="80" spans="1:33" ht="12.75" customHeight="1" x14ac:dyDescent="0.2">
      <c r="A80" s="60"/>
      <c r="R80" s="60"/>
      <c r="S80" s="60"/>
      <c r="T80" s="60"/>
      <c r="U80" s="60"/>
      <c r="V80" s="60"/>
      <c r="W80" s="235"/>
      <c r="X80" s="235"/>
      <c r="Y80" s="237"/>
      <c r="AG80" s="60"/>
    </row>
    <row r="81" spans="1:33" x14ac:dyDescent="0.2">
      <c r="A81" s="60"/>
      <c r="R81" s="60"/>
      <c r="S81" s="60"/>
      <c r="T81" s="60"/>
      <c r="U81" s="60"/>
      <c r="V81" s="60"/>
      <c r="W81" s="60"/>
      <c r="X81" s="60"/>
      <c r="Y81" s="60"/>
      <c r="Z81" s="60"/>
      <c r="AA81" s="60"/>
      <c r="AG81" s="60"/>
    </row>
    <row r="82" spans="1:33" x14ac:dyDescent="0.2">
      <c r="A82" s="60"/>
      <c r="R82" s="60"/>
      <c r="S82" s="60"/>
      <c r="T82" s="60"/>
      <c r="U82" s="60"/>
      <c r="V82" s="60"/>
      <c r="W82" s="60"/>
      <c r="X82" s="60"/>
      <c r="Y82" s="60"/>
      <c r="Z82" s="60"/>
      <c r="AA82" s="60"/>
      <c r="AG82" s="60"/>
    </row>
    <row r="83" spans="1:33" x14ac:dyDescent="0.2">
      <c r="A83" s="60"/>
      <c r="R83" s="60"/>
      <c r="S83" s="60"/>
      <c r="T83" s="60"/>
      <c r="U83" s="60"/>
      <c r="V83" s="60"/>
      <c r="W83" s="60"/>
      <c r="X83" s="60"/>
      <c r="Y83" s="60"/>
      <c r="Z83" s="60"/>
      <c r="AA83" s="60"/>
      <c r="AG83" s="60"/>
    </row>
    <row r="84" spans="1:33" x14ac:dyDescent="0.2">
      <c r="A84" s="60"/>
      <c r="R84" s="60"/>
      <c r="S84" s="60"/>
      <c r="T84" s="60"/>
      <c r="U84" s="60"/>
      <c r="V84" s="60"/>
      <c r="W84" s="60"/>
      <c r="X84" s="60"/>
      <c r="Y84" s="60"/>
      <c r="Z84" s="60"/>
      <c r="AA84" s="60"/>
      <c r="AG84" s="60"/>
    </row>
    <row r="85" spans="1:33" x14ac:dyDescent="0.2">
      <c r="A85" s="60"/>
      <c r="R85" s="60"/>
      <c r="S85" s="60"/>
      <c r="T85" s="60"/>
      <c r="U85" s="60"/>
      <c r="V85" s="60"/>
      <c r="W85" s="60"/>
      <c r="X85" s="60"/>
      <c r="Y85" s="60"/>
      <c r="Z85" s="60"/>
      <c r="AA85" s="60"/>
      <c r="AG85" s="60"/>
    </row>
    <row r="86" spans="1:33" x14ac:dyDescent="0.2">
      <c r="A86" s="60"/>
      <c r="R86" s="60"/>
      <c r="S86" s="60"/>
      <c r="T86" s="60"/>
      <c r="U86" s="60"/>
      <c r="V86" s="60"/>
      <c r="W86" s="60"/>
      <c r="X86" s="60"/>
      <c r="Y86" s="60"/>
      <c r="Z86" s="60"/>
      <c r="AA86" s="60"/>
      <c r="AG86" s="60"/>
    </row>
    <row r="87" spans="1:33" x14ac:dyDescent="0.2">
      <c r="A87" s="60"/>
      <c r="R87" s="60"/>
      <c r="S87" s="60"/>
      <c r="T87" s="60"/>
      <c r="U87" s="60"/>
      <c r="V87" s="60"/>
      <c r="W87" s="60"/>
      <c r="X87" s="60"/>
      <c r="Y87" s="60"/>
      <c r="Z87" s="60"/>
      <c r="AA87" s="60"/>
      <c r="AG87" s="60"/>
    </row>
    <row r="88" spans="1:33" x14ac:dyDescent="0.2">
      <c r="A88" s="60"/>
      <c r="R88" s="60"/>
      <c r="S88" s="60"/>
      <c r="T88" s="60"/>
      <c r="U88" s="60"/>
      <c r="V88" s="60"/>
      <c r="W88" s="60"/>
      <c r="X88" s="60"/>
      <c r="Y88" s="60"/>
      <c r="Z88" s="60"/>
      <c r="AA88" s="60"/>
      <c r="AG88" s="60"/>
    </row>
    <row r="89" spans="1:33" x14ac:dyDescent="0.2">
      <c r="A89" s="60"/>
      <c r="R89" s="235"/>
      <c r="S89" s="235"/>
      <c r="T89" s="235"/>
      <c r="U89" s="235"/>
      <c r="V89" s="235"/>
      <c r="W89" s="235"/>
      <c r="Y89" s="235"/>
      <c r="AG89" s="60"/>
    </row>
    <row r="90" spans="1:33" x14ac:dyDescent="0.2">
      <c r="A90" s="60"/>
      <c r="R90" s="274"/>
      <c r="S90" s="235"/>
      <c r="T90" s="235"/>
      <c r="U90" s="751"/>
      <c r="V90" s="235"/>
      <c r="W90" s="235"/>
      <c r="X90" s="235"/>
      <c r="Y90" s="235"/>
      <c r="AG90" s="60"/>
    </row>
    <row r="91" spans="1:33" x14ac:dyDescent="0.2">
      <c r="A91" s="60"/>
      <c r="R91" s="235"/>
      <c r="S91" s="235"/>
      <c r="T91" s="235"/>
      <c r="U91" s="235"/>
      <c r="V91" s="721"/>
      <c r="W91" s="735"/>
      <c r="X91" s="235"/>
      <c r="Y91" s="736"/>
      <c r="Z91" s="235"/>
      <c r="AG91" s="60"/>
    </row>
    <row r="92" spans="1:33" x14ac:dyDescent="0.2">
      <c r="A92" s="60"/>
      <c r="B92" s="60"/>
      <c r="C92" s="60"/>
      <c r="D92" s="60"/>
      <c r="E92" s="60"/>
      <c r="F92" s="60"/>
      <c r="G92" s="60"/>
      <c r="R92" s="235"/>
      <c r="S92" s="235"/>
      <c r="T92" s="235"/>
      <c r="U92" s="235"/>
      <c r="V92" s="721"/>
      <c r="W92" s="274"/>
      <c r="X92" s="235"/>
      <c r="Y92" s="237"/>
      <c r="Z92" s="235"/>
    </row>
    <row r="93" spans="1:33" x14ac:dyDescent="0.2">
      <c r="A93" s="60"/>
      <c r="B93" s="60"/>
      <c r="C93" s="60"/>
      <c r="D93" s="60"/>
      <c r="E93" s="60"/>
      <c r="F93" s="60"/>
      <c r="G93" s="60"/>
      <c r="R93" s="235"/>
      <c r="S93" s="235"/>
      <c r="Z93" s="235"/>
    </row>
    <row r="94" spans="1:33" x14ac:dyDescent="0.2">
      <c r="A94" s="60"/>
      <c r="B94" s="60"/>
      <c r="C94" s="60"/>
      <c r="D94" s="60"/>
      <c r="E94" s="60"/>
      <c r="F94" s="60"/>
      <c r="G94" s="60"/>
      <c r="R94" s="235"/>
      <c r="S94" s="235"/>
      <c r="Z94" s="235"/>
    </row>
    <row r="95" spans="1:33" x14ac:dyDescent="0.2">
      <c r="A95" s="60"/>
      <c r="B95" s="60"/>
      <c r="C95" s="60"/>
      <c r="D95" s="60"/>
      <c r="E95" s="60"/>
      <c r="F95" s="60"/>
      <c r="G95" s="60"/>
      <c r="R95" s="235"/>
      <c r="S95" s="235"/>
      <c r="Z95" s="235"/>
    </row>
    <row r="96" spans="1:33" x14ac:dyDescent="0.2">
      <c r="A96" s="60"/>
      <c r="B96" s="60"/>
      <c r="C96" s="60"/>
      <c r="D96" s="60"/>
      <c r="E96" s="60"/>
      <c r="F96" s="60"/>
      <c r="G96" s="60"/>
      <c r="R96" s="235"/>
      <c r="S96" s="235"/>
      <c r="Z96" s="235"/>
    </row>
    <row r="97" spans="1:33" x14ac:dyDescent="0.2">
      <c r="A97" s="60"/>
      <c r="B97" s="60"/>
      <c r="C97" s="60"/>
      <c r="D97" s="60"/>
      <c r="E97" s="60"/>
      <c r="F97" s="60"/>
      <c r="G97" s="60"/>
      <c r="R97" s="235"/>
      <c r="S97" s="235"/>
      <c r="Z97" s="235"/>
    </row>
    <row r="98" spans="1:33" x14ac:dyDescent="0.2">
      <c r="A98" s="60"/>
      <c r="B98" s="60"/>
      <c r="C98" s="60"/>
      <c r="D98" s="60"/>
      <c r="E98" s="60"/>
      <c r="F98" s="60"/>
      <c r="G98" s="60"/>
      <c r="R98" s="235"/>
      <c r="S98" s="235"/>
      <c r="Z98" s="235"/>
    </row>
    <row r="99" spans="1:33" x14ac:dyDescent="0.2">
      <c r="A99" s="60"/>
      <c r="B99" s="22"/>
      <c r="C99" s="60"/>
      <c r="D99" s="60"/>
      <c r="E99" s="60"/>
      <c r="F99" s="60"/>
      <c r="G99" s="60"/>
      <c r="Q99" s="53"/>
      <c r="R99" s="247"/>
      <c r="S99" s="387"/>
      <c r="T99" s="387"/>
      <c r="U99" s="387"/>
      <c r="V99" s="387"/>
      <c r="W99" s="387"/>
      <c r="X99" s="387"/>
      <c r="Y99" s="387"/>
      <c r="Z99" s="387"/>
      <c r="AA99" s="387"/>
    </row>
    <row r="100" spans="1:33" s="53" customFormat="1" x14ac:dyDescent="0.2">
      <c r="A100" s="34"/>
      <c r="B100" s="1097"/>
      <c r="R100" s="381"/>
      <c r="S100" s="725"/>
      <c r="T100" s="387"/>
      <c r="U100" s="386"/>
      <c r="V100" s="387"/>
      <c r="W100" s="387"/>
      <c r="X100" s="387"/>
      <c r="Y100" s="387"/>
      <c r="Z100" s="387"/>
      <c r="AA100" s="387"/>
      <c r="AB100" s="387"/>
      <c r="AC100" s="387"/>
      <c r="AD100" s="387"/>
      <c r="AE100" s="387"/>
      <c r="AF100" s="387"/>
      <c r="AG100" s="387"/>
    </row>
    <row r="101" spans="1:33" s="53" customFormat="1" ht="12.75" customHeight="1" x14ac:dyDescent="0.25">
      <c r="A101" s="34"/>
      <c r="B101" s="1097"/>
      <c r="Q101" s="753"/>
      <c r="R101" s="381"/>
      <c r="S101" s="725"/>
      <c r="T101" s="361"/>
      <c r="U101" s="386"/>
      <c r="V101" s="387"/>
      <c r="W101" s="387"/>
      <c r="X101" s="387"/>
      <c r="Y101" s="387"/>
      <c r="Z101" s="387"/>
      <c r="AA101" s="387"/>
      <c r="AB101" s="387"/>
      <c r="AC101" s="387"/>
      <c r="AD101" s="387"/>
      <c r="AE101" s="387"/>
      <c r="AF101" s="387"/>
      <c r="AG101" s="387"/>
    </row>
    <row r="102" spans="1:33" s="53" customFormat="1" ht="12.75" customHeight="1" x14ac:dyDescent="0.25">
      <c r="A102" s="368"/>
      <c r="B102" s="368"/>
      <c r="C102" s="368"/>
      <c r="D102" s="368"/>
      <c r="E102" s="368"/>
      <c r="F102" s="368"/>
      <c r="G102" s="368"/>
      <c r="H102" s="361"/>
      <c r="I102" s="752"/>
      <c r="J102" s="752"/>
      <c r="K102" s="754"/>
      <c r="L102" s="752"/>
      <c r="M102" s="752"/>
      <c r="N102" s="752"/>
      <c r="O102" s="752"/>
      <c r="P102" s="753"/>
      <c r="Q102" s="725"/>
      <c r="R102" s="381"/>
      <c r="S102" s="725"/>
      <c r="T102" s="361"/>
      <c r="U102" s="386"/>
      <c r="V102" s="387"/>
      <c r="W102" s="387"/>
      <c r="X102" s="387"/>
      <c r="Y102" s="387"/>
      <c r="Z102" s="387"/>
      <c r="AA102" s="387"/>
      <c r="AB102" s="387"/>
      <c r="AC102" s="387"/>
      <c r="AD102" s="387"/>
      <c r="AE102" s="387"/>
      <c r="AF102" s="387"/>
      <c r="AG102" s="387"/>
    </row>
    <row r="103" spans="1:33" s="53" customFormat="1" x14ac:dyDescent="0.2">
      <c r="A103" s="368"/>
      <c r="B103" s="368"/>
      <c r="C103" s="368"/>
      <c r="D103" s="368"/>
      <c r="E103" s="368"/>
      <c r="F103" s="368"/>
      <c r="G103" s="368"/>
      <c r="H103" s="387"/>
      <c r="I103" s="387"/>
      <c r="J103" s="387"/>
      <c r="K103" s="387"/>
      <c r="L103" s="387"/>
      <c r="M103" s="387"/>
      <c r="N103" s="387"/>
      <c r="O103" s="387"/>
      <c r="P103" s="387"/>
      <c r="Q103" s="755"/>
      <c r="R103" s="381"/>
      <c r="S103" s="725"/>
      <c r="T103" s="361"/>
      <c r="U103" s="386"/>
      <c r="V103" s="387"/>
      <c r="W103" s="387"/>
      <c r="X103" s="387"/>
      <c r="Y103" s="387"/>
      <c r="Z103" s="387"/>
      <c r="AA103" s="387"/>
      <c r="AB103" s="387"/>
      <c r="AC103" s="387"/>
      <c r="AD103" s="387"/>
      <c r="AE103" s="387"/>
      <c r="AF103" s="387"/>
      <c r="AG103" s="387"/>
    </row>
    <row r="104" spans="1:33" s="53" customFormat="1" x14ac:dyDescent="0.2">
      <c r="A104" s="368"/>
      <c r="B104" s="368"/>
      <c r="C104" s="368"/>
      <c r="D104" s="368"/>
      <c r="E104" s="368"/>
      <c r="F104" s="368"/>
      <c r="G104" s="368"/>
      <c r="H104" s="387"/>
      <c r="I104" s="387"/>
      <c r="J104" s="387"/>
      <c r="K104" s="387"/>
      <c r="L104" s="387"/>
      <c r="M104" s="387"/>
      <c r="N104" s="387"/>
      <c r="O104" s="387"/>
      <c r="P104" s="387"/>
      <c r="Q104" s="235"/>
      <c r="R104" s="381"/>
      <c r="S104" s="237"/>
      <c r="T104" s="235"/>
      <c r="U104" s="382"/>
      <c r="V104" s="380"/>
      <c r="W104" s="380"/>
      <c r="X104" s="380"/>
      <c r="Y104" s="380"/>
      <c r="Z104" s="380"/>
      <c r="AA104" s="380"/>
      <c r="AB104" s="387"/>
      <c r="AC104" s="387"/>
      <c r="AD104" s="387"/>
      <c r="AE104" s="387"/>
      <c r="AF104" s="387"/>
      <c r="AG104" s="387"/>
    </row>
    <row r="105" spans="1:33" ht="12.75" customHeight="1" x14ac:dyDescent="0.2">
      <c r="H105" s="235"/>
      <c r="I105" s="235"/>
      <c r="J105" s="235"/>
      <c r="K105" s="235"/>
      <c r="L105" s="235"/>
      <c r="M105" s="235"/>
      <c r="N105" s="235"/>
      <c r="O105" s="235"/>
      <c r="P105" s="235"/>
      <c r="Q105" s="235"/>
      <c r="R105" s="381"/>
      <c r="S105" s="237"/>
      <c r="T105" s="235"/>
      <c r="U105" s="382"/>
    </row>
    <row r="106" spans="1:33" x14ac:dyDescent="0.2">
      <c r="H106" s="235"/>
      <c r="I106" s="349"/>
      <c r="J106" s="349"/>
      <c r="K106" s="235"/>
      <c r="L106" s="235"/>
      <c r="M106" s="235"/>
      <c r="N106" s="235"/>
      <c r="O106" s="235"/>
      <c r="P106" s="235"/>
      <c r="Q106" s="756"/>
      <c r="R106" s="381"/>
      <c r="S106" s="384"/>
      <c r="T106" s="235"/>
      <c r="U106" s="382"/>
    </row>
    <row r="107" spans="1:33" x14ac:dyDescent="0.2">
      <c r="H107" s="380"/>
      <c r="I107" s="380"/>
      <c r="J107" s="380"/>
      <c r="K107" s="380"/>
      <c r="L107" s="380"/>
      <c r="M107" s="380"/>
      <c r="N107" s="380"/>
      <c r="O107" s="380"/>
      <c r="P107" s="756"/>
      <c r="Q107" s="756"/>
      <c r="R107" s="60"/>
      <c r="S107" s="60"/>
      <c r="T107" s="60"/>
      <c r="U107" s="60"/>
      <c r="V107" s="60"/>
      <c r="W107" s="60"/>
      <c r="X107" s="60"/>
      <c r="Y107" s="235"/>
      <c r="AA107" s="837" t="s">
        <v>173</v>
      </c>
    </row>
    <row r="108" spans="1:33" x14ac:dyDescent="0.2">
      <c r="H108" s="235"/>
      <c r="I108" s="349"/>
      <c r="J108" s="349"/>
      <c r="K108" s="756"/>
      <c r="L108" s="756"/>
      <c r="M108" s="756"/>
      <c r="N108" s="756"/>
      <c r="O108" s="756"/>
      <c r="P108" s="756"/>
      <c r="Q108" s="725"/>
      <c r="R108" s="60"/>
      <c r="S108" s="60"/>
      <c r="T108" s="60"/>
      <c r="U108" s="60"/>
      <c r="V108" s="60"/>
      <c r="W108" s="60"/>
      <c r="X108" s="60"/>
      <c r="Y108" s="235"/>
      <c r="AA108" s="837" t="s">
        <v>172</v>
      </c>
    </row>
    <row r="109" spans="1:33" x14ac:dyDescent="0.2">
      <c r="H109" s="235"/>
      <c r="I109" s="757"/>
      <c r="J109" s="757"/>
      <c r="K109" s="257"/>
      <c r="L109" s="235"/>
      <c r="M109" s="725"/>
      <c r="N109" s="919"/>
      <c r="O109" s="919"/>
      <c r="P109" s="725"/>
      <c r="Q109" s="758"/>
      <c r="R109" s="60"/>
      <c r="S109" s="60"/>
      <c r="T109" s="60"/>
      <c r="U109" s="60"/>
      <c r="V109" s="60"/>
      <c r="W109" s="60"/>
      <c r="X109" s="60"/>
      <c r="Y109" s="235"/>
      <c r="AA109" s="837" t="s">
        <v>174</v>
      </c>
    </row>
    <row r="110" spans="1:33" ht="12.75" customHeight="1" x14ac:dyDescent="0.2">
      <c r="H110" s="235"/>
      <c r="I110" s="757"/>
      <c r="J110" s="757"/>
      <c r="K110" s="257"/>
      <c r="L110" s="235"/>
      <c r="M110" s="758"/>
      <c r="N110" s="758"/>
      <c r="O110" s="758"/>
      <c r="P110" s="758"/>
      <c r="Q110" s="758"/>
      <c r="R110" s="60"/>
      <c r="S110" s="60"/>
      <c r="T110" s="60"/>
      <c r="U110" s="60"/>
      <c r="V110" s="60"/>
      <c r="W110" s="60"/>
      <c r="X110" s="60"/>
      <c r="Y110" s="235"/>
      <c r="AA110" s="837" t="s">
        <v>171</v>
      </c>
    </row>
    <row r="111" spans="1:33" ht="12.75" customHeight="1" x14ac:dyDescent="0.2">
      <c r="H111" s="235"/>
      <c r="I111" s="757"/>
      <c r="J111" s="757"/>
      <c r="K111" s="368"/>
      <c r="L111" s="235"/>
      <c r="M111" s="758"/>
      <c r="N111" s="758"/>
      <c r="O111" s="758"/>
      <c r="P111" s="758"/>
      <c r="Q111" s="237"/>
      <c r="R111" s="60"/>
      <c r="S111" s="60"/>
      <c r="T111" s="60"/>
      <c r="U111" s="60"/>
      <c r="V111" s="60"/>
      <c r="W111" s="60"/>
      <c r="X111" s="60"/>
      <c r="Y111" s="235"/>
      <c r="AA111" s="837" t="s">
        <v>63</v>
      </c>
    </row>
    <row r="112" spans="1:33" x14ac:dyDescent="0.2">
      <c r="H112" s="235"/>
      <c r="I112" s="349"/>
      <c r="J112" s="349"/>
      <c r="K112" s="349"/>
      <c r="L112" s="235"/>
      <c r="M112" s="349"/>
      <c r="N112" s="349"/>
      <c r="O112" s="349"/>
      <c r="P112" s="349"/>
      <c r="Q112" s="760"/>
      <c r="R112" s="60"/>
      <c r="S112" s="60"/>
      <c r="T112" s="60"/>
      <c r="U112" s="60"/>
      <c r="V112" s="60"/>
      <c r="W112" s="60"/>
      <c r="X112" s="60"/>
      <c r="Y112" s="235"/>
    </row>
    <row r="113" spans="8:25" x14ac:dyDescent="0.2">
      <c r="H113" s="235"/>
      <c r="I113" s="759"/>
      <c r="J113" s="759"/>
      <c r="K113" s="235"/>
      <c r="L113" s="235"/>
      <c r="M113" s="357"/>
      <c r="N113" s="357"/>
      <c r="O113" s="357"/>
      <c r="P113" s="760"/>
      <c r="Q113" s="760"/>
      <c r="T113" s="235"/>
      <c r="V113" s="235"/>
      <c r="W113" s="235"/>
      <c r="Y113" s="235"/>
    </row>
    <row r="114" spans="8:25" x14ac:dyDescent="0.2">
      <c r="H114" s="235"/>
      <c r="I114" s="759"/>
      <c r="J114" s="759"/>
      <c r="K114" s="235"/>
      <c r="L114" s="235"/>
      <c r="M114" s="760"/>
      <c r="N114" s="760"/>
      <c r="O114" s="760"/>
      <c r="P114" s="760"/>
      <c r="Q114" s="760"/>
    </row>
    <row r="115" spans="8:25" x14ac:dyDescent="0.2">
      <c r="H115" s="235"/>
      <c r="I115" s="759"/>
      <c r="J115" s="759"/>
      <c r="K115" s="235"/>
      <c r="L115" s="235"/>
      <c r="M115" s="760"/>
      <c r="N115" s="760"/>
      <c r="O115" s="760"/>
      <c r="P115" s="760"/>
      <c r="Q115" s="760"/>
      <c r="R115" s="368"/>
      <c r="S115" s="385"/>
      <c r="T115" s="235"/>
      <c r="U115" s="382"/>
    </row>
    <row r="116" spans="8:25" x14ac:dyDescent="0.2">
      <c r="H116" s="235"/>
      <c r="I116" s="759"/>
      <c r="J116" s="759"/>
      <c r="K116" s="235"/>
      <c r="L116" s="235"/>
      <c r="M116" s="760"/>
      <c r="N116" s="760"/>
      <c r="O116" s="760"/>
      <c r="P116" s="760"/>
      <c r="Q116" s="760"/>
      <c r="R116" s="368"/>
      <c r="S116" s="385"/>
      <c r="T116" s="361"/>
      <c r="U116" s="382"/>
    </row>
    <row r="117" spans="8:25" x14ac:dyDescent="0.2">
      <c r="H117" s="235"/>
      <c r="I117" s="759"/>
      <c r="J117" s="759"/>
      <c r="K117" s="235"/>
      <c r="L117" s="235"/>
      <c r="M117" s="760"/>
      <c r="N117" s="760"/>
      <c r="O117" s="760"/>
      <c r="P117" s="760"/>
      <c r="Q117" s="760"/>
      <c r="R117" s="368"/>
      <c r="S117" s="383"/>
      <c r="T117" s="235"/>
      <c r="U117" s="368"/>
    </row>
    <row r="118" spans="8:25" x14ac:dyDescent="0.2">
      <c r="H118" s="235"/>
      <c r="I118" s="759"/>
      <c r="J118" s="759"/>
      <c r="K118" s="235"/>
      <c r="L118" s="235"/>
      <c r="M118" s="760"/>
      <c r="N118" s="760"/>
      <c r="O118" s="760"/>
      <c r="P118" s="760"/>
      <c r="Q118" s="760"/>
      <c r="R118" s="368"/>
      <c r="S118" s="383"/>
      <c r="T118" s="235"/>
      <c r="U118" s="368"/>
    </row>
    <row r="119" spans="8:25" x14ac:dyDescent="0.2">
      <c r="H119" s="235"/>
      <c r="I119" s="759"/>
      <c r="J119" s="759"/>
      <c r="K119" s="235"/>
      <c r="L119" s="235"/>
      <c r="M119" s="760"/>
      <c r="N119" s="760"/>
      <c r="O119" s="760"/>
      <c r="P119" s="760"/>
      <c r="Q119" s="755"/>
      <c r="R119" s="368"/>
      <c r="S119" s="383"/>
      <c r="T119" s="235"/>
      <c r="U119" s="368"/>
    </row>
    <row r="120" spans="8:25" x14ac:dyDescent="0.2">
      <c r="H120" s="752"/>
      <c r="I120" s="761"/>
      <c r="J120" s="761"/>
      <c r="K120" s="361"/>
      <c r="L120" s="235"/>
      <c r="M120" s="762"/>
      <c r="N120" s="762"/>
      <c r="O120" s="762"/>
      <c r="P120" s="762"/>
      <c r="Q120" s="235"/>
      <c r="R120" s="368"/>
      <c r="S120" s="385"/>
      <c r="T120" s="235"/>
      <c r="U120" s="382"/>
    </row>
    <row r="121" spans="8:25" ht="12.75" customHeight="1" x14ac:dyDescent="0.2">
      <c r="H121" s="235"/>
      <c r="I121" s="235"/>
      <c r="J121" s="235"/>
      <c r="K121" s="235"/>
      <c r="L121" s="235"/>
      <c r="M121" s="235"/>
      <c r="N121" s="235"/>
      <c r="O121" s="235"/>
      <c r="P121" s="235"/>
      <c r="Q121" s="235"/>
      <c r="R121" s="368"/>
      <c r="S121" s="383"/>
      <c r="T121" s="235"/>
      <c r="U121" s="368"/>
    </row>
    <row r="122" spans="8:25" x14ac:dyDescent="0.2">
      <c r="H122" s="235"/>
      <c r="I122" s="235"/>
      <c r="J122" s="235"/>
      <c r="K122" s="235"/>
      <c r="L122" s="235"/>
      <c r="M122" s="235"/>
      <c r="N122" s="235"/>
      <c r="O122" s="235"/>
      <c r="P122" s="235"/>
      <c r="Q122" s="380"/>
      <c r="R122" s="381"/>
      <c r="S122" s="384"/>
      <c r="T122" s="235"/>
      <c r="U122" s="382"/>
    </row>
    <row r="123" spans="8:25" x14ac:dyDescent="0.2">
      <c r="H123" s="380"/>
      <c r="I123" s="380"/>
      <c r="J123" s="380"/>
      <c r="K123" s="380"/>
      <c r="L123" s="380"/>
      <c r="M123" s="380"/>
      <c r="N123" s="380"/>
      <c r="O123" s="380"/>
      <c r="P123" s="380"/>
      <c r="Q123" s="380"/>
      <c r="R123" s="381"/>
      <c r="S123" s="384"/>
      <c r="T123" s="235"/>
      <c r="U123" s="382"/>
    </row>
    <row r="124" spans="8:25" x14ac:dyDescent="0.2">
      <c r="H124" s="380"/>
      <c r="I124" s="380"/>
      <c r="J124" s="380"/>
      <c r="K124" s="380"/>
      <c r="L124" s="380"/>
      <c r="M124" s="380"/>
      <c r="N124" s="380"/>
      <c r="O124" s="380"/>
      <c r="P124" s="380"/>
      <c r="Q124" s="380"/>
      <c r="R124" s="381"/>
      <c r="S124" s="384"/>
      <c r="T124" s="235"/>
      <c r="U124" s="382"/>
    </row>
    <row r="125" spans="8:25" x14ac:dyDescent="0.2">
      <c r="H125" s="380"/>
      <c r="I125" s="380"/>
      <c r="J125" s="380"/>
      <c r="K125" s="380"/>
      <c r="L125" s="380"/>
      <c r="M125" s="380"/>
      <c r="N125" s="380"/>
      <c r="O125" s="380"/>
      <c r="P125" s="380"/>
      <c r="Q125" s="380"/>
      <c r="R125" s="381"/>
      <c r="S125" s="383"/>
      <c r="T125" s="235"/>
      <c r="U125" s="382"/>
    </row>
    <row r="126" spans="8:25" x14ac:dyDescent="0.2">
      <c r="H126" s="380"/>
      <c r="I126" s="380"/>
      <c r="J126" s="380"/>
      <c r="K126" s="380"/>
      <c r="L126" s="380"/>
      <c r="M126" s="380"/>
      <c r="N126" s="380"/>
      <c r="O126" s="380"/>
      <c r="P126" s="380"/>
      <c r="Q126" s="380"/>
      <c r="R126" s="381"/>
      <c r="S126" s="388"/>
      <c r="T126" s="235"/>
      <c r="U126" s="382"/>
    </row>
    <row r="127" spans="8:25" x14ac:dyDescent="0.2">
      <c r="H127" s="380"/>
      <c r="I127" s="380"/>
      <c r="J127" s="380"/>
      <c r="K127" s="380"/>
      <c r="L127" s="380"/>
      <c r="M127" s="380"/>
      <c r="N127" s="380"/>
      <c r="O127" s="380"/>
      <c r="P127" s="380"/>
      <c r="Q127" s="380"/>
      <c r="R127" s="381"/>
      <c r="S127" s="237"/>
    </row>
    <row r="128" spans="8:25" x14ac:dyDescent="0.2">
      <c r="H128" s="380"/>
      <c r="I128" s="380"/>
      <c r="J128" s="380"/>
      <c r="K128" s="380"/>
      <c r="L128" s="380"/>
      <c r="M128" s="380"/>
      <c r="N128" s="380"/>
      <c r="O128" s="380"/>
      <c r="P128" s="380"/>
      <c r="Q128" s="380"/>
      <c r="R128" s="381"/>
      <c r="S128" s="237"/>
      <c r="T128" s="235"/>
      <c r="U128" s="382"/>
    </row>
    <row r="129" spans="1:33" x14ac:dyDescent="0.2">
      <c r="H129" s="380"/>
      <c r="I129" s="380"/>
      <c r="J129" s="380"/>
      <c r="K129" s="380"/>
      <c r="L129" s="380"/>
      <c r="M129" s="380"/>
      <c r="N129" s="380"/>
      <c r="O129" s="380"/>
      <c r="P129" s="380"/>
      <c r="Q129" s="380"/>
      <c r="R129" s="381"/>
      <c r="S129" s="237"/>
      <c r="T129" s="235"/>
      <c r="U129" s="382"/>
    </row>
    <row r="130" spans="1:33" x14ac:dyDescent="0.2">
      <c r="H130" s="380"/>
      <c r="I130" s="380"/>
      <c r="J130" s="380"/>
      <c r="K130" s="380"/>
      <c r="L130" s="380"/>
      <c r="M130" s="380"/>
      <c r="N130" s="380"/>
      <c r="O130" s="380"/>
      <c r="P130" s="380"/>
      <c r="Q130" s="380"/>
      <c r="R130" s="381"/>
      <c r="S130" s="237"/>
      <c r="T130" s="235"/>
      <c r="U130" s="382"/>
    </row>
    <row r="131" spans="1:33" x14ac:dyDescent="0.2">
      <c r="H131" s="380"/>
      <c r="I131" s="380"/>
      <c r="J131" s="380"/>
      <c r="K131" s="380"/>
      <c r="L131" s="380"/>
      <c r="M131" s="380"/>
      <c r="N131" s="380"/>
      <c r="O131" s="380"/>
      <c r="P131" s="380"/>
      <c r="Q131" s="380"/>
      <c r="R131" s="381"/>
      <c r="S131" s="237"/>
      <c r="T131" s="235"/>
      <c r="U131" s="382"/>
    </row>
    <row r="132" spans="1:33" x14ac:dyDescent="0.2">
      <c r="H132" s="380"/>
      <c r="I132" s="380"/>
      <c r="J132" s="380"/>
      <c r="K132" s="380"/>
      <c r="L132" s="380"/>
      <c r="M132" s="380"/>
      <c r="N132" s="380"/>
      <c r="O132" s="380"/>
      <c r="P132" s="380"/>
      <c r="Q132" s="380"/>
      <c r="R132" s="381"/>
      <c r="S132" s="237"/>
      <c r="T132" s="235"/>
      <c r="U132" s="382"/>
    </row>
    <row r="133" spans="1:33" x14ac:dyDescent="0.2">
      <c r="H133" s="380"/>
      <c r="I133" s="380"/>
      <c r="J133" s="380"/>
      <c r="K133" s="380"/>
      <c r="L133" s="380"/>
      <c r="M133" s="380"/>
      <c r="N133" s="380"/>
      <c r="O133" s="380"/>
      <c r="P133" s="380"/>
      <c r="Q133" s="380"/>
      <c r="R133" s="381"/>
      <c r="S133" s="237"/>
      <c r="T133" s="235"/>
      <c r="U133" s="382"/>
    </row>
    <row r="134" spans="1:33" x14ac:dyDescent="0.2">
      <c r="H134" s="380"/>
      <c r="I134" s="380"/>
      <c r="J134" s="380"/>
      <c r="K134" s="380"/>
      <c r="L134" s="380"/>
      <c r="M134" s="380"/>
      <c r="N134" s="380"/>
      <c r="O134" s="380"/>
      <c r="P134" s="380"/>
      <c r="Q134" s="380"/>
      <c r="R134" s="381"/>
      <c r="S134" s="237"/>
      <c r="T134" s="235"/>
      <c r="U134" s="382"/>
    </row>
    <row r="135" spans="1:33" x14ac:dyDescent="0.2">
      <c r="H135" s="380"/>
      <c r="I135" s="380"/>
      <c r="J135" s="380"/>
      <c r="K135" s="380"/>
      <c r="L135" s="380"/>
      <c r="M135" s="380"/>
      <c r="N135" s="380"/>
      <c r="O135" s="380"/>
      <c r="P135" s="380"/>
      <c r="Q135" s="380"/>
      <c r="R135" s="381"/>
      <c r="S135" s="237"/>
      <c r="T135" s="235"/>
      <c r="U135" s="382"/>
    </row>
    <row r="136" spans="1:33" x14ac:dyDescent="0.2">
      <c r="H136" s="380"/>
      <c r="I136" s="380"/>
      <c r="J136" s="380"/>
      <c r="K136" s="380"/>
      <c r="L136" s="380"/>
      <c r="M136" s="380"/>
      <c r="N136" s="380"/>
      <c r="O136" s="380"/>
      <c r="P136" s="380"/>
      <c r="Q136" s="380"/>
      <c r="R136" s="381"/>
      <c r="S136" s="237"/>
      <c r="T136" s="235"/>
      <c r="U136" s="382"/>
    </row>
    <row r="137" spans="1:33" x14ac:dyDescent="0.2">
      <c r="H137" s="380"/>
      <c r="I137" s="380"/>
      <c r="J137" s="380"/>
      <c r="K137" s="380"/>
      <c r="L137" s="380"/>
      <c r="M137" s="380"/>
      <c r="N137" s="380"/>
      <c r="O137" s="380"/>
      <c r="P137" s="380"/>
      <c r="Q137" s="380"/>
      <c r="R137" s="381"/>
      <c r="S137" s="237"/>
      <c r="T137" s="235"/>
      <c r="U137" s="382"/>
    </row>
    <row r="138" spans="1:33" x14ac:dyDescent="0.2">
      <c r="H138" s="380"/>
      <c r="I138" s="380"/>
      <c r="J138" s="380"/>
      <c r="K138" s="380"/>
      <c r="L138" s="380"/>
      <c r="M138" s="380"/>
      <c r="N138" s="380"/>
      <c r="O138" s="380"/>
      <c r="P138" s="380"/>
      <c r="Q138" s="380"/>
      <c r="R138" s="381"/>
      <c r="S138" s="237"/>
      <c r="T138" s="235"/>
      <c r="U138" s="382"/>
    </row>
    <row r="139" spans="1:33" x14ac:dyDescent="0.2">
      <c r="H139" s="380"/>
      <c r="I139" s="380"/>
      <c r="J139" s="380"/>
      <c r="K139" s="380"/>
      <c r="L139" s="380"/>
      <c r="M139" s="380"/>
      <c r="N139" s="380"/>
      <c r="O139" s="380"/>
      <c r="P139" s="380"/>
      <c r="Q139" s="380"/>
      <c r="R139" s="381"/>
      <c r="S139" s="237"/>
      <c r="T139" s="235"/>
      <c r="U139" s="382"/>
    </row>
    <row r="140" spans="1:33" x14ac:dyDescent="0.2">
      <c r="H140" s="380"/>
      <c r="I140" s="380"/>
      <c r="J140" s="380"/>
      <c r="K140" s="380"/>
      <c r="L140" s="380"/>
      <c r="M140" s="380"/>
      <c r="N140" s="380"/>
      <c r="O140" s="380"/>
      <c r="P140" s="380"/>
      <c r="Q140" s="380"/>
      <c r="R140" s="381"/>
      <c r="S140" s="237"/>
      <c r="T140" s="235"/>
      <c r="U140" s="382"/>
    </row>
    <row r="141" spans="1:33" x14ac:dyDescent="0.2">
      <c r="H141" s="380"/>
      <c r="I141" s="380"/>
      <c r="J141" s="380"/>
      <c r="K141" s="380"/>
      <c r="L141" s="380"/>
      <c r="M141" s="380"/>
      <c r="N141" s="380"/>
      <c r="O141" s="380"/>
      <c r="P141" s="380"/>
      <c r="Q141" s="380"/>
      <c r="R141" s="381"/>
      <c r="S141" s="237"/>
      <c r="T141" s="235"/>
      <c r="U141" s="382"/>
    </row>
    <row r="142" spans="1:33" x14ac:dyDescent="0.2">
      <c r="H142" s="380"/>
      <c r="I142" s="380"/>
      <c r="J142" s="380"/>
      <c r="K142" s="380"/>
      <c r="L142" s="380"/>
      <c r="M142" s="380"/>
      <c r="N142" s="380"/>
      <c r="O142" s="380"/>
      <c r="P142" s="380"/>
      <c r="Q142" s="380"/>
      <c r="R142" s="381"/>
      <c r="S142" s="237"/>
      <c r="T142" s="235"/>
      <c r="U142" s="382"/>
    </row>
    <row r="143" spans="1:33" x14ac:dyDescent="0.2">
      <c r="H143" s="380"/>
      <c r="I143" s="380"/>
      <c r="J143" s="380"/>
      <c r="K143" s="380"/>
      <c r="L143" s="380"/>
      <c r="M143" s="380"/>
      <c r="N143" s="380"/>
      <c r="O143" s="380"/>
      <c r="P143" s="380"/>
      <c r="Q143" s="380"/>
      <c r="R143" s="381"/>
      <c r="T143" s="235"/>
      <c r="U143" s="383"/>
    </row>
    <row r="144" spans="1:33" s="28" customFormat="1" x14ac:dyDescent="0.2">
      <c r="A144" s="368"/>
      <c r="B144" s="368"/>
      <c r="C144" s="368"/>
      <c r="D144" s="368"/>
      <c r="E144" s="368"/>
      <c r="F144" s="368"/>
      <c r="G144" s="368"/>
      <c r="H144" s="380"/>
      <c r="I144" s="380"/>
      <c r="J144" s="380"/>
      <c r="K144" s="380"/>
      <c r="L144" s="380"/>
      <c r="M144" s="380"/>
      <c r="N144" s="380"/>
      <c r="O144" s="380"/>
      <c r="P144" s="380"/>
      <c r="Q144" s="380"/>
      <c r="R144" s="380"/>
      <c r="S144" s="380"/>
      <c r="T144" s="380"/>
      <c r="U144" s="380"/>
      <c r="V144" s="380"/>
      <c r="W144" s="380"/>
      <c r="X144" s="380"/>
      <c r="Y144" s="380"/>
      <c r="Z144" s="380"/>
      <c r="AA144" s="380"/>
      <c r="AB144" s="380"/>
      <c r="AC144" s="380"/>
      <c r="AD144" s="380"/>
      <c r="AE144" s="380"/>
      <c r="AF144" s="380"/>
      <c r="AG144" s="380"/>
    </row>
    <row r="145" spans="1:21" x14ac:dyDescent="0.2">
      <c r="H145" s="380"/>
      <c r="I145" s="380"/>
      <c r="J145" s="380"/>
      <c r="K145" s="380"/>
      <c r="L145" s="380"/>
      <c r="M145" s="380"/>
      <c r="N145" s="380"/>
      <c r="O145" s="380"/>
      <c r="P145" s="380"/>
      <c r="Q145" s="380"/>
      <c r="R145" s="381"/>
      <c r="S145" s="237"/>
      <c r="T145" s="235"/>
      <c r="U145" s="382"/>
    </row>
    <row r="146" spans="1:21" x14ac:dyDescent="0.2">
      <c r="H146" s="380"/>
      <c r="I146" s="380"/>
      <c r="J146" s="380"/>
      <c r="K146" s="380"/>
      <c r="L146" s="380"/>
      <c r="M146" s="380"/>
      <c r="N146" s="380"/>
      <c r="O146" s="380"/>
      <c r="P146" s="380"/>
      <c r="Q146" s="380"/>
      <c r="R146" s="381"/>
      <c r="S146" s="237"/>
    </row>
    <row r="147" spans="1:21" x14ac:dyDescent="0.2">
      <c r="H147" s="380"/>
      <c r="I147" s="380"/>
      <c r="J147" s="380"/>
      <c r="K147" s="380"/>
      <c r="L147" s="380"/>
      <c r="M147" s="380"/>
      <c r="N147" s="380"/>
      <c r="O147" s="380"/>
      <c r="P147" s="380"/>
      <c r="Q147" s="380"/>
      <c r="R147" s="381"/>
      <c r="T147" s="235"/>
      <c r="U147" s="383"/>
    </row>
    <row r="148" spans="1:21" x14ac:dyDescent="0.2">
      <c r="H148" s="380"/>
      <c r="I148" s="380"/>
      <c r="J148" s="380"/>
      <c r="K148" s="380"/>
      <c r="L148" s="380"/>
      <c r="M148" s="380"/>
      <c r="N148" s="380"/>
      <c r="O148" s="380"/>
      <c r="P148" s="380"/>
      <c r="Q148" s="380"/>
      <c r="R148" s="381"/>
      <c r="T148" s="235"/>
      <c r="U148" s="383"/>
    </row>
    <row r="149" spans="1:21" x14ac:dyDescent="0.2">
      <c r="H149" s="380"/>
      <c r="I149" s="380"/>
      <c r="J149" s="380"/>
      <c r="K149" s="380"/>
      <c r="L149" s="380"/>
      <c r="M149" s="380"/>
      <c r="N149" s="380"/>
      <c r="O149" s="380"/>
      <c r="P149" s="380"/>
      <c r="Q149" s="380"/>
      <c r="R149" s="381"/>
      <c r="T149" s="235"/>
      <c r="U149" s="383"/>
    </row>
    <row r="150" spans="1:21" x14ac:dyDescent="0.2">
      <c r="H150" s="380"/>
      <c r="I150" s="380"/>
      <c r="J150" s="380"/>
      <c r="K150" s="380"/>
      <c r="L150" s="380"/>
      <c r="M150" s="380"/>
      <c r="N150" s="380"/>
      <c r="O150" s="380"/>
      <c r="P150" s="380"/>
      <c r="Q150" s="380"/>
      <c r="R150" s="381"/>
      <c r="S150" s="383"/>
      <c r="T150" s="235"/>
      <c r="U150" s="389"/>
    </row>
    <row r="151" spans="1:21" x14ac:dyDescent="0.2">
      <c r="H151" s="380"/>
      <c r="I151" s="380"/>
      <c r="J151" s="380"/>
      <c r="K151" s="380"/>
      <c r="L151" s="380"/>
      <c r="M151" s="380"/>
      <c r="N151" s="380"/>
      <c r="O151" s="380"/>
      <c r="P151" s="380"/>
      <c r="Q151" s="395"/>
      <c r="R151" s="381"/>
      <c r="S151" s="383"/>
      <c r="T151" s="235"/>
      <c r="U151" s="389"/>
    </row>
    <row r="152" spans="1:21" s="380" customFormat="1" x14ac:dyDescent="0.2">
      <c r="A152" s="235"/>
      <c r="B152" s="235"/>
      <c r="C152" s="235"/>
      <c r="D152" s="235"/>
      <c r="E152" s="235"/>
      <c r="F152" s="235"/>
      <c r="G152" s="235"/>
      <c r="H152" s="393"/>
      <c r="I152" s="394"/>
      <c r="J152" s="394"/>
      <c r="K152" s="393"/>
      <c r="L152" s="393"/>
      <c r="M152" s="394"/>
      <c r="N152" s="394"/>
      <c r="O152" s="394"/>
      <c r="P152" s="393"/>
      <c r="R152" s="381"/>
      <c r="S152" s="385"/>
      <c r="T152" s="235"/>
      <c r="U152" s="389"/>
    </row>
    <row r="153" spans="1:21" s="380" customFormat="1" x14ac:dyDescent="0.2">
      <c r="A153" s="235"/>
      <c r="B153" s="235"/>
      <c r="C153" s="235"/>
      <c r="D153" s="235"/>
      <c r="E153" s="235"/>
      <c r="F153" s="235"/>
      <c r="G153" s="235"/>
      <c r="R153" s="381"/>
      <c r="S153" s="385"/>
      <c r="T153" s="356"/>
      <c r="U153" s="356"/>
    </row>
    <row r="154" spans="1:21" x14ac:dyDescent="0.2">
      <c r="H154" s="380"/>
      <c r="I154" s="380"/>
      <c r="J154" s="380"/>
      <c r="K154" s="380"/>
      <c r="L154" s="380"/>
      <c r="M154" s="380"/>
      <c r="N154" s="380"/>
      <c r="O154" s="380"/>
      <c r="P154" s="380"/>
      <c r="Q154" s="380"/>
      <c r="R154" s="381"/>
      <c r="S154" s="385"/>
      <c r="T154" s="235"/>
      <c r="U154" s="368"/>
    </row>
    <row r="155" spans="1:21" x14ac:dyDescent="0.2">
      <c r="H155" s="380"/>
      <c r="I155" s="380"/>
      <c r="J155" s="380"/>
      <c r="K155" s="380"/>
      <c r="L155" s="380"/>
      <c r="M155" s="380"/>
      <c r="N155" s="380"/>
      <c r="O155" s="380"/>
      <c r="P155" s="380"/>
      <c r="Q155" s="380"/>
      <c r="R155" s="381"/>
      <c r="S155" s="385"/>
      <c r="T155" s="235"/>
      <c r="U155" s="368"/>
    </row>
    <row r="156" spans="1:21" x14ac:dyDescent="0.2">
      <c r="H156" s="380"/>
      <c r="I156" s="380"/>
      <c r="J156" s="380"/>
      <c r="K156" s="380"/>
      <c r="L156" s="380"/>
      <c r="M156" s="380"/>
      <c r="N156" s="380"/>
      <c r="O156" s="380"/>
      <c r="P156" s="380"/>
      <c r="Q156" s="380"/>
      <c r="R156" s="381"/>
      <c r="S156" s="385"/>
      <c r="T156" s="235"/>
      <c r="U156" s="368"/>
    </row>
    <row r="157" spans="1:21" x14ac:dyDescent="0.2">
      <c r="H157" s="380"/>
      <c r="I157" s="380"/>
      <c r="J157" s="380"/>
      <c r="K157" s="380"/>
      <c r="L157" s="380"/>
      <c r="M157" s="380"/>
      <c r="N157" s="380"/>
      <c r="O157" s="380"/>
      <c r="P157" s="380"/>
      <c r="Q157" s="380"/>
      <c r="R157" s="381"/>
      <c r="S157" s="390"/>
      <c r="T157" s="390"/>
      <c r="U157" s="368"/>
    </row>
    <row r="158" spans="1:21" x14ac:dyDescent="0.2">
      <c r="H158" s="380"/>
      <c r="I158" s="380"/>
      <c r="J158" s="380"/>
      <c r="K158" s="380"/>
      <c r="L158" s="380"/>
      <c r="M158" s="380"/>
      <c r="N158" s="380"/>
      <c r="O158" s="380"/>
      <c r="P158" s="380"/>
      <c r="Q158" s="380"/>
      <c r="R158" s="381"/>
      <c r="U158" s="382"/>
    </row>
    <row r="159" spans="1:21" x14ac:dyDescent="0.2">
      <c r="H159" s="380"/>
      <c r="I159" s="380"/>
      <c r="J159" s="380"/>
      <c r="K159" s="380"/>
      <c r="L159" s="380"/>
      <c r="M159" s="380"/>
      <c r="N159" s="380"/>
      <c r="O159" s="380"/>
      <c r="P159" s="380"/>
      <c r="Q159" s="380"/>
      <c r="R159" s="381"/>
      <c r="S159" s="391"/>
      <c r="T159" s="391"/>
      <c r="U159" s="382"/>
    </row>
    <row r="160" spans="1:21" x14ac:dyDescent="0.2">
      <c r="H160" s="380"/>
      <c r="I160" s="380"/>
      <c r="J160" s="380"/>
      <c r="K160" s="380"/>
      <c r="L160" s="380"/>
      <c r="M160" s="380"/>
      <c r="N160" s="380"/>
      <c r="O160" s="380"/>
      <c r="P160" s="380"/>
      <c r="Q160" s="380"/>
      <c r="R160" s="381"/>
      <c r="S160" s="391"/>
      <c r="T160" s="391"/>
      <c r="U160" s="382"/>
    </row>
    <row r="161" spans="1:21" x14ac:dyDescent="0.2">
      <c r="H161" s="380"/>
      <c r="I161" s="380"/>
      <c r="J161" s="380"/>
      <c r="K161" s="380"/>
      <c r="L161" s="380"/>
      <c r="M161" s="380"/>
      <c r="N161" s="380"/>
      <c r="O161" s="380"/>
      <c r="P161" s="380"/>
      <c r="Q161" s="380"/>
      <c r="R161" s="381"/>
      <c r="S161" s="391"/>
      <c r="T161" s="391"/>
      <c r="U161" s="382"/>
    </row>
    <row r="162" spans="1:21" x14ac:dyDescent="0.2">
      <c r="H162" s="380"/>
      <c r="I162" s="380"/>
      <c r="J162" s="380"/>
      <c r="K162" s="380"/>
      <c r="L162" s="380"/>
      <c r="M162" s="380"/>
      <c r="N162" s="380"/>
      <c r="O162" s="380"/>
      <c r="P162" s="380"/>
      <c r="Q162" s="380"/>
      <c r="R162" s="381"/>
      <c r="U162" s="382"/>
    </row>
    <row r="163" spans="1:21" x14ac:dyDescent="0.2">
      <c r="H163" s="380"/>
      <c r="I163" s="380"/>
      <c r="J163" s="380"/>
      <c r="K163" s="380"/>
      <c r="L163" s="380"/>
      <c r="M163" s="380"/>
      <c r="N163" s="380"/>
      <c r="O163" s="380"/>
      <c r="P163" s="380"/>
      <c r="Q163" s="380"/>
      <c r="R163" s="381"/>
      <c r="U163" s="382"/>
    </row>
    <row r="164" spans="1:21" x14ac:dyDescent="0.2">
      <c r="H164" s="380"/>
      <c r="I164" s="380"/>
      <c r="J164" s="380"/>
      <c r="K164" s="380"/>
      <c r="L164" s="380"/>
      <c r="M164" s="380"/>
      <c r="N164" s="380"/>
      <c r="O164" s="380"/>
      <c r="P164" s="380"/>
      <c r="Q164" s="380"/>
      <c r="R164" s="381"/>
      <c r="U164" s="382"/>
    </row>
    <row r="165" spans="1:21" x14ac:dyDescent="0.2">
      <c r="H165" s="380"/>
      <c r="I165" s="380"/>
      <c r="J165" s="380"/>
      <c r="K165" s="380"/>
      <c r="L165" s="380"/>
      <c r="M165" s="380"/>
      <c r="N165" s="380"/>
      <c r="O165" s="380"/>
      <c r="P165" s="380"/>
      <c r="Q165" s="380"/>
      <c r="R165" s="381"/>
      <c r="U165" s="382"/>
    </row>
    <row r="166" spans="1:21" x14ac:dyDescent="0.2">
      <c r="H166" s="380"/>
      <c r="I166" s="380"/>
      <c r="J166" s="380"/>
      <c r="K166" s="380"/>
      <c r="L166" s="380"/>
      <c r="M166" s="380"/>
      <c r="N166" s="380"/>
      <c r="O166" s="380"/>
      <c r="P166" s="380"/>
      <c r="Q166" s="380"/>
      <c r="R166" s="381"/>
      <c r="U166" s="382"/>
    </row>
    <row r="167" spans="1:21" x14ac:dyDescent="0.2">
      <c r="H167" s="380"/>
      <c r="I167" s="380"/>
      <c r="J167" s="380"/>
      <c r="K167" s="380"/>
      <c r="L167" s="380"/>
      <c r="M167" s="380"/>
      <c r="N167" s="380"/>
      <c r="O167" s="380"/>
      <c r="P167" s="380"/>
      <c r="Q167" s="380"/>
      <c r="R167" s="381"/>
      <c r="U167" s="368"/>
    </row>
    <row r="168" spans="1:21" x14ac:dyDescent="0.2">
      <c r="H168" s="380"/>
      <c r="I168" s="380"/>
      <c r="J168" s="380"/>
      <c r="K168" s="380"/>
      <c r="L168" s="380"/>
      <c r="M168" s="380"/>
      <c r="N168" s="380"/>
      <c r="O168" s="380"/>
      <c r="P168" s="380"/>
      <c r="Q168" s="380"/>
      <c r="R168" s="381"/>
      <c r="U168" s="368"/>
    </row>
    <row r="169" spans="1:21" x14ac:dyDescent="0.2">
      <c r="H169" s="380"/>
      <c r="I169" s="380"/>
      <c r="J169" s="380"/>
      <c r="K169" s="380"/>
      <c r="L169" s="380"/>
      <c r="M169" s="380"/>
      <c r="N169" s="380"/>
      <c r="O169" s="380"/>
      <c r="P169" s="380"/>
      <c r="Q169" s="380"/>
      <c r="R169" s="381"/>
      <c r="U169" s="368"/>
    </row>
    <row r="170" spans="1:21" x14ac:dyDescent="0.2">
      <c r="H170" s="380"/>
      <c r="I170" s="380"/>
      <c r="J170" s="380"/>
      <c r="K170" s="380"/>
      <c r="L170" s="380"/>
      <c r="M170" s="380"/>
      <c r="N170" s="380"/>
      <c r="O170" s="380"/>
      <c r="P170" s="380"/>
      <c r="Q170" s="380"/>
      <c r="R170" s="381"/>
      <c r="S170" s="385"/>
      <c r="T170" s="392"/>
      <c r="U170" s="368"/>
    </row>
    <row r="171" spans="1:21" x14ac:dyDescent="0.2">
      <c r="H171" s="380"/>
      <c r="I171" s="380"/>
      <c r="J171" s="380"/>
      <c r="K171" s="380"/>
      <c r="L171" s="380"/>
      <c r="M171" s="380"/>
      <c r="N171" s="380"/>
      <c r="O171" s="380"/>
      <c r="P171" s="380"/>
      <c r="Q171" s="380"/>
      <c r="R171" s="381"/>
      <c r="S171" s="385"/>
      <c r="T171" s="392"/>
      <c r="U171" s="235"/>
    </row>
    <row r="172" spans="1:21" x14ac:dyDescent="0.2">
      <c r="H172" s="380"/>
      <c r="I172" s="380"/>
      <c r="J172" s="380"/>
      <c r="K172" s="380"/>
      <c r="L172" s="380"/>
      <c r="M172" s="380"/>
      <c r="N172" s="380"/>
      <c r="O172" s="380"/>
      <c r="P172" s="380"/>
      <c r="Q172" s="235"/>
      <c r="R172" s="381"/>
      <c r="S172" s="237"/>
      <c r="T172" s="235"/>
      <c r="U172" s="382"/>
    </row>
    <row r="173" spans="1:21" s="380" customFormat="1" x14ac:dyDescent="0.2">
      <c r="A173" s="235"/>
      <c r="B173" s="235"/>
      <c r="C173" s="235"/>
      <c r="D173" s="235"/>
      <c r="E173" s="235"/>
      <c r="F173" s="235"/>
      <c r="G173" s="235"/>
      <c r="I173" s="396"/>
      <c r="J173" s="396"/>
      <c r="L173" s="257"/>
      <c r="M173" s="257"/>
      <c r="N173" s="257"/>
      <c r="O173" s="257"/>
      <c r="P173" s="235"/>
      <c r="R173" s="381"/>
      <c r="S173" s="235"/>
      <c r="T173" s="385"/>
      <c r="U173" s="235"/>
    </row>
    <row r="174" spans="1:21" x14ac:dyDescent="0.2">
      <c r="H174" s="380"/>
      <c r="I174" s="380"/>
      <c r="J174" s="380"/>
      <c r="K174" s="380"/>
      <c r="L174" s="380"/>
      <c r="M174" s="380"/>
      <c r="N174" s="380"/>
      <c r="O174" s="380"/>
      <c r="P174" s="380"/>
      <c r="Q174" s="237"/>
      <c r="R174" s="381"/>
    </row>
    <row r="175" spans="1:21" s="380" customFormat="1" x14ac:dyDescent="0.2">
      <c r="A175" s="235"/>
      <c r="B175" s="235"/>
      <c r="C175" s="235"/>
      <c r="D175" s="235"/>
      <c r="E175" s="235"/>
      <c r="F175" s="235"/>
      <c r="G175" s="235"/>
      <c r="H175" s="358"/>
      <c r="I175" s="237"/>
      <c r="J175" s="237"/>
      <c r="K175" s="235"/>
      <c r="L175" s="235"/>
      <c r="M175" s="235"/>
      <c r="N175" s="235"/>
      <c r="O175" s="235"/>
      <c r="P175" s="237"/>
      <c r="Q175" s="237"/>
    </row>
    <row r="176" spans="1:21" s="380" customFormat="1" x14ac:dyDescent="0.2">
      <c r="A176" s="235"/>
      <c r="B176" s="235"/>
      <c r="C176" s="235"/>
      <c r="D176" s="235"/>
      <c r="E176" s="235"/>
      <c r="F176" s="235"/>
      <c r="G176" s="235"/>
      <c r="H176" s="358"/>
      <c r="I176" s="237"/>
      <c r="J176" s="237"/>
      <c r="K176" s="235"/>
      <c r="L176" s="257"/>
      <c r="M176" s="235"/>
      <c r="N176" s="235"/>
      <c r="O176" s="235"/>
      <c r="P176" s="237"/>
      <c r="Q176" s="237"/>
    </row>
    <row r="177" spans="1:17" s="380" customFormat="1" x14ac:dyDescent="0.2">
      <c r="A177" s="235"/>
      <c r="B177" s="235"/>
      <c r="C177" s="235"/>
      <c r="D177" s="235"/>
      <c r="E177" s="235"/>
      <c r="F177" s="235"/>
      <c r="G177" s="235"/>
      <c r="H177" s="238"/>
      <c r="I177" s="237"/>
      <c r="J177" s="237"/>
      <c r="K177" s="235"/>
      <c r="L177" s="235"/>
      <c r="M177" s="235"/>
      <c r="N177" s="235"/>
      <c r="O177" s="235"/>
      <c r="P177" s="237"/>
      <c r="Q177" s="237"/>
    </row>
    <row r="178" spans="1:17" s="380" customFormat="1" x14ac:dyDescent="0.2">
      <c r="A178" s="235"/>
      <c r="B178" s="235"/>
      <c r="C178" s="235"/>
      <c r="D178" s="235"/>
      <c r="E178" s="235"/>
      <c r="F178" s="235"/>
      <c r="G178" s="235"/>
      <c r="H178" s="238"/>
      <c r="I178" s="237"/>
      <c r="J178" s="237"/>
      <c r="K178" s="235"/>
      <c r="L178" s="235"/>
      <c r="M178" s="235"/>
      <c r="N178" s="235"/>
      <c r="O178" s="235"/>
      <c r="P178" s="237"/>
      <c r="Q178" s="237"/>
    </row>
    <row r="179" spans="1:17" s="380" customFormat="1" x14ac:dyDescent="0.2">
      <c r="A179" s="235"/>
      <c r="B179" s="235"/>
      <c r="C179" s="235"/>
      <c r="D179" s="235"/>
      <c r="E179" s="235"/>
      <c r="F179" s="235"/>
      <c r="G179" s="235"/>
      <c r="H179" s="359"/>
      <c r="I179" s="237"/>
      <c r="J179" s="237"/>
      <c r="K179" s="235"/>
      <c r="L179" s="235"/>
      <c r="M179" s="235"/>
      <c r="N179" s="235"/>
      <c r="O179" s="235"/>
      <c r="P179" s="237"/>
      <c r="Q179" s="237"/>
    </row>
    <row r="180" spans="1:17" s="380" customFormat="1" x14ac:dyDescent="0.2">
      <c r="A180" s="235"/>
      <c r="B180" s="235"/>
      <c r="C180" s="235"/>
      <c r="D180" s="235"/>
      <c r="E180" s="235"/>
      <c r="F180" s="235"/>
      <c r="G180" s="235"/>
      <c r="H180" s="359"/>
      <c r="I180" s="237"/>
      <c r="J180" s="237"/>
      <c r="K180" s="235"/>
      <c r="L180" s="235"/>
      <c r="M180" s="235"/>
      <c r="N180" s="235"/>
      <c r="O180" s="235"/>
      <c r="P180" s="237"/>
      <c r="Q180" s="237"/>
    </row>
    <row r="181" spans="1:17" s="380" customFormat="1" x14ac:dyDescent="0.2">
      <c r="A181" s="235"/>
      <c r="B181" s="235"/>
      <c r="C181" s="235"/>
      <c r="D181" s="235"/>
      <c r="E181" s="235"/>
      <c r="F181" s="235"/>
      <c r="G181" s="235"/>
      <c r="H181" s="358"/>
      <c r="I181" s="237"/>
      <c r="J181" s="237"/>
      <c r="K181" s="235"/>
      <c r="L181" s="235"/>
      <c r="M181" s="235"/>
      <c r="N181" s="235"/>
      <c r="O181" s="235"/>
      <c r="P181" s="237"/>
      <c r="Q181" s="237"/>
    </row>
    <row r="182" spans="1:17" s="380" customFormat="1" x14ac:dyDescent="0.2">
      <c r="A182" s="235"/>
      <c r="B182" s="235"/>
      <c r="C182" s="235"/>
      <c r="D182" s="235"/>
      <c r="E182" s="235"/>
      <c r="F182" s="235"/>
      <c r="G182" s="235"/>
      <c r="H182" s="238"/>
      <c r="I182" s="237"/>
      <c r="J182" s="237"/>
      <c r="K182" s="235"/>
      <c r="L182" s="235"/>
      <c r="M182" s="235"/>
      <c r="N182" s="235"/>
      <c r="O182" s="235"/>
      <c r="P182" s="237"/>
      <c r="Q182" s="237"/>
    </row>
    <row r="183" spans="1:17" s="380" customFormat="1" x14ac:dyDescent="0.2">
      <c r="A183" s="235"/>
      <c r="B183" s="235"/>
      <c r="C183" s="235"/>
      <c r="D183" s="235"/>
      <c r="E183" s="235"/>
      <c r="F183" s="235"/>
      <c r="G183" s="235"/>
      <c r="H183" s="358"/>
      <c r="I183" s="237"/>
      <c r="J183" s="237"/>
      <c r="K183" s="235"/>
      <c r="L183" s="235"/>
      <c r="M183" s="235"/>
      <c r="N183" s="235"/>
      <c r="O183" s="235"/>
      <c r="P183" s="237"/>
    </row>
    <row r="184" spans="1:17" s="380" customFormat="1" x14ac:dyDescent="0.2">
      <c r="A184" s="235"/>
      <c r="B184" s="235"/>
      <c r="C184" s="235"/>
      <c r="D184" s="235"/>
      <c r="E184" s="235"/>
      <c r="F184" s="235"/>
      <c r="G184" s="235"/>
    </row>
    <row r="185" spans="1:17" s="380" customFormat="1" x14ac:dyDescent="0.2">
      <c r="A185" s="235"/>
      <c r="B185" s="235"/>
      <c r="C185" s="235"/>
      <c r="D185" s="235"/>
      <c r="E185" s="235"/>
      <c r="F185" s="235"/>
      <c r="G185" s="235"/>
    </row>
    <row r="186" spans="1:17" s="380" customFormat="1" x14ac:dyDescent="0.2">
      <c r="A186" s="235"/>
      <c r="B186" s="235"/>
      <c r="C186" s="235"/>
      <c r="D186" s="235"/>
      <c r="E186" s="235"/>
      <c r="F186" s="235"/>
      <c r="G186" s="235"/>
    </row>
    <row r="187" spans="1:17" s="380" customFormat="1" x14ac:dyDescent="0.2">
      <c r="A187" s="235"/>
      <c r="B187" s="235"/>
      <c r="C187" s="235"/>
      <c r="D187" s="235"/>
      <c r="E187" s="235"/>
      <c r="F187" s="235"/>
      <c r="G187" s="235"/>
    </row>
    <row r="188" spans="1:17" s="380" customFormat="1" x14ac:dyDescent="0.2">
      <c r="A188" s="235"/>
      <c r="B188" s="235"/>
      <c r="C188" s="235"/>
      <c r="D188" s="235"/>
      <c r="E188" s="235"/>
      <c r="F188" s="235"/>
      <c r="G188" s="235"/>
    </row>
    <row r="189" spans="1:17" s="380" customFormat="1" x14ac:dyDescent="0.2">
      <c r="A189" s="235"/>
      <c r="B189" s="235"/>
      <c r="C189" s="235"/>
      <c r="D189" s="235"/>
      <c r="E189" s="235"/>
      <c r="F189" s="235"/>
      <c r="G189" s="235"/>
    </row>
    <row r="190" spans="1:17" s="380" customFormat="1" x14ac:dyDescent="0.2">
      <c r="A190" s="235"/>
      <c r="B190" s="235"/>
      <c r="C190" s="235"/>
      <c r="D190" s="235"/>
      <c r="E190" s="235"/>
      <c r="F190" s="235"/>
      <c r="G190" s="235"/>
    </row>
    <row r="191" spans="1:17" s="380" customFormat="1" x14ac:dyDescent="0.2">
      <c r="A191" s="235"/>
      <c r="B191" s="235"/>
      <c r="C191" s="235"/>
      <c r="D191" s="235"/>
      <c r="E191" s="235"/>
      <c r="F191" s="235"/>
      <c r="G191" s="235"/>
    </row>
    <row r="192" spans="1:17" s="380" customFormat="1" x14ac:dyDescent="0.2">
      <c r="A192" s="235"/>
      <c r="B192" s="235"/>
      <c r="C192" s="235"/>
      <c r="D192" s="235"/>
      <c r="E192" s="235"/>
      <c r="F192" s="235"/>
      <c r="G192" s="235"/>
    </row>
    <row r="193" spans="1:7" s="380" customFormat="1" x14ac:dyDescent="0.2">
      <c r="A193" s="235"/>
      <c r="B193" s="235"/>
      <c r="C193" s="235"/>
      <c r="D193" s="235"/>
      <c r="E193" s="235"/>
      <c r="F193" s="235"/>
      <c r="G193" s="235"/>
    </row>
    <row r="194" spans="1:7" s="380" customFormat="1" x14ac:dyDescent="0.2">
      <c r="A194" s="235"/>
      <c r="B194" s="235"/>
      <c r="C194" s="235"/>
      <c r="D194" s="235"/>
      <c r="E194" s="235"/>
      <c r="F194" s="235"/>
      <c r="G194" s="235"/>
    </row>
    <row r="195" spans="1:7" s="380" customFormat="1" x14ac:dyDescent="0.2">
      <c r="A195" s="235"/>
      <c r="B195" s="235"/>
      <c r="C195" s="235"/>
      <c r="D195" s="235"/>
      <c r="E195" s="235"/>
      <c r="F195" s="235"/>
      <c r="G195" s="235"/>
    </row>
    <row r="196" spans="1:7" s="380" customFormat="1" x14ac:dyDescent="0.2">
      <c r="A196" s="235"/>
      <c r="B196" s="235"/>
      <c r="C196" s="235"/>
      <c r="D196" s="235"/>
      <c r="E196" s="235"/>
      <c r="F196" s="235"/>
      <c r="G196" s="235"/>
    </row>
    <row r="197" spans="1:7" s="380" customFormat="1" x14ac:dyDescent="0.2">
      <c r="A197" s="235"/>
      <c r="B197" s="235"/>
      <c r="C197" s="235"/>
      <c r="D197" s="235"/>
      <c r="E197" s="235"/>
      <c r="F197" s="235"/>
      <c r="G197" s="235"/>
    </row>
    <row r="198" spans="1:7" s="380" customFormat="1" x14ac:dyDescent="0.2">
      <c r="A198" s="235"/>
      <c r="B198" s="235"/>
      <c r="C198" s="235"/>
      <c r="D198" s="235"/>
      <c r="E198" s="235"/>
      <c r="F198" s="235"/>
      <c r="G198" s="235"/>
    </row>
    <row r="199" spans="1:7" s="380" customFormat="1" x14ac:dyDescent="0.2">
      <c r="A199" s="235"/>
      <c r="B199" s="235"/>
      <c r="C199" s="235"/>
      <c r="D199" s="235"/>
      <c r="E199" s="235"/>
      <c r="F199" s="235"/>
      <c r="G199" s="235"/>
    </row>
    <row r="200" spans="1:7" s="380" customFormat="1" x14ac:dyDescent="0.2">
      <c r="A200" s="235"/>
      <c r="B200" s="235"/>
      <c r="C200" s="235"/>
      <c r="D200" s="235"/>
      <c r="E200" s="235"/>
      <c r="F200" s="235"/>
      <c r="G200" s="235"/>
    </row>
    <row r="201" spans="1:7" s="380" customFormat="1" x14ac:dyDescent="0.2">
      <c r="A201" s="235"/>
      <c r="B201" s="235"/>
      <c r="C201" s="235"/>
      <c r="D201" s="235"/>
      <c r="E201" s="235"/>
      <c r="F201" s="235"/>
      <c r="G201" s="235"/>
    </row>
    <row r="202" spans="1:7" s="380" customFormat="1" x14ac:dyDescent="0.2">
      <c r="A202" s="235"/>
      <c r="B202" s="235"/>
      <c r="C202" s="235"/>
      <c r="D202" s="235"/>
      <c r="E202" s="235"/>
      <c r="F202" s="235"/>
      <c r="G202" s="235"/>
    </row>
    <row r="203" spans="1:7" s="380" customFormat="1" x14ac:dyDescent="0.2">
      <c r="A203" s="235"/>
      <c r="B203" s="235"/>
      <c r="C203" s="235"/>
      <c r="D203" s="235"/>
      <c r="E203" s="235"/>
      <c r="F203" s="235"/>
      <c r="G203" s="235"/>
    </row>
    <row r="204" spans="1:7" s="380" customFormat="1" x14ac:dyDescent="0.2">
      <c r="A204" s="235"/>
      <c r="B204" s="235"/>
      <c r="C204" s="235"/>
      <c r="D204" s="235"/>
      <c r="E204" s="235"/>
      <c r="F204" s="235"/>
      <c r="G204" s="235"/>
    </row>
    <row r="205" spans="1:7" s="380" customFormat="1" x14ac:dyDescent="0.2">
      <c r="A205" s="235"/>
      <c r="B205" s="235"/>
      <c r="C205" s="235"/>
      <c r="D205" s="235"/>
      <c r="E205" s="235"/>
      <c r="F205" s="235"/>
      <c r="G205" s="235"/>
    </row>
    <row r="206" spans="1:7" s="380" customFormat="1" x14ac:dyDescent="0.2">
      <c r="A206" s="235"/>
      <c r="B206" s="235"/>
      <c r="C206" s="235"/>
      <c r="D206" s="235"/>
      <c r="E206" s="235"/>
      <c r="F206" s="235"/>
      <c r="G206" s="235"/>
    </row>
    <row r="207" spans="1:7" s="380" customFormat="1" x14ac:dyDescent="0.2">
      <c r="A207" s="235"/>
      <c r="B207" s="235"/>
      <c r="C207" s="235"/>
      <c r="D207" s="235"/>
      <c r="E207" s="235"/>
      <c r="F207" s="235"/>
      <c r="G207" s="235"/>
    </row>
    <row r="208" spans="1:7" s="380" customFormat="1" x14ac:dyDescent="0.2">
      <c r="A208" s="235"/>
      <c r="B208" s="235"/>
      <c r="C208" s="235"/>
      <c r="D208" s="235"/>
      <c r="E208" s="235"/>
      <c r="F208" s="235"/>
      <c r="G208" s="235"/>
    </row>
    <row r="209" spans="1:7" s="380" customFormat="1" x14ac:dyDescent="0.2">
      <c r="A209" s="235"/>
      <c r="B209" s="235"/>
      <c r="C209" s="235"/>
      <c r="D209" s="235"/>
      <c r="E209" s="235"/>
      <c r="F209" s="235"/>
      <c r="G209" s="235"/>
    </row>
    <row r="210" spans="1:7" s="380" customFormat="1" x14ac:dyDescent="0.2">
      <c r="A210" s="235"/>
      <c r="B210" s="235"/>
      <c r="C210" s="235"/>
      <c r="D210" s="235"/>
      <c r="E210" s="235"/>
      <c r="F210" s="235"/>
      <c r="G210" s="235"/>
    </row>
    <row r="211" spans="1:7" s="380" customFormat="1" x14ac:dyDescent="0.2">
      <c r="A211" s="235"/>
      <c r="B211" s="235"/>
      <c r="C211" s="235"/>
      <c r="D211" s="235"/>
      <c r="E211" s="235"/>
      <c r="F211" s="235"/>
      <c r="G211" s="235"/>
    </row>
    <row r="212" spans="1:7" s="380" customFormat="1" x14ac:dyDescent="0.2">
      <c r="A212" s="235"/>
      <c r="B212" s="235"/>
      <c r="C212" s="235"/>
      <c r="D212" s="235"/>
      <c r="E212" s="235"/>
      <c r="F212" s="235"/>
      <c r="G212" s="235"/>
    </row>
    <row r="213" spans="1:7" s="380" customFormat="1" x14ac:dyDescent="0.2">
      <c r="A213" s="235"/>
      <c r="B213" s="235"/>
      <c r="C213" s="235"/>
      <c r="D213" s="235"/>
      <c r="E213" s="235"/>
      <c r="F213" s="235"/>
      <c r="G213" s="235"/>
    </row>
    <row r="214" spans="1:7" s="380" customFormat="1" x14ac:dyDescent="0.2">
      <c r="A214" s="235"/>
      <c r="B214" s="235"/>
      <c r="C214" s="235"/>
      <c r="D214" s="235"/>
      <c r="E214" s="235"/>
      <c r="F214" s="235"/>
      <c r="G214" s="235"/>
    </row>
    <row r="215" spans="1:7" s="380" customFormat="1" x14ac:dyDescent="0.2">
      <c r="A215" s="235"/>
      <c r="B215" s="235"/>
      <c r="C215" s="235"/>
      <c r="D215" s="235"/>
      <c r="E215" s="235"/>
      <c r="F215" s="235"/>
      <c r="G215" s="235"/>
    </row>
    <row r="216" spans="1:7" s="380" customFormat="1" x14ac:dyDescent="0.2">
      <c r="A216" s="235"/>
      <c r="B216" s="235"/>
      <c r="C216" s="235"/>
      <c r="D216" s="235"/>
      <c r="E216" s="235"/>
      <c r="F216" s="235"/>
      <c r="G216" s="235"/>
    </row>
    <row r="217" spans="1:7" s="380" customFormat="1" x14ac:dyDescent="0.2">
      <c r="A217" s="235"/>
      <c r="B217" s="235"/>
      <c r="C217" s="235"/>
      <c r="D217" s="235"/>
      <c r="E217" s="235"/>
      <c r="F217" s="235"/>
      <c r="G217" s="235"/>
    </row>
    <row r="218" spans="1:7" s="380" customFormat="1" x14ac:dyDescent="0.2">
      <c r="A218" s="235"/>
      <c r="B218" s="235"/>
      <c r="C218" s="235"/>
      <c r="D218" s="235"/>
      <c r="E218" s="235"/>
      <c r="F218" s="235"/>
      <c r="G218" s="235"/>
    </row>
    <row r="219" spans="1:7" s="380" customFormat="1" x14ac:dyDescent="0.2">
      <c r="A219" s="235"/>
      <c r="B219" s="235"/>
      <c r="C219" s="235"/>
      <c r="D219" s="235"/>
      <c r="E219" s="235"/>
      <c r="F219" s="235"/>
      <c r="G219" s="235"/>
    </row>
    <row r="220" spans="1:7" s="380" customFormat="1" x14ac:dyDescent="0.2">
      <c r="A220" s="235"/>
      <c r="B220" s="235"/>
      <c r="C220" s="235"/>
      <c r="D220" s="235"/>
      <c r="E220" s="235"/>
      <c r="F220" s="235"/>
      <c r="G220" s="235"/>
    </row>
    <row r="221" spans="1:7" s="380" customFormat="1" x14ac:dyDescent="0.2">
      <c r="A221" s="235"/>
      <c r="B221" s="235"/>
      <c r="C221" s="235"/>
      <c r="D221" s="235"/>
      <c r="E221" s="235"/>
      <c r="F221" s="235"/>
      <c r="G221" s="235"/>
    </row>
    <row r="222" spans="1:7" s="380" customFormat="1" x14ac:dyDescent="0.2">
      <c r="A222" s="235"/>
      <c r="B222" s="235"/>
      <c r="C222" s="235"/>
      <c r="D222" s="235"/>
      <c r="E222" s="235"/>
      <c r="F222" s="235"/>
      <c r="G222" s="235"/>
    </row>
    <row r="223" spans="1:7" s="380" customFormat="1" x14ac:dyDescent="0.2">
      <c r="A223" s="235"/>
      <c r="B223" s="235"/>
      <c r="C223" s="235"/>
      <c r="D223" s="235"/>
      <c r="E223" s="235"/>
      <c r="F223" s="235"/>
      <c r="G223" s="235"/>
    </row>
    <row r="224" spans="1:7" s="380" customFormat="1" x14ac:dyDescent="0.2">
      <c r="A224" s="235"/>
      <c r="B224" s="235"/>
      <c r="C224" s="235"/>
      <c r="D224" s="235"/>
      <c r="E224" s="235"/>
      <c r="F224" s="235"/>
      <c r="G224" s="235"/>
    </row>
    <row r="225" spans="1:7" s="380" customFormat="1" x14ac:dyDescent="0.2">
      <c r="A225" s="235"/>
      <c r="B225" s="235"/>
      <c r="C225" s="235"/>
      <c r="D225" s="235"/>
      <c r="E225" s="235"/>
      <c r="F225" s="235"/>
      <c r="G225" s="235"/>
    </row>
    <row r="226" spans="1:7" s="380" customFormat="1" x14ac:dyDescent="0.2">
      <c r="A226" s="235"/>
      <c r="B226" s="235"/>
      <c r="C226" s="235"/>
      <c r="D226" s="235"/>
      <c r="E226" s="235"/>
      <c r="F226" s="235"/>
      <c r="G226" s="235"/>
    </row>
    <row r="227" spans="1:7" s="380" customFormat="1" x14ac:dyDescent="0.2">
      <c r="A227" s="235"/>
      <c r="B227" s="235"/>
      <c r="C227" s="235"/>
      <c r="D227" s="235"/>
      <c r="E227" s="235"/>
      <c r="F227" s="235"/>
      <c r="G227" s="235"/>
    </row>
    <row r="228" spans="1:7" s="380" customFormat="1" x14ac:dyDescent="0.2">
      <c r="A228" s="235"/>
      <c r="B228" s="235"/>
      <c r="C228" s="235"/>
      <c r="D228" s="235"/>
      <c r="E228" s="235"/>
      <c r="F228" s="235"/>
      <c r="G228" s="235"/>
    </row>
    <row r="229" spans="1:7" s="380" customFormat="1" x14ac:dyDescent="0.2">
      <c r="A229" s="235"/>
      <c r="B229" s="235"/>
      <c r="C229" s="235"/>
      <c r="D229" s="235"/>
      <c r="E229" s="235"/>
      <c r="F229" s="235"/>
      <c r="G229" s="235"/>
    </row>
    <row r="230" spans="1:7" s="380" customFormat="1" x14ac:dyDescent="0.2">
      <c r="A230" s="235"/>
      <c r="B230" s="235"/>
      <c r="C230" s="235"/>
      <c r="D230" s="235"/>
      <c r="E230" s="235"/>
      <c r="F230" s="235"/>
      <c r="G230" s="235"/>
    </row>
    <row r="231" spans="1:7" s="380" customFormat="1" x14ac:dyDescent="0.2">
      <c r="A231" s="235"/>
      <c r="B231" s="235"/>
      <c r="C231" s="235"/>
      <c r="D231" s="235"/>
      <c r="E231" s="235"/>
      <c r="F231" s="235"/>
      <c r="G231" s="235"/>
    </row>
    <row r="232" spans="1:7" s="380" customFormat="1" x14ac:dyDescent="0.2">
      <c r="A232" s="235"/>
      <c r="B232" s="235"/>
      <c r="C232" s="235"/>
      <c r="D232" s="235"/>
      <c r="E232" s="235"/>
      <c r="F232" s="235"/>
      <c r="G232" s="235"/>
    </row>
    <row r="233" spans="1:7" s="380" customFormat="1" x14ac:dyDescent="0.2">
      <c r="A233" s="235"/>
      <c r="B233" s="235"/>
      <c r="C233" s="235"/>
      <c r="D233" s="235"/>
      <c r="E233" s="235"/>
      <c r="F233" s="235"/>
      <c r="G233" s="235"/>
    </row>
    <row r="234" spans="1:7" s="380" customFormat="1" x14ac:dyDescent="0.2">
      <c r="A234" s="235"/>
      <c r="B234" s="235"/>
      <c r="C234" s="235"/>
      <c r="D234" s="235"/>
      <c r="E234" s="235"/>
      <c r="F234" s="235"/>
      <c r="G234" s="235"/>
    </row>
    <row r="235" spans="1:7" s="380" customFormat="1" x14ac:dyDescent="0.2">
      <c r="A235" s="235"/>
      <c r="B235" s="235"/>
      <c r="C235" s="235"/>
      <c r="D235" s="235"/>
      <c r="E235" s="235"/>
      <c r="F235" s="235"/>
      <c r="G235" s="235"/>
    </row>
    <row r="236" spans="1:7" s="380" customFormat="1" x14ac:dyDescent="0.2">
      <c r="A236" s="235"/>
      <c r="B236" s="235"/>
      <c r="C236" s="235"/>
      <c r="D236" s="235"/>
      <c r="E236" s="235"/>
      <c r="F236" s="235"/>
      <c r="G236" s="235"/>
    </row>
    <row r="237" spans="1:7" s="380" customFormat="1" x14ac:dyDescent="0.2">
      <c r="A237" s="235"/>
      <c r="B237" s="235"/>
      <c r="C237" s="235"/>
      <c r="D237" s="235"/>
      <c r="E237" s="235"/>
      <c r="F237" s="235"/>
      <c r="G237" s="235"/>
    </row>
    <row r="238" spans="1:7" s="380" customFormat="1" x14ac:dyDescent="0.2">
      <c r="A238" s="235"/>
      <c r="B238" s="235"/>
      <c r="C238" s="235"/>
      <c r="D238" s="235"/>
      <c r="E238" s="235"/>
      <c r="F238" s="235"/>
      <c r="G238" s="235"/>
    </row>
    <row r="239" spans="1:7" s="380" customFormat="1" x14ac:dyDescent="0.2">
      <c r="A239" s="235"/>
      <c r="B239" s="235"/>
      <c r="C239" s="235"/>
      <c r="D239" s="235"/>
      <c r="E239" s="235"/>
      <c r="F239" s="235"/>
      <c r="G239" s="235"/>
    </row>
    <row r="240" spans="1:7" s="380" customFormat="1" x14ac:dyDescent="0.2">
      <c r="A240" s="235"/>
      <c r="B240" s="235"/>
      <c r="C240" s="235"/>
      <c r="D240" s="235"/>
      <c r="E240" s="235"/>
      <c r="F240" s="235"/>
      <c r="G240" s="235"/>
    </row>
    <row r="241" spans="1:7" s="380" customFormat="1" x14ac:dyDescent="0.2">
      <c r="A241" s="235"/>
      <c r="B241" s="235"/>
      <c r="C241" s="235"/>
      <c r="D241" s="235"/>
      <c r="E241" s="235"/>
      <c r="F241" s="235"/>
      <c r="G241" s="235"/>
    </row>
    <row r="242" spans="1:7" s="380" customFormat="1" x14ac:dyDescent="0.2">
      <c r="A242" s="235"/>
      <c r="B242" s="235"/>
      <c r="C242" s="235"/>
      <c r="D242" s="235"/>
      <c r="E242" s="235"/>
      <c r="F242" s="235"/>
      <c r="G242" s="235"/>
    </row>
    <row r="243" spans="1:7" s="380" customFormat="1" x14ac:dyDescent="0.2">
      <c r="A243" s="235"/>
      <c r="B243" s="235"/>
      <c r="C243" s="235"/>
      <c r="D243" s="235"/>
      <c r="E243" s="235"/>
      <c r="F243" s="235"/>
      <c r="G243" s="235"/>
    </row>
    <row r="244" spans="1:7" s="380" customFormat="1" x14ac:dyDescent="0.2">
      <c r="A244" s="235"/>
      <c r="B244" s="235"/>
      <c r="C244" s="235"/>
      <c r="D244" s="235"/>
      <c r="E244" s="235"/>
      <c r="F244" s="235"/>
      <c r="G244" s="235"/>
    </row>
    <row r="245" spans="1:7" s="380" customFormat="1" x14ac:dyDescent="0.2">
      <c r="A245" s="235"/>
      <c r="B245" s="235"/>
      <c r="C245" s="235"/>
      <c r="D245" s="235"/>
      <c r="E245" s="235"/>
      <c r="F245" s="235"/>
      <c r="G245" s="235"/>
    </row>
    <row r="246" spans="1:7" s="380" customFormat="1" x14ac:dyDescent="0.2">
      <c r="A246" s="235"/>
      <c r="B246" s="235"/>
      <c r="C246" s="235"/>
      <c r="D246" s="235"/>
      <c r="E246" s="235"/>
      <c r="F246" s="235"/>
      <c r="G246" s="235"/>
    </row>
    <row r="247" spans="1:7" s="380" customFormat="1" x14ac:dyDescent="0.2">
      <c r="A247" s="235"/>
      <c r="B247" s="235"/>
      <c r="C247" s="235"/>
      <c r="D247" s="235"/>
      <c r="E247" s="235"/>
      <c r="F247" s="235"/>
      <c r="G247" s="235"/>
    </row>
    <row r="248" spans="1:7" s="380" customFormat="1" x14ac:dyDescent="0.2">
      <c r="A248" s="235"/>
      <c r="B248" s="235"/>
      <c r="C248" s="235"/>
      <c r="D248" s="235"/>
      <c r="E248" s="235"/>
      <c r="F248" s="235"/>
      <c r="G248" s="235"/>
    </row>
    <row r="249" spans="1:7" s="380" customFormat="1" x14ac:dyDescent="0.2">
      <c r="A249" s="235"/>
      <c r="B249" s="235"/>
      <c r="C249" s="235"/>
      <c r="D249" s="235"/>
      <c r="E249" s="235"/>
      <c r="F249" s="235"/>
      <c r="G249" s="235"/>
    </row>
    <row r="250" spans="1:7" s="380" customFormat="1" x14ac:dyDescent="0.2">
      <c r="A250" s="235"/>
      <c r="B250" s="235"/>
      <c r="C250" s="235"/>
      <c r="D250" s="235"/>
      <c r="E250" s="235"/>
      <c r="F250" s="235"/>
      <c r="G250" s="235"/>
    </row>
    <row r="251" spans="1:7" s="380" customFormat="1" x14ac:dyDescent="0.2">
      <c r="A251" s="235"/>
      <c r="B251" s="235"/>
      <c r="C251" s="235"/>
      <c r="D251" s="235"/>
      <c r="E251" s="235"/>
      <c r="F251" s="235"/>
      <c r="G251" s="235"/>
    </row>
    <row r="252" spans="1:7" s="380" customFormat="1" x14ac:dyDescent="0.2">
      <c r="A252" s="235"/>
      <c r="B252" s="235"/>
      <c r="C252" s="235"/>
      <c r="D252" s="235"/>
      <c r="E252" s="235"/>
      <c r="F252" s="235"/>
      <c r="G252" s="235"/>
    </row>
    <row r="253" spans="1:7" s="380" customFormat="1" x14ac:dyDescent="0.2">
      <c r="A253" s="235"/>
      <c r="B253" s="235"/>
      <c r="C253" s="235"/>
      <c r="D253" s="235"/>
      <c r="E253" s="235"/>
      <c r="F253" s="235"/>
      <c r="G253" s="235"/>
    </row>
    <row r="254" spans="1:7" s="380" customFormat="1" x14ac:dyDescent="0.2">
      <c r="A254" s="235"/>
      <c r="B254" s="235"/>
      <c r="C254" s="235"/>
      <c r="D254" s="235"/>
      <c r="E254" s="235"/>
      <c r="F254" s="235"/>
      <c r="G254" s="235"/>
    </row>
    <row r="255" spans="1:7" s="380" customFormat="1" x14ac:dyDescent="0.2">
      <c r="A255" s="235"/>
      <c r="B255" s="235"/>
      <c r="C255" s="235"/>
      <c r="D255" s="235"/>
      <c r="E255" s="235"/>
      <c r="F255" s="235"/>
      <c r="G255" s="235"/>
    </row>
    <row r="256" spans="1:7" s="380" customFormat="1" x14ac:dyDescent="0.2">
      <c r="A256" s="235"/>
      <c r="B256" s="235"/>
      <c r="C256" s="235"/>
      <c r="D256" s="235"/>
      <c r="E256" s="235"/>
      <c r="F256" s="235"/>
      <c r="G256" s="235"/>
    </row>
    <row r="257" spans="1:17" s="380" customFormat="1" x14ac:dyDescent="0.2">
      <c r="A257" s="235"/>
      <c r="B257" s="235"/>
      <c r="C257" s="235"/>
      <c r="D257" s="235"/>
      <c r="E257" s="235"/>
      <c r="F257" s="235"/>
      <c r="G257" s="235"/>
    </row>
    <row r="258" spans="1:17" s="380" customFormat="1" x14ac:dyDescent="0.2">
      <c r="A258" s="235"/>
      <c r="B258" s="235"/>
      <c r="C258" s="235"/>
      <c r="D258" s="235"/>
      <c r="E258" s="235"/>
      <c r="F258" s="235"/>
      <c r="G258" s="235"/>
    </row>
    <row r="259" spans="1:17" s="380" customFormat="1" x14ac:dyDescent="0.2">
      <c r="A259" s="235"/>
      <c r="B259" s="235"/>
      <c r="C259" s="235"/>
      <c r="D259" s="235"/>
      <c r="E259" s="235"/>
      <c r="F259" s="235"/>
      <c r="G259" s="235"/>
    </row>
    <row r="260" spans="1:17" s="380" customFormat="1" x14ac:dyDescent="0.2">
      <c r="A260" s="235"/>
      <c r="B260" s="235"/>
      <c r="C260" s="235"/>
      <c r="D260" s="235"/>
      <c r="E260" s="235"/>
      <c r="F260" s="235"/>
      <c r="G260" s="235"/>
    </row>
    <row r="261" spans="1:17" s="380" customFormat="1" x14ac:dyDescent="0.2">
      <c r="A261" s="235"/>
      <c r="B261" s="235"/>
      <c r="C261" s="235"/>
      <c r="D261" s="235"/>
      <c r="E261" s="235"/>
      <c r="F261" s="235"/>
      <c r="G261" s="235"/>
    </row>
    <row r="262" spans="1:17" s="380" customFormat="1" x14ac:dyDescent="0.2">
      <c r="A262" s="235"/>
      <c r="B262" s="235"/>
      <c r="C262" s="235"/>
      <c r="D262" s="235"/>
      <c r="E262" s="235"/>
      <c r="F262" s="235"/>
      <c r="G262" s="235"/>
    </row>
    <row r="263" spans="1:17" s="380" customFormat="1" x14ac:dyDescent="0.2">
      <c r="A263" s="235"/>
      <c r="B263" s="235"/>
      <c r="C263" s="235"/>
      <c r="D263" s="235"/>
      <c r="E263" s="235"/>
      <c r="F263" s="235"/>
      <c r="G263" s="235"/>
    </row>
    <row r="264" spans="1:17" s="380" customFormat="1" x14ac:dyDescent="0.2">
      <c r="A264" s="235"/>
      <c r="B264" s="235"/>
      <c r="C264" s="235"/>
      <c r="D264" s="235"/>
      <c r="E264" s="235"/>
      <c r="F264" s="235"/>
      <c r="G264" s="235"/>
    </row>
    <row r="265" spans="1:17" s="380" customFormat="1" x14ac:dyDescent="0.2">
      <c r="A265" s="235"/>
      <c r="B265" s="235"/>
      <c r="C265" s="235"/>
      <c r="D265" s="235"/>
      <c r="E265" s="235"/>
      <c r="F265" s="235"/>
      <c r="G265" s="235"/>
    </row>
    <row r="266" spans="1:17" s="380" customFormat="1" x14ac:dyDescent="0.2">
      <c r="A266" s="235"/>
      <c r="B266" s="235"/>
      <c r="C266" s="235"/>
      <c r="D266" s="235"/>
      <c r="E266" s="235"/>
      <c r="F266" s="235"/>
      <c r="G266" s="235"/>
    </row>
    <row r="267" spans="1:17" s="380" customFormat="1" x14ac:dyDescent="0.2">
      <c r="A267" s="235"/>
      <c r="B267" s="235"/>
      <c r="C267" s="235"/>
      <c r="D267" s="235"/>
      <c r="E267" s="235"/>
      <c r="F267" s="235"/>
      <c r="G267" s="235"/>
    </row>
    <row r="268" spans="1:17" s="380" customFormat="1" x14ac:dyDescent="0.2">
      <c r="A268" s="235"/>
      <c r="B268" s="235"/>
      <c r="C268" s="235"/>
      <c r="D268" s="235"/>
      <c r="E268" s="235"/>
      <c r="F268" s="235"/>
      <c r="G268" s="235"/>
    </row>
    <row r="269" spans="1:17" s="380" customFormat="1" x14ac:dyDescent="0.2">
      <c r="A269" s="235"/>
      <c r="B269" s="235"/>
      <c r="C269" s="235"/>
      <c r="D269" s="235"/>
      <c r="E269" s="235"/>
      <c r="F269" s="235"/>
      <c r="G269" s="235"/>
    </row>
    <row r="270" spans="1:17" s="380" customFormat="1" x14ac:dyDescent="0.2">
      <c r="A270" s="235"/>
      <c r="B270" s="235"/>
      <c r="C270" s="235"/>
      <c r="D270" s="235"/>
      <c r="E270" s="235"/>
      <c r="F270" s="235"/>
      <c r="G270" s="235"/>
    </row>
    <row r="271" spans="1:17" s="380" customFormat="1" x14ac:dyDescent="0.2">
      <c r="A271" s="235"/>
      <c r="B271" s="235"/>
      <c r="C271" s="235"/>
      <c r="D271" s="235"/>
      <c r="E271" s="235"/>
      <c r="F271" s="235"/>
      <c r="G271" s="235"/>
    </row>
    <row r="272" spans="1:17" s="380" customFormat="1" x14ac:dyDescent="0.2">
      <c r="A272" s="235"/>
      <c r="B272" s="235"/>
      <c r="C272" s="235"/>
      <c r="D272" s="235"/>
      <c r="E272" s="235"/>
      <c r="F272" s="235"/>
      <c r="G272" s="235"/>
      <c r="Q272" s="60"/>
    </row>
  </sheetData>
  <mergeCells count="7">
    <mergeCell ref="P10:Q10"/>
    <mergeCell ref="P12:Q12"/>
    <mergeCell ref="B1:R1"/>
    <mergeCell ref="S1:Z1"/>
    <mergeCell ref="P9:Q9"/>
    <mergeCell ref="P7:Q7"/>
    <mergeCell ref="P6:Q6"/>
  </mergeCells>
  <phoneticPr fontId="6" type="noConversion"/>
  <dataValidations xWindow="436" yWindow="322" count="11">
    <dataValidation type="list" errorStyle="information" showInputMessage="1" showErrorMessage="1" errorTitle="Yes or No" error="Please choose yes or no." promptTitle="Powertrain Adjustment" prompt="_x000a_Adjust the powertrain to match the performance of the baseline vehicle?" sqref="H9:H10" xr:uid="{00000000-0002-0000-0100-000000000000}">
      <formula1>"Yes,No"</formula1>
    </dataValidation>
    <dataValidation type="decimal" allowBlank="1" showInputMessage="1" showErrorMessage="1" sqref="P175:P183" xr:uid="{00000000-0002-0000-0100-000001000000}">
      <formula1>0</formula1>
      <formula2>100</formula2>
    </dataValidation>
    <dataValidation type="decimal" allowBlank="1" showInputMessage="1" showErrorMessage="1" sqref="Q174:Q182" xr:uid="{00000000-0002-0000-0100-000002000000}">
      <formula1>0</formula1>
      <formula2>1</formula2>
    </dataValidation>
    <dataValidation type="list" errorStyle="information" showInputMessage="1" showErrorMessage="1" errorTitle="INVALID CHOICE" error="Please limit vehicle powertrain choice to valid options." promptTitle="Vehicle Powertain Selection" prompt="ICEV-G:  (gasoline/bioethanol)_x000a_ICEV-D:  (diesel/biodiesel)_x000a_HEV: Hybrid (gasoline/bioethanol)_x000a_FCV: Fuel Cell Vehicle (hydrogen)_x000a_BEV: Battery Electric Vehicle_x000a_PHEV20: Plug in Hybrid (20 mi range)_x000a_PHEV40: Plug in Hybrid (40 mi range)" sqref="H4" xr:uid="{00000000-0002-0000-0100-000003000000}">
      <formula1>"ICEV-G,ICEV-D,HEV,BEV,PHEV20,PHEV40,FCV"</formula1>
    </dataValidation>
    <dataValidation type="list" allowBlank="1" showInputMessage="1" showErrorMessage="1" sqref="F17" xr:uid="{00000000-0002-0000-0100-000004000000}">
      <formula1>"No, Yes"</formula1>
    </dataValidation>
    <dataValidation type="decimal" allowBlank="1" showInputMessage="1" showErrorMessage="1" errorTitle="Valid data range is 0 - 1" error="Alpha and Beta are factors in the range 0 - 1 only." sqref="I175:J183" xr:uid="{00000000-0002-0000-0100-000005000000}">
      <formula1>0</formula1>
      <formula2>1</formula2>
    </dataValidation>
    <dataValidation type="list" showInputMessage="1" promptTitle="Ethanol Source" prompt="The crop and region of ethanol production have a large impact on the energy intensity and greenhouse gas emissions of fuel production." sqref="P7:Q7" xr:uid="{00000000-0002-0000-0100-000006000000}">
      <formula1>"Corn (US), Cellulose (US), Sugar (Brazil)"</formula1>
    </dataValidation>
    <dataValidation type="list" errorStyle="information" allowBlank="1" showInputMessage="1" showErrorMessage="1" errorTitle="Vehicle class" error="Please choose from the available options." prompt="Please refresh selection after selecting powertrain type_x000a_" sqref="H6" xr:uid="{00000000-0002-0000-0100-000007000000}">
      <formula1>IF(OR(H4="BEV",H4="PHEV20",H4="PHEV40"),$AA$107:$AA$108,$AA$109:$AA$111)</formula1>
    </dataValidation>
    <dataValidation type="list" showInputMessage="1" showErrorMessage="1" promptTitle="Driving Cycle                " prompt="HYZEM: three cycles (urban, extra urban, highway) _x000a__x000a_NEDC: New European Driving Cycle _x000a__x000a_US Combined: UDDS (weighted 55%) and HFEDS (weighted 45%)_x000a__x000a_WLTP 3b: Worldwide Harmonized Light Vehicles Test Procedure Class 3b" sqref="H8" xr:uid="{00000000-0002-0000-0100-000008000000}">
      <formula1>"NEDC,Hyzem,US Combined, WLTP 3b"</formula1>
    </dataValidation>
    <dataValidation type="list" allowBlank="1" showInputMessage="1" showErrorMessage="1" sqref="P12 V7 V15 V11:V12" xr:uid="{00000000-0002-0000-0100-000009000000}">
      <formula1>"USA,Europe,China,Japan,India,Coal,USA Green Mix"</formula1>
    </dataValidation>
    <dataValidation type="list" showInputMessage="1" promptTitle="Biodiesel Source" prompt="The crop and region of biodiesel (methyl ester) production have a large impact on the energy intensity and greenhouse gas emissions of fuel production._x000a_" sqref="P10:Q10" xr:uid="{00000000-0002-0000-0100-00000A000000}">
      <formula1>"Soybeans (US),Rapeseed (EU)"</formula1>
    </dataValidation>
  </dataValidations>
  <pageMargins left="0.44" right="0.36" top="0.42" bottom="0.38" header="0.35" footer="0.28999999999999998"/>
  <pageSetup scale="80" orientation="portrait" horizontalDpi="4294967292" verticalDpi="4294967292" r:id="rId1"/>
  <headerFooter alignWithMargins="0"/>
  <rowBreaks count="2" manualBreakCount="2">
    <brk id="107" max="16383" man="1"/>
    <brk id="151" max="1638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2" r:id="rId4" name="Button 4">
              <controlPr defaultSize="0" print="0" autoFill="0" autoPict="0" macro="[0]!RS_1">
                <anchor moveWithCells="1" sizeWithCells="1">
                  <from>
                    <xdr:col>4</xdr:col>
                    <xdr:colOff>76200</xdr:colOff>
                    <xdr:row>42</xdr:row>
                    <xdr:rowOff>85725</xdr:rowOff>
                  </from>
                  <to>
                    <xdr:col>7</xdr:col>
                    <xdr:colOff>66675</xdr:colOff>
                    <xdr:row>44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5" name="Button 6">
              <controlPr defaultSize="0" print="0" autoFill="0" autoPict="0" macro="[0]!RS_2">
                <anchor moveWithCells="1" sizeWithCells="1">
                  <from>
                    <xdr:col>7</xdr:col>
                    <xdr:colOff>314325</xdr:colOff>
                    <xdr:row>42</xdr:row>
                    <xdr:rowOff>85725</xdr:rowOff>
                  </from>
                  <to>
                    <xdr:col>10</xdr:col>
                    <xdr:colOff>95250</xdr:colOff>
                    <xdr:row>44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6" name="Button 7">
              <controlPr defaultSize="0" print="0" autoFill="0" autoPict="0" macro="[0]!RS_3">
                <anchor moveWithCells="1" sizeWithCells="1">
                  <from>
                    <xdr:col>10</xdr:col>
                    <xdr:colOff>342900</xdr:colOff>
                    <xdr:row>42</xdr:row>
                    <xdr:rowOff>85725</xdr:rowOff>
                  </from>
                  <to>
                    <xdr:col>13</xdr:col>
                    <xdr:colOff>381000</xdr:colOff>
                    <xdr:row>44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tabColor rgb="FF00AAE7"/>
  </sheetPr>
  <dimension ref="A1:K42"/>
  <sheetViews>
    <sheetView workbookViewId="0">
      <selection activeCell="A2" sqref="A2"/>
    </sheetView>
  </sheetViews>
  <sheetFormatPr defaultColWidth="9" defaultRowHeight="12.75" x14ac:dyDescent="0.2"/>
  <cols>
    <col min="1" max="1" width="34" style="337" bestFit="1" customWidth="1"/>
    <col min="2" max="16384" width="9" style="337"/>
  </cols>
  <sheetData>
    <row r="1" spans="1:11" x14ac:dyDescent="0.2">
      <c r="A1" s="339" t="s">
        <v>316</v>
      </c>
      <c r="B1" s="340"/>
      <c r="C1" s="341"/>
      <c r="D1" s="341"/>
      <c r="E1" s="341"/>
      <c r="F1" s="342"/>
      <c r="G1" s="343"/>
      <c r="H1" s="343"/>
      <c r="I1" s="343"/>
      <c r="J1" s="342"/>
      <c r="K1" s="344"/>
    </row>
    <row r="2" spans="1:11" x14ac:dyDescent="0.2">
      <c r="A2" s="638"/>
      <c r="B2" s="345"/>
      <c r="C2" s="1167" t="s">
        <v>51</v>
      </c>
      <c r="D2" s="1167"/>
      <c r="E2" s="346"/>
      <c r="F2" s="1167" t="s">
        <v>95</v>
      </c>
      <c r="G2" s="1167"/>
      <c r="H2" s="237"/>
      <c r="I2" s="616" t="s">
        <v>87</v>
      </c>
      <c r="J2" s="616"/>
      <c r="K2" s="347"/>
    </row>
    <row r="3" spans="1:11" x14ac:dyDescent="0.2">
      <c r="A3" s="639"/>
      <c r="B3" s="348"/>
      <c r="C3" s="349" t="s">
        <v>94</v>
      </c>
      <c r="D3" s="350" t="s">
        <v>102</v>
      </c>
      <c r="E3" s="346"/>
      <c r="F3" s="349" t="s">
        <v>94</v>
      </c>
      <c r="G3" s="350" t="s">
        <v>102</v>
      </c>
      <c r="H3" s="349"/>
      <c r="I3" s="349" t="s">
        <v>94</v>
      </c>
      <c r="J3" s="349" t="s">
        <v>102</v>
      </c>
      <c r="K3" s="351"/>
    </row>
    <row r="4" spans="1:11" x14ac:dyDescent="0.2">
      <c r="A4" s="638" t="s">
        <v>70</v>
      </c>
      <c r="B4" s="352"/>
      <c r="C4" s="290">
        <v>620.5</v>
      </c>
      <c r="D4" s="353">
        <f>C4/C$24</f>
        <v>0.40003868222551742</v>
      </c>
      <c r="E4" s="346"/>
      <c r="F4" s="290">
        <v>288.39999999999998</v>
      </c>
      <c r="G4" s="353">
        <f>F4/F$24</f>
        <v>0.20110173628059413</v>
      </c>
      <c r="H4" s="354"/>
      <c r="I4" s="290">
        <v>285.8</v>
      </c>
      <c r="J4" s="353">
        <f>I4/I$24</f>
        <v>0.20462518794300855</v>
      </c>
      <c r="K4" s="355"/>
    </row>
    <row r="5" spans="1:11" x14ac:dyDescent="0.2">
      <c r="A5" s="638" t="s">
        <v>33</v>
      </c>
      <c r="B5" s="352"/>
      <c r="C5" s="290">
        <v>232.7</v>
      </c>
      <c r="D5" s="353">
        <f t="shared" ref="D5:D23" si="0">C5/C$24</f>
        <v>0.15002256463155181</v>
      </c>
      <c r="E5" s="346"/>
      <c r="F5" s="290">
        <v>191.3</v>
      </c>
      <c r="G5" s="353">
        <f t="shared" ref="G5:G23" si="1">F5/F$24</f>
        <v>0.1333937661250959</v>
      </c>
      <c r="H5" s="354"/>
      <c r="I5" s="290">
        <v>189.6</v>
      </c>
      <c r="J5" s="353">
        <f t="shared" ref="J5:J23" si="2">I5/I$24</f>
        <v>0.13574855015393428</v>
      </c>
      <c r="K5" s="355"/>
    </row>
    <row r="6" spans="1:11" x14ac:dyDescent="0.2">
      <c r="A6" s="638" t="s">
        <v>96</v>
      </c>
      <c r="B6" s="352"/>
      <c r="C6" s="290">
        <v>155.1</v>
      </c>
      <c r="D6" s="353">
        <f t="shared" si="0"/>
        <v>9.9993552962413773E-2</v>
      </c>
      <c r="E6" s="346"/>
      <c r="F6" s="290">
        <v>155.1</v>
      </c>
      <c r="G6" s="353">
        <f t="shared" si="1"/>
        <v>0.10815145387350954</v>
      </c>
      <c r="H6" s="354"/>
      <c r="I6" s="290">
        <v>155.1</v>
      </c>
      <c r="J6" s="353">
        <f t="shared" si="2"/>
        <v>0.11104746903415194</v>
      </c>
      <c r="K6" s="355"/>
    </row>
    <row r="7" spans="1:11" x14ac:dyDescent="0.2">
      <c r="A7" s="640" t="s">
        <v>206</v>
      </c>
      <c r="B7" s="345"/>
      <c r="C7" s="292">
        <v>0</v>
      </c>
      <c r="D7" s="353">
        <f t="shared" ref="D7:D22" si="3">C7/C$24</f>
        <v>0</v>
      </c>
      <c r="E7" s="346"/>
      <c r="F7" s="292">
        <v>243</v>
      </c>
      <c r="G7" s="353">
        <f t="shared" ref="G7:G22" si="4">F7/F$24</f>
        <v>0.1694442507495991</v>
      </c>
      <c r="H7" s="354"/>
      <c r="I7" s="292">
        <v>0</v>
      </c>
      <c r="J7" s="353">
        <f t="shared" ref="J7:J22" si="5">I7/I$24</f>
        <v>0</v>
      </c>
      <c r="K7" s="641"/>
    </row>
    <row r="8" spans="1:11" x14ac:dyDescent="0.2">
      <c r="A8" s="640" t="s">
        <v>207</v>
      </c>
      <c r="B8" s="345"/>
      <c r="C8" s="292">
        <v>0</v>
      </c>
      <c r="D8" s="353">
        <f t="shared" si="3"/>
        <v>0</v>
      </c>
      <c r="E8" s="346"/>
      <c r="F8" s="292">
        <v>27</v>
      </c>
      <c r="G8" s="353">
        <f t="shared" si="4"/>
        <v>1.8827138972177675E-2</v>
      </c>
      <c r="H8" s="354"/>
      <c r="I8" s="292">
        <v>0</v>
      </c>
      <c r="J8" s="353">
        <f t="shared" si="5"/>
        <v>0</v>
      </c>
      <c r="K8" s="355"/>
    </row>
    <row r="9" spans="1:11" x14ac:dyDescent="0.2">
      <c r="A9" s="640" t="s">
        <v>208</v>
      </c>
      <c r="B9" s="345"/>
      <c r="C9" s="292">
        <v>0</v>
      </c>
      <c r="D9" s="353">
        <f t="shared" si="3"/>
        <v>0</v>
      </c>
      <c r="E9" s="346"/>
      <c r="F9" s="292">
        <v>0</v>
      </c>
      <c r="G9" s="353">
        <f t="shared" si="4"/>
        <v>0</v>
      </c>
      <c r="H9" s="354"/>
      <c r="I9" s="292">
        <v>0</v>
      </c>
      <c r="J9" s="353">
        <f t="shared" si="5"/>
        <v>0</v>
      </c>
      <c r="K9" s="355"/>
    </row>
    <row r="10" spans="1:11" x14ac:dyDescent="0.2">
      <c r="A10" s="638" t="s">
        <v>88</v>
      </c>
      <c r="B10" s="345"/>
      <c r="C10" s="292">
        <v>15.5</v>
      </c>
      <c r="D10" s="353">
        <f t="shared" si="3"/>
        <v>9.9929082586551494E-3</v>
      </c>
      <c r="E10" s="346"/>
      <c r="F10" s="292">
        <v>12.8</v>
      </c>
      <c r="G10" s="353">
        <f t="shared" si="4"/>
        <v>8.9254584756990468E-3</v>
      </c>
      <c r="H10" s="354"/>
      <c r="I10" s="292">
        <v>180.8</v>
      </c>
      <c r="J10" s="353">
        <f t="shared" si="5"/>
        <v>0.12944798453497533</v>
      </c>
      <c r="K10" s="355"/>
    </row>
    <row r="11" spans="1:11" x14ac:dyDescent="0.2">
      <c r="A11" s="638" t="s">
        <v>98</v>
      </c>
      <c r="B11" s="345"/>
      <c r="C11" s="292">
        <v>15.5</v>
      </c>
      <c r="D11" s="353">
        <f t="shared" si="3"/>
        <v>9.9929082586551494E-3</v>
      </c>
      <c r="E11" s="346"/>
      <c r="F11" s="292">
        <v>12.8</v>
      </c>
      <c r="G11" s="353">
        <f t="shared" si="4"/>
        <v>8.9254584756990468E-3</v>
      </c>
      <c r="H11" s="354"/>
      <c r="I11" s="292">
        <v>84.3</v>
      </c>
      <c r="J11" s="353">
        <f t="shared" si="5"/>
        <v>6.0356554736163817E-2</v>
      </c>
      <c r="K11" s="355"/>
    </row>
    <row r="12" spans="1:11" x14ac:dyDescent="0.2">
      <c r="A12" s="638" t="s">
        <v>99</v>
      </c>
      <c r="B12" s="345"/>
      <c r="C12" s="292">
        <v>77.599999999999994</v>
      </c>
      <c r="D12" s="353">
        <f t="shared" si="3"/>
        <v>5.0029011669138028E-2</v>
      </c>
      <c r="E12" s="346"/>
      <c r="F12" s="292">
        <v>69.5</v>
      </c>
      <c r="G12" s="353">
        <f t="shared" si="4"/>
        <v>4.8462450317272164E-2</v>
      </c>
      <c r="H12" s="354"/>
      <c r="I12" s="292">
        <v>66.900000000000006</v>
      </c>
      <c r="J12" s="353">
        <f t="shared" si="5"/>
        <v>4.7898618171404034E-2</v>
      </c>
      <c r="K12" s="355"/>
    </row>
    <row r="13" spans="1:11" x14ac:dyDescent="0.2">
      <c r="A13" s="638" t="s">
        <v>210</v>
      </c>
      <c r="B13" s="345"/>
      <c r="C13" s="292">
        <v>0</v>
      </c>
      <c r="D13" s="353">
        <f t="shared" si="3"/>
        <v>0</v>
      </c>
      <c r="E13" s="346"/>
      <c r="F13" s="292">
        <v>0</v>
      </c>
      <c r="G13" s="353">
        <f t="shared" si="4"/>
        <v>0</v>
      </c>
      <c r="H13" s="354"/>
      <c r="I13" s="292">
        <v>0</v>
      </c>
      <c r="J13" s="353">
        <f t="shared" si="5"/>
        <v>0</v>
      </c>
      <c r="K13" s="355"/>
    </row>
    <row r="14" spans="1:11" x14ac:dyDescent="0.2">
      <c r="A14" s="638" t="s">
        <v>211</v>
      </c>
      <c r="B14" s="345"/>
      <c r="C14" s="292">
        <v>0</v>
      </c>
      <c r="D14" s="353">
        <f t="shared" si="3"/>
        <v>0</v>
      </c>
      <c r="E14" s="346"/>
      <c r="F14" s="292">
        <v>0</v>
      </c>
      <c r="G14" s="353">
        <f t="shared" si="4"/>
        <v>0</v>
      </c>
      <c r="H14" s="354"/>
      <c r="I14" s="292">
        <v>0</v>
      </c>
      <c r="J14" s="353">
        <f t="shared" si="5"/>
        <v>0</v>
      </c>
      <c r="K14" s="355"/>
    </row>
    <row r="15" spans="1:11" x14ac:dyDescent="0.2">
      <c r="A15" s="638" t="s">
        <v>76</v>
      </c>
      <c r="B15" s="345"/>
      <c r="C15" s="292">
        <v>0</v>
      </c>
      <c r="D15" s="353">
        <f t="shared" si="3"/>
        <v>0</v>
      </c>
      <c r="E15" s="346"/>
      <c r="F15" s="292">
        <v>0</v>
      </c>
      <c r="G15" s="353">
        <f t="shared" si="4"/>
        <v>0</v>
      </c>
      <c r="H15" s="354"/>
      <c r="I15" s="292">
        <v>0</v>
      </c>
      <c r="J15" s="353">
        <f t="shared" si="5"/>
        <v>0</v>
      </c>
      <c r="K15" s="355"/>
    </row>
    <row r="16" spans="1:11" x14ac:dyDescent="0.2">
      <c r="A16" s="638" t="s">
        <v>77</v>
      </c>
      <c r="B16" s="345"/>
      <c r="C16" s="292">
        <v>0</v>
      </c>
      <c r="D16" s="353">
        <f t="shared" si="3"/>
        <v>0</v>
      </c>
      <c r="E16" s="346"/>
      <c r="F16" s="292">
        <v>0</v>
      </c>
      <c r="G16" s="353">
        <f t="shared" si="4"/>
        <v>0</v>
      </c>
      <c r="H16" s="354"/>
      <c r="I16" s="292">
        <v>0</v>
      </c>
      <c r="J16" s="353">
        <f t="shared" si="5"/>
        <v>0</v>
      </c>
      <c r="K16" s="355"/>
    </row>
    <row r="17" spans="1:11" x14ac:dyDescent="0.2">
      <c r="A17" s="638" t="s">
        <v>78</v>
      </c>
      <c r="B17" s="345"/>
      <c r="C17" s="292">
        <v>0</v>
      </c>
      <c r="D17" s="353">
        <f t="shared" si="3"/>
        <v>0</v>
      </c>
      <c r="E17" s="346"/>
      <c r="F17" s="292">
        <v>0</v>
      </c>
      <c r="G17" s="353">
        <f t="shared" si="4"/>
        <v>0</v>
      </c>
      <c r="H17" s="354"/>
      <c r="I17" s="292">
        <v>0</v>
      </c>
      <c r="J17" s="353">
        <f t="shared" si="5"/>
        <v>0</v>
      </c>
      <c r="K17" s="355"/>
    </row>
    <row r="18" spans="1:11" x14ac:dyDescent="0.2">
      <c r="A18" s="642" t="s">
        <v>212</v>
      </c>
      <c r="B18" s="235"/>
      <c r="C18" s="292">
        <v>186.1</v>
      </c>
      <c r="D18" s="353">
        <f t="shared" si="3"/>
        <v>0.11997936947972407</v>
      </c>
      <c r="E18" s="346"/>
      <c r="F18" s="292">
        <v>186.1</v>
      </c>
      <c r="G18" s="353">
        <f t="shared" si="4"/>
        <v>0.12976779861934318</v>
      </c>
      <c r="H18" s="235"/>
      <c r="I18" s="292">
        <v>186.1</v>
      </c>
      <c r="J18" s="353">
        <f t="shared" si="5"/>
        <v>0.13324264337366651</v>
      </c>
      <c r="K18" s="355"/>
    </row>
    <row r="19" spans="1:11" x14ac:dyDescent="0.2">
      <c r="A19" s="642" t="s">
        <v>213</v>
      </c>
      <c r="B19" s="345"/>
      <c r="C19" s="292">
        <v>46.5</v>
      </c>
      <c r="D19" s="353">
        <f t="shared" si="3"/>
        <v>2.9978724775965446E-2</v>
      </c>
      <c r="E19" s="346"/>
      <c r="F19" s="292">
        <v>46.5</v>
      </c>
      <c r="G19" s="353">
        <f t="shared" si="4"/>
        <v>3.242451711875044E-2</v>
      </c>
      <c r="H19" s="354"/>
      <c r="I19" s="292">
        <v>46.5</v>
      </c>
      <c r="J19" s="353">
        <f t="shared" si="5"/>
        <v>3.3292761509271858E-2</v>
      </c>
      <c r="K19" s="355"/>
    </row>
    <row r="20" spans="1:11" x14ac:dyDescent="0.2">
      <c r="A20" s="640" t="s">
        <v>214</v>
      </c>
      <c r="B20" s="235"/>
      <c r="C20" s="292">
        <v>46.5</v>
      </c>
      <c r="D20" s="353">
        <f t="shared" si="3"/>
        <v>2.9978724775965446E-2</v>
      </c>
      <c r="E20" s="346"/>
      <c r="F20" s="292">
        <v>46.5</v>
      </c>
      <c r="G20" s="353">
        <f t="shared" si="4"/>
        <v>3.242451711875044E-2</v>
      </c>
      <c r="H20" s="235"/>
      <c r="I20" s="292">
        <v>46.5</v>
      </c>
      <c r="J20" s="353">
        <f t="shared" si="5"/>
        <v>3.3292761509271858E-2</v>
      </c>
      <c r="K20" s="355"/>
    </row>
    <row r="21" spans="1:11" x14ac:dyDescent="0.2">
      <c r="A21" s="640" t="s">
        <v>215</v>
      </c>
      <c r="B21" s="345"/>
      <c r="C21" s="292">
        <v>31</v>
      </c>
      <c r="D21" s="353">
        <f t="shared" si="3"/>
        <v>1.9985816517310299E-2</v>
      </c>
      <c r="E21" s="346"/>
      <c r="F21" s="292">
        <v>31</v>
      </c>
      <c r="G21" s="353">
        <f t="shared" si="4"/>
        <v>2.161634474583363E-2</v>
      </c>
      <c r="H21" s="354"/>
      <c r="I21" s="292">
        <v>31</v>
      </c>
      <c r="J21" s="353">
        <f t="shared" si="5"/>
        <v>2.2195174339514574E-2</v>
      </c>
      <c r="K21" s="355"/>
    </row>
    <row r="22" spans="1:11" x14ac:dyDescent="0.2">
      <c r="A22" s="640" t="s">
        <v>218</v>
      </c>
      <c r="B22" s="235"/>
      <c r="C22" s="291">
        <v>0</v>
      </c>
      <c r="D22" s="353">
        <f t="shared" si="3"/>
        <v>0</v>
      </c>
      <c r="E22" s="346"/>
      <c r="F22" s="291">
        <v>0</v>
      </c>
      <c r="G22" s="353">
        <f t="shared" si="4"/>
        <v>0</v>
      </c>
      <c r="H22" s="235"/>
      <c r="I22" s="291">
        <v>0</v>
      </c>
      <c r="J22" s="353">
        <f t="shared" si="5"/>
        <v>0</v>
      </c>
      <c r="K22" s="355"/>
    </row>
    <row r="23" spans="1:11" x14ac:dyDescent="0.2">
      <c r="A23" s="643" t="s">
        <v>50</v>
      </c>
      <c r="B23" s="360"/>
      <c r="C23" s="292">
        <v>124.1</v>
      </c>
      <c r="D23" s="353">
        <f t="shared" si="0"/>
        <v>8.0007736445103478E-2</v>
      </c>
      <c r="E23" s="346"/>
      <c r="F23" s="292">
        <v>124.1</v>
      </c>
      <c r="G23" s="353">
        <f t="shared" si="1"/>
        <v>8.653510912767591E-2</v>
      </c>
      <c r="H23" s="357"/>
      <c r="I23" s="292">
        <v>124.1</v>
      </c>
      <c r="J23" s="353">
        <f t="shared" si="2"/>
        <v>8.8852294694637374E-2</v>
      </c>
      <c r="K23" s="355"/>
    </row>
    <row r="24" spans="1:11" x14ac:dyDescent="0.2">
      <c r="A24" s="644" t="s">
        <v>309</v>
      </c>
      <c r="B24" s="235"/>
      <c r="C24" s="362">
        <f>SUM(C4:C23)</f>
        <v>1551.1</v>
      </c>
      <c r="D24" s="363">
        <f>SUM(D4:D23)</f>
        <v>1</v>
      </c>
      <c r="E24" s="346"/>
      <c r="F24" s="364">
        <f>SUM(F4:F23)</f>
        <v>1434.0999999999997</v>
      </c>
      <c r="G24" s="363">
        <f>SUM(G4:G23)</f>
        <v>1.0000000000000002</v>
      </c>
      <c r="H24" s="235"/>
      <c r="I24" s="364">
        <f>SUM(I4:I23)</f>
        <v>1396.6999999999998</v>
      </c>
      <c r="J24" s="365">
        <f>SUM(J4:J23)</f>
        <v>1.0000000000000002</v>
      </c>
      <c r="K24" s="366"/>
    </row>
    <row r="25" spans="1:11" x14ac:dyDescent="0.2">
      <c r="A25" s="643" t="s">
        <v>130</v>
      </c>
      <c r="B25" s="360"/>
      <c r="C25" s="292">
        <v>0</v>
      </c>
      <c r="D25" s="353"/>
      <c r="E25" s="346"/>
      <c r="F25" s="292">
        <v>0</v>
      </c>
      <c r="G25" s="353"/>
      <c r="H25" s="357"/>
      <c r="I25" s="292">
        <v>0</v>
      </c>
      <c r="J25" s="367"/>
      <c r="K25" s="355"/>
    </row>
    <row r="26" spans="1:11" x14ac:dyDescent="0.2">
      <c r="A26" s="640" t="s">
        <v>216</v>
      </c>
      <c r="B26" s="235"/>
      <c r="C26" s="291">
        <v>0</v>
      </c>
      <c r="D26" s="353"/>
      <c r="E26" s="346"/>
      <c r="F26" s="291">
        <v>0</v>
      </c>
      <c r="G26" s="353"/>
      <c r="H26" s="235"/>
      <c r="I26" s="291">
        <v>0</v>
      </c>
      <c r="J26" s="367"/>
      <c r="K26" s="355"/>
    </row>
    <row r="27" spans="1:11" x14ac:dyDescent="0.2">
      <c r="A27" s="640" t="s">
        <v>217</v>
      </c>
      <c r="B27" s="345"/>
      <c r="C27" s="292">
        <v>28.8</v>
      </c>
      <c r="D27" s="353"/>
      <c r="E27" s="346"/>
      <c r="F27" s="292">
        <v>28.8</v>
      </c>
      <c r="G27" s="353"/>
      <c r="H27" s="354"/>
      <c r="I27" s="292">
        <v>28.8</v>
      </c>
      <c r="J27" s="367"/>
      <c r="K27" s="355"/>
    </row>
    <row r="28" spans="1:11" x14ac:dyDescent="0.2">
      <c r="A28" s="640" t="s">
        <v>288</v>
      </c>
      <c r="B28" s="235"/>
      <c r="C28" s="291">
        <v>60</v>
      </c>
      <c r="D28" s="353"/>
      <c r="E28" s="346"/>
      <c r="F28" s="291">
        <v>60</v>
      </c>
      <c r="G28" s="353"/>
      <c r="H28" s="235"/>
      <c r="I28" s="291">
        <v>60</v>
      </c>
      <c r="J28" s="367"/>
      <c r="K28" s="355"/>
    </row>
    <row r="29" spans="1:11" x14ac:dyDescent="0.2">
      <c r="A29" s="645" t="s">
        <v>305</v>
      </c>
      <c r="B29" s="368"/>
      <c r="C29" s="369">
        <f>SUM(C24:C28)</f>
        <v>1639.8999999999999</v>
      </c>
      <c r="D29" s="370"/>
      <c r="E29" s="346"/>
      <c r="F29" s="369">
        <f>SUM(F24:F28)</f>
        <v>1522.8999999999996</v>
      </c>
      <c r="G29" s="370"/>
      <c r="H29" s="371"/>
      <c r="I29" s="369">
        <f>SUM(I24:I28)</f>
        <v>1485.4999999999998</v>
      </c>
      <c r="J29" s="372"/>
      <c r="K29" s="373"/>
    </row>
    <row r="30" spans="1:11" ht="13.5" thickBot="1" x14ac:dyDescent="0.25">
      <c r="A30" s="646" t="s">
        <v>315</v>
      </c>
      <c r="B30" s="374"/>
      <c r="C30" s="375"/>
      <c r="D30" s="375"/>
      <c r="E30" s="375"/>
      <c r="F30" s="376">
        <f>C29-F29</f>
        <v>117.00000000000023</v>
      </c>
      <c r="G30" s="377">
        <f>F30/C29</f>
        <v>7.1345813769132405E-2</v>
      </c>
      <c r="H30" s="378"/>
      <c r="I30" s="376">
        <f>C29-I29</f>
        <v>154.40000000000009</v>
      </c>
      <c r="J30" s="377">
        <f>I30/C29</f>
        <v>9.415208244405153E-2</v>
      </c>
      <c r="K30" s="379"/>
    </row>
    <row r="32" spans="1:11" x14ac:dyDescent="0.2">
      <c r="A32" s="338" t="s">
        <v>326</v>
      </c>
    </row>
    <row r="34" spans="1:11" x14ac:dyDescent="0.2">
      <c r="A34" s="338" t="s">
        <v>450</v>
      </c>
    </row>
    <row r="42" spans="1:11" x14ac:dyDescent="0.2">
      <c r="K42" s="367"/>
    </row>
  </sheetData>
  <mergeCells count="2">
    <mergeCell ref="F2:G2"/>
    <mergeCell ref="C2:D2"/>
  </mergeCells>
  <pageMargins left="0.7" right="0.7" top="0.75" bottom="0.75" header="0.3" footer="0.3"/>
  <pageSetup orientation="portrait" horizontalDpi="200" verticalDpi="200" r:id="rId1"/>
  <ignoredErrors>
    <ignoredError sqref="C24:I24" unlockedFormula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RS_1">
                <anchor moveWithCells="1" sizeWithCells="1">
                  <from>
                    <xdr:col>1</xdr:col>
                    <xdr:colOff>219075</xdr:colOff>
                    <xdr:row>34</xdr:row>
                    <xdr:rowOff>142875</xdr:rowOff>
                  </from>
                  <to>
                    <xdr:col>2</xdr:col>
                    <xdr:colOff>400050</xdr:colOff>
                    <xdr:row>38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Button 2">
              <controlPr defaultSize="0" print="0" autoFill="0" autoPict="0" macro="[0]!RS_2" altText="Record Scenario 2">
                <anchor moveWithCells="1" sizeWithCells="1">
                  <from>
                    <xdr:col>3</xdr:col>
                    <xdr:colOff>247650</xdr:colOff>
                    <xdr:row>34</xdr:row>
                    <xdr:rowOff>142875</xdr:rowOff>
                  </from>
                  <to>
                    <xdr:col>4</xdr:col>
                    <xdr:colOff>428625</xdr:colOff>
                    <xdr:row>38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Button 3">
              <controlPr defaultSize="0" print="0" autoFill="0" autoPict="0" macro="[0]!RS_3" altText="Record Scenario 2">
                <anchor moveWithCells="1" sizeWithCells="1">
                  <from>
                    <xdr:col>5</xdr:col>
                    <xdr:colOff>257175</xdr:colOff>
                    <xdr:row>34</xdr:row>
                    <xdr:rowOff>142875</xdr:rowOff>
                  </from>
                  <to>
                    <xdr:col>6</xdr:col>
                    <xdr:colOff>438150</xdr:colOff>
                    <xdr:row>38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5">
    <tabColor rgb="FF99CCFF"/>
  </sheetPr>
  <dimension ref="A1:S97"/>
  <sheetViews>
    <sheetView workbookViewId="0">
      <selection activeCell="J22" sqref="J22"/>
    </sheetView>
  </sheetViews>
  <sheetFormatPr defaultColWidth="9" defaultRowHeight="12.75" x14ac:dyDescent="0.2"/>
  <cols>
    <col min="1" max="1" width="20.125" style="217" customWidth="1"/>
    <col min="2" max="2" width="11.375" style="217" customWidth="1"/>
    <col min="3" max="3" width="29.625" style="217" bestFit="1" customWidth="1"/>
    <col min="4" max="4" width="15.375" style="217" bestFit="1" customWidth="1"/>
    <col min="5" max="5" width="13.625" style="217" bestFit="1" customWidth="1"/>
    <col min="6" max="6" width="20.125" style="217" bestFit="1" customWidth="1"/>
    <col min="7" max="7" width="16.125" style="217" bestFit="1" customWidth="1"/>
    <col min="8" max="10" width="9" style="217"/>
    <col min="11" max="11" width="12" style="217" customWidth="1"/>
    <col min="12" max="16384" width="9" style="217"/>
  </cols>
  <sheetData>
    <row r="1" spans="1:13" ht="13.5" thickBot="1" x14ac:dyDescent="0.25">
      <c r="E1" s="732"/>
      <c r="F1" s="732"/>
      <c r="G1" s="732"/>
      <c r="H1" s="732"/>
      <c r="I1" s="777"/>
    </row>
    <row r="2" spans="1:13" ht="13.5" thickBot="1" x14ac:dyDescent="0.25">
      <c r="A2" s="727"/>
      <c r="B2" s="778"/>
      <c r="C2" s="778"/>
      <c r="D2" s="778"/>
      <c r="E2" s="828" t="s">
        <v>476</v>
      </c>
      <c r="F2" s="778"/>
      <c r="G2" s="778"/>
      <c r="H2" s="778"/>
      <c r="I2" s="778"/>
      <c r="J2" s="778"/>
      <c r="K2" s="778"/>
      <c r="L2" s="778"/>
      <c r="M2" s="779"/>
    </row>
    <row r="3" spans="1:13" ht="13.5" thickBot="1" x14ac:dyDescent="0.25">
      <c r="E3" s="94"/>
    </row>
    <row r="4" spans="1:13" x14ac:dyDescent="0.2">
      <c r="A4" s="682"/>
      <c r="B4" s="767" t="s">
        <v>467</v>
      </c>
      <c r="C4" s="768"/>
      <c r="D4" s="767" t="s">
        <v>10</v>
      </c>
      <c r="E4" s="780"/>
      <c r="F4" s="718" t="s">
        <v>472</v>
      </c>
      <c r="G4" s="737"/>
      <c r="H4" s="64"/>
      <c r="I4" s="781"/>
      <c r="J4" s="781"/>
      <c r="K4" s="580"/>
      <c r="L4" s="580"/>
      <c r="M4" s="782"/>
    </row>
    <row r="5" spans="1:13" x14ac:dyDescent="0.2">
      <c r="A5" s="715" t="s">
        <v>70</v>
      </c>
      <c r="B5" s="783">
        <v>0.4</v>
      </c>
      <c r="C5" s="97"/>
      <c r="D5" s="738" t="s">
        <v>38</v>
      </c>
      <c r="E5" s="216"/>
      <c r="F5" s="97"/>
      <c r="G5" s="723" t="s">
        <v>57</v>
      </c>
      <c r="H5" s="46" t="s">
        <v>146</v>
      </c>
      <c r="I5" s="212"/>
      <c r="J5" s="212"/>
      <c r="K5" s="216"/>
      <c r="L5" s="216"/>
      <c r="M5" s="613"/>
    </row>
    <row r="6" spans="1:13" x14ac:dyDescent="0.2">
      <c r="A6" s="715" t="s">
        <v>33</v>
      </c>
      <c r="B6" s="783">
        <v>0.15</v>
      </c>
      <c r="C6" s="189" t="s">
        <v>70</v>
      </c>
      <c r="D6" s="730">
        <v>0.3</v>
      </c>
      <c r="E6" s="216" t="s">
        <v>545</v>
      </c>
      <c r="F6" s="89" t="s">
        <v>70</v>
      </c>
      <c r="G6" s="784">
        <v>0.9</v>
      </c>
      <c r="H6" s="46" t="s">
        <v>844</v>
      </c>
      <c r="I6" s="216"/>
      <c r="J6" s="97"/>
      <c r="K6" s="216"/>
      <c r="L6" s="216"/>
      <c r="M6" s="613"/>
    </row>
    <row r="7" spans="1:13" x14ac:dyDescent="0.2">
      <c r="A7" s="715" t="s">
        <v>209</v>
      </c>
      <c r="B7" s="783">
        <v>0.1</v>
      </c>
      <c r="C7" s="189" t="s">
        <v>33</v>
      </c>
      <c r="D7" s="730">
        <v>0.2</v>
      </c>
      <c r="E7" s="216" t="s">
        <v>545</v>
      </c>
      <c r="F7" s="89" t="s">
        <v>33</v>
      </c>
      <c r="G7" s="784">
        <v>0.9</v>
      </c>
      <c r="H7" s="785" t="s">
        <v>845</v>
      </c>
      <c r="I7" s="216"/>
      <c r="J7" s="97"/>
      <c r="K7" s="216"/>
      <c r="L7" s="216"/>
      <c r="M7" s="613"/>
    </row>
    <row r="8" spans="1:13" x14ac:dyDescent="0.2">
      <c r="A8" s="745" t="s">
        <v>206</v>
      </c>
      <c r="B8" s="786">
        <v>0</v>
      </c>
      <c r="C8" s="189" t="s">
        <v>96</v>
      </c>
      <c r="D8" s="730">
        <v>0</v>
      </c>
      <c r="E8" s="216" t="s">
        <v>545</v>
      </c>
      <c r="F8" s="89" t="s">
        <v>209</v>
      </c>
      <c r="G8" s="784">
        <v>0.9</v>
      </c>
      <c r="H8" s="785" t="s">
        <v>846</v>
      </c>
      <c r="I8" s="216"/>
      <c r="J8" s="97"/>
      <c r="K8" s="216"/>
      <c r="L8" s="216"/>
      <c r="M8" s="613"/>
    </row>
    <row r="9" spans="1:13" x14ac:dyDescent="0.2">
      <c r="A9" s="745" t="s">
        <v>207</v>
      </c>
      <c r="B9" s="786">
        <v>0</v>
      </c>
      <c r="C9" s="189" t="s">
        <v>88</v>
      </c>
      <c r="D9" s="730">
        <v>0.1</v>
      </c>
      <c r="E9" s="216" t="s">
        <v>545</v>
      </c>
      <c r="F9" s="97" t="s">
        <v>206</v>
      </c>
      <c r="G9" s="784">
        <v>0.9</v>
      </c>
      <c r="H9" s="216"/>
      <c r="I9" s="216"/>
      <c r="J9" s="97"/>
      <c r="K9" s="216"/>
      <c r="L9" s="216"/>
      <c r="M9" s="613"/>
    </row>
    <row r="10" spans="1:13" x14ac:dyDescent="0.2">
      <c r="A10" s="745" t="s">
        <v>208</v>
      </c>
      <c r="B10" s="786">
        <v>0</v>
      </c>
      <c r="C10" s="189" t="s">
        <v>98</v>
      </c>
      <c r="D10" s="730">
        <v>0.1</v>
      </c>
      <c r="E10" s="216" t="s">
        <v>545</v>
      </c>
      <c r="F10" s="97" t="s">
        <v>207</v>
      </c>
      <c r="G10" s="784">
        <v>0.9</v>
      </c>
      <c r="H10" s="216"/>
      <c r="I10" s="97"/>
      <c r="J10" s="216"/>
      <c r="K10" s="216"/>
      <c r="L10" s="216"/>
      <c r="M10" s="613"/>
    </row>
    <row r="11" spans="1:13" x14ac:dyDescent="0.2">
      <c r="A11" s="715" t="s">
        <v>88</v>
      </c>
      <c r="B11" s="783">
        <v>0.01</v>
      </c>
      <c r="C11" s="189" t="s">
        <v>99</v>
      </c>
      <c r="D11" s="730">
        <v>0.3</v>
      </c>
      <c r="E11" s="216" t="s">
        <v>545</v>
      </c>
      <c r="F11" s="97" t="s">
        <v>208</v>
      </c>
      <c r="G11" s="784">
        <v>0.9</v>
      </c>
      <c r="H11" s="216"/>
      <c r="I11" s="97"/>
      <c r="J11" s="212"/>
      <c r="K11" s="216"/>
      <c r="L11" s="216"/>
      <c r="M11" s="613"/>
    </row>
    <row r="12" spans="1:13" x14ac:dyDescent="0.2">
      <c r="A12" s="715" t="s">
        <v>98</v>
      </c>
      <c r="B12" s="783">
        <v>0.01</v>
      </c>
      <c r="C12" s="54" t="s">
        <v>92</v>
      </c>
      <c r="D12" s="765">
        <f>SUM(D6:D11)</f>
        <v>1</v>
      </c>
      <c r="E12" s="216"/>
      <c r="F12" s="89" t="s">
        <v>88</v>
      </c>
      <c r="G12" s="784">
        <v>0.9</v>
      </c>
      <c r="H12" s="216"/>
      <c r="I12" s="97"/>
      <c r="J12" s="212"/>
      <c r="K12" s="216"/>
      <c r="L12" s="216"/>
      <c r="M12" s="613"/>
    </row>
    <row r="13" spans="1:13" x14ac:dyDescent="0.2">
      <c r="A13" s="715" t="s">
        <v>99</v>
      </c>
      <c r="B13" s="783">
        <v>0.05</v>
      </c>
      <c r="C13" s="717"/>
      <c r="D13" s="299" t="str">
        <f>IF(D12=1,"","Total must add up to 100%")</f>
        <v/>
      </c>
      <c r="E13" s="216"/>
      <c r="F13" s="89" t="s">
        <v>98</v>
      </c>
      <c r="G13" s="784">
        <v>0.9</v>
      </c>
      <c r="H13" s="216"/>
      <c r="I13" s="97"/>
      <c r="J13" s="212"/>
      <c r="K13" s="216"/>
      <c r="L13" s="216"/>
      <c r="M13" s="613"/>
    </row>
    <row r="14" spans="1:13" x14ac:dyDescent="0.2">
      <c r="A14" s="715" t="s">
        <v>210</v>
      </c>
      <c r="B14" s="783">
        <v>0</v>
      </c>
      <c r="C14" s="769" t="s">
        <v>764</v>
      </c>
      <c r="D14" s="770">
        <v>0.7</v>
      </c>
      <c r="E14" s="216"/>
      <c r="F14" s="89" t="s">
        <v>99</v>
      </c>
      <c r="G14" s="784">
        <v>0.9</v>
      </c>
      <c r="H14" s="216"/>
      <c r="I14" s="97"/>
      <c r="J14" s="97"/>
      <c r="K14" s="216"/>
      <c r="L14" s="216"/>
      <c r="M14" s="613"/>
    </row>
    <row r="15" spans="1:13" x14ac:dyDescent="0.2">
      <c r="A15" s="715" t="s">
        <v>211</v>
      </c>
      <c r="B15" s="783">
        <v>0</v>
      </c>
      <c r="C15" s="769" t="s">
        <v>763</v>
      </c>
      <c r="D15" s="981" t="s">
        <v>810</v>
      </c>
      <c r="E15" s="216"/>
      <c r="F15" s="89" t="s">
        <v>210</v>
      </c>
      <c r="G15" s="784">
        <v>0.9</v>
      </c>
      <c r="H15" s="216"/>
      <c r="I15" s="97"/>
      <c r="J15" s="212"/>
      <c r="K15" s="216"/>
      <c r="L15" s="216"/>
      <c r="M15" s="613"/>
    </row>
    <row r="16" spans="1:13" x14ac:dyDescent="0.2">
      <c r="A16" s="715" t="s">
        <v>76</v>
      </c>
      <c r="B16" s="783">
        <v>0</v>
      </c>
      <c r="C16" s="769" t="s">
        <v>471</v>
      </c>
      <c r="D16" s="770">
        <v>0.25</v>
      </c>
      <c r="E16" s="216" t="s">
        <v>545</v>
      </c>
      <c r="F16" s="89" t="s">
        <v>211</v>
      </c>
      <c r="G16" s="784">
        <v>0.9</v>
      </c>
      <c r="H16" s="216"/>
      <c r="I16" s="97"/>
      <c r="J16" s="212"/>
      <c r="K16" s="216"/>
      <c r="L16" s="216"/>
      <c r="M16" s="613"/>
    </row>
    <row r="17" spans="1:13" x14ac:dyDescent="0.2">
      <c r="A17" s="715" t="s">
        <v>77</v>
      </c>
      <c r="B17" s="783">
        <v>0</v>
      </c>
      <c r="C17" s="769" t="s">
        <v>544</v>
      </c>
      <c r="D17" s="770">
        <v>0.89</v>
      </c>
      <c r="E17" s="216" t="s">
        <v>543</v>
      </c>
      <c r="F17" s="89" t="s">
        <v>76</v>
      </c>
      <c r="G17" s="784">
        <v>0.9</v>
      </c>
      <c r="H17" s="216"/>
      <c r="I17" s="97"/>
      <c r="J17" s="212"/>
      <c r="K17" s="216"/>
      <c r="L17" s="216"/>
      <c r="M17" s="613"/>
    </row>
    <row r="18" spans="1:13" x14ac:dyDescent="0.2">
      <c r="A18" s="715" t="s">
        <v>78</v>
      </c>
      <c r="B18" s="783">
        <v>0</v>
      </c>
      <c r="C18" s="216"/>
      <c r="E18" s="717"/>
      <c r="F18" s="89" t="s">
        <v>77</v>
      </c>
      <c r="G18" s="784">
        <v>0.9</v>
      </c>
      <c r="H18" s="216"/>
      <c r="I18" s="97"/>
      <c r="J18" s="212"/>
      <c r="K18" s="216"/>
      <c r="L18" s="216"/>
      <c r="M18" s="613"/>
    </row>
    <row r="19" spans="1:13" x14ac:dyDescent="0.2">
      <c r="A19" s="715" t="s">
        <v>212</v>
      </c>
      <c r="B19" s="783">
        <v>0.12</v>
      </c>
      <c r="D19" s="48" t="s">
        <v>288</v>
      </c>
      <c r="F19" s="89" t="s">
        <v>78</v>
      </c>
      <c r="G19" s="784">
        <v>0.9</v>
      </c>
      <c r="H19" s="216"/>
      <c r="I19" s="97"/>
      <c r="J19" s="212"/>
      <c r="K19" s="216"/>
      <c r="L19" s="216"/>
      <c r="M19" s="613"/>
    </row>
    <row r="20" spans="1:13" x14ac:dyDescent="0.2">
      <c r="A20" s="715" t="s">
        <v>310</v>
      </c>
      <c r="B20" s="783">
        <v>0.03</v>
      </c>
      <c r="C20" s="212" t="s">
        <v>296</v>
      </c>
      <c r="D20" s="787">
        <v>15</v>
      </c>
      <c r="E20" s="187" t="s">
        <v>94</v>
      </c>
      <c r="F20" s="97" t="s">
        <v>218</v>
      </c>
      <c r="G20" s="784">
        <v>0.9</v>
      </c>
      <c r="H20" s="216"/>
      <c r="I20" s="97"/>
      <c r="J20" s="212"/>
      <c r="K20" s="216"/>
      <c r="L20" s="216"/>
      <c r="M20" s="613"/>
    </row>
    <row r="21" spans="1:13" ht="13.5" customHeight="1" x14ac:dyDescent="0.2">
      <c r="A21" s="745" t="s">
        <v>214</v>
      </c>
      <c r="B21" s="783">
        <v>0.03</v>
      </c>
      <c r="C21" s="212" t="s">
        <v>294</v>
      </c>
      <c r="D21" s="787">
        <v>70000</v>
      </c>
      <c r="E21" s="187" t="s">
        <v>1</v>
      </c>
      <c r="F21" s="216"/>
      <c r="G21" s="216"/>
      <c r="H21" s="216"/>
      <c r="I21" s="97"/>
      <c r="J21" s="212"/>
      <c r="K21" s="216"/>
      <c r="L21" s="216"/>
      <c r="M21" s="613"/>
    </row>
    <row r="22" spans="1:13" x14ac:dyDescent="0.2">
      <c r="A22" s="745" t="s">
        <v>215</v>
      </c>
      <c r="B22" s="783">
        <v>0.02</v>
      </c>
      <c r="C22" s="212" t="s">
        <v>295</v>
      </c>
      <c r="D22" s="788">
        <f>CEILING('Data Input'!H11/D21,1)</f>
        <v>3</v>
      </c>
      <c r="E22" s="216"/>
      <c r="F22" s="216"/>
      <c r="G22" s="216"/>
      <c r="H22" s="216"/>
      <c r="I22" s="216"/>
      <c r="J22" s="216"/>
      <c r="K22" s="722"/>
      <c r="L22" s="216"/>
      <c r="M22" s="613"/>
    </row>
    <row r="23" spans="1:13" x14ac:dyDescent="0.2">
      <c r="A23" s="745" t="s">
        <v>218</v>
      </c>
      <c r="B23" s="786">
        <v>0</v>
      </c>
      <c r="C23" s="769" t="s">
        <v>413</v>
      </c>
      <c r="D23" s="771">
        <f>1/3</f>
        <v>0.33333333333333331</v>
      </c>
      <c r="E23" s="216" t="s">
        <v>543</v>
      </c>
      <c r="F23" s="216"/>
      <c r="G23" s="216"/>
      <c r="H23" s="216"/>
      <c r="I23" s="216"/>
      <c r="J23" s="216"/>
      <c r="K23" s="216"/>
      <c r="L23" s="216"/>
      <c r="M23" s="613"/>
    </row>
    <row r="24" spans="1:13" x14ac:dyDescent="0.2">
      <c r="A24" s="715" t="s">
        <v>50</v>
      </c>
      <c r="B24" s="789">
        <f>1-SUM(B5:B22)</f>
        <v>7.9999999999999849E-2</v>
      </c>
      <c r="C24" s="216"/>
      <c r="D24" s="216"/>
      <c r="E24" s="216"/>
      <c r="F24" s="216"/>
      <c r="G24" s="216"/>
      <c r="H24" s="216"/>
      <c r="I24" s="216"/>
      <c r="J24" s="216"/>
      <c r="K24" s="216"/>
      <c r="L24" s="216"/>
      <c r="M24" s="613"/>
    </row>
    <row r="25" spans="1:13" x14ac:dyDescent="0.2">
      <c r="A25" s="750" t="s">
        <v>464</v>
      </c>
      <c r="B25" s="790">
        <f>SUM(B5:B24)</f>
        <v>1</v>
      </c>
      <c r="C25" s="216"/>
      <c r="D25" s="216"/>
      <c r="E25" s="216"/>
      <c r="F25" s="216"/>
      <c r="G25" s="216"/>
      <c r="H25" s="216"/>
      <c r="I25" s="216"/>
      <c r="J25" s="216"/>
      <c r="K25" s="216"/>
      <c r="L25" s="216"/>
      <c r="M25" s="613"/>
    </row>
    <row r="26" spans="1:13" x14ac:dyDescent="0.2">
      <c r="A26" s="93"/>
      <c r="B26" s="216"/>
      <c r="C26" s="216"/>
      <c r="D26" s="216"/>
      <c r="E26" s="216"/>
      <c r="F26" s="216"/>
      <c r="G26" s="216"/>
      <c r="H26" s="216"/>
      <c r="I26" s="216"/>
      <c r="J26" s="216"/>
      <c r="K26" s="216"/>
      <c r="L26" s="216"/>
      <c r="M26" s="613"/>
    </row>
    <row r="27" spans="1:13" x14ac:dyDescent="0.2">
      <c r="A27" s="93"/>
      <c r="B27" s="48" t="s">
        <v>468</v>
      </c>
      <c r="C27" s="216"/>
      <c r="D27" s="216"/>
      <c r="E27" s="216"/>
      <c r="F27" s="216"/>
      <c r="G27" s="216"/>
      <c r="H27" s="216"/>
      <c r="I27" s="216"/>
      <c r="J27" s="216"/>
      <c r="K27" s="216"/>
      <c r="L27" s="216"/>
      <c r="M27" s="613"/>
    </row>
    <row r="28" spans="1:13" x14ac:dyDescent="0.2">
      <c r="A28" s="749" t="s">
        <v>454</v>
      </c>
      <c r="B28" s="770">
        <v>0.155</v>
      </c>
      <c r="C28" s="216" t="s">
        <v>417</v>
      </c>
      <c r="D28" s="216"/>
      <c r="E28" s="216"/>
      <c r="F28" s="216"/>
      <c r="G28" s="216"/>
      <c r="H28" s="216"/>
      <c r="I28" s="216"/>
      <c r="J28" s="216"/>
      <c r="K28" s="216"/>
      <c r="L28" s="216"/>
      <c r="M28" s="613"/>
    </row>
    <row r="29" spans="1:13" x14ac:dyDescent="0.2">
      <c r="A29" s="749" t="s">
        <v>73</v>
      </c>
      <c r="B29" s="730">
        <v>0.9</v>
      </c>
      <c r="C29" s="216"/>
      <c r="D29" s="216"/>
      <c r="E29" s="216"/>
      <c r="F29" s="216"/>
      <c r="G29" s="216"/>
      <c r="H29" s="216"/>
      <c r="I29" s="216"/>
      <c r="J29" s="216"/>
      <c r="K29" s="216"/>
      <c r="L29" s="216"/>
      <c r="M29" s="613"/>
    </row>
    <row r="30" spans="1:13" x14ac:dyDescent="0.2">
      <c r="A30" s="772" t="s">
        <v>459</v>
      </c>
      <c r="B30" s="787">
        <v>150000</v>
      </c>
      <c r="C30" s="216" t="s">
        <v>1</v>
      </c>
      <c r="D30" s="216"/>
      <c r="E30" s="216"/>
      <c r="F30" s="216"/>
      <c r="G30" s="216"/>
      <c r="H30" s="216"/>
      <c r="I30" s="216"/>
      <c r="J30" s="216"/>
      <c r="K30" s="216"/>
      <c r="L30" s="216"/>
      <c r="M30" s="613"/>
    </row>
    <row r="31" spans="1:13" x14ac:dyDescent="0.2">
      <c r="A31" s="773" t="s">
        <v>304</v>
      </c>
      <c r="B31" s="788">
        <f>CEILING('Data Input'!H11/B30,1)</f>
        <v>2</v>
      </c>
      <c r="C31" s="216"/>
      <c r="D31" s="216"/>
      <c r="E31" s="216"/>
      <c r="F31" s="216"/>
      <c r="G31" s="216"/>
      <c r="H31" s="216"/>
      <c r="I31" s="216"/>
      <c r="J31" s="216"/>
      <c r="K31" s="216"/>
      <c r="L31" s="216"/>
      <c r="M31" s="613"/>
    </row>
    <row r="32" spans="1:13" x14ac:dyDescent="0.2">
      <c r="A32" s="93"/>
      <c r="B32" s="784">
        <v>0.5</v>
      </c>
      <c r="C32" s="551" t="s">
        <v>473</v>
      </c>
      <c r="D32" s="216"/>
      <c r="E32" s="216"/>
      <c r="F32" s="216"/>
      <c r="G32" s="216"/>
      <c r="H32" s="216"/>
      <c r="I32" s="216"/>
      <c r="J32" s="216"/>
      <c r="K32" s="216"/>
      <c r="L32" s="216"/>
      <c r="M32" s="613"/>
    </row>
    <row r="33" spans="1:19" x14ac:dyDescent="0.2">
      <c r="A33" s="93"/>
      <c r="B33" s="216"/>
      <c r="C33" s="216"/>
      <c r="D33" s="216"/>
      <c r="E33" s="216"/>
      <c r="F33" s="216"/>
      <c r="G33" s="216"/>
      <c r="H33" s="216"/>
      <c r="I33" s="216"/>
      <c r="J33" s="216"/>
      <c r="K33" s="216"/>
      <c r="L33" s="94"/>
      <c r="M33" s="613"/>
    </row>
    <row r="34" spans="1:19" x14ac:dyDescent="0.2">
      <c r="A34" s="93"/>
      <c r="B34" s="20" t="s">
        <v>469</v>
      </c>
      <c r="C34" s="216"/>
      <c r="D34" s="216"/>
      <c r="E34" s="216"/>
      <c r="F34" s="216"/>
      <c r="G34" s="216"/>
      <c r="H34" s="216"/>
      <c r="I34" s="94"/>
      <c r="J34" s="94"/>
      <c r="K34" s="94"/>
      <c r="L34" s="94"/>
      <c r="M34" s="613"/>
    </row>
    <row r="35" spans="1:19" x14ac:dyDescent="0.2">
      <c r="A35" s="774" t="s">
        <v>455</v>
      </c>
      <c r="B35" s="786">
        <v>0.5</v>
      </c>
      <c r="C35" s="216"/>
      <c r="D35" s="216"/>
      <c r="E35" s="216"/>
      <c r="F35" s="216"/>
      <c r="G35" s="216"/>
      <c r="H35" s="216"/>
      <c r="I35" s="216"/>
      <c r="J35" s="216"/>
      <c r="K35" s="216"/>
      <c r="L35" s="216"/>
      <c r="M35" s="613"/>
    </row>
    <row r="36" spans="1:19" x14ac:dyDescent="0.2">
      <c r="A36" s="93"/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613"/>
    </row>
    <row r="37" spans="1:19" x14ac:dyDescent="0.2">
      <c r="A37" s="93"/>
      <c r="B37" s="20" t="s">
        <v>470</v>
      </c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613"/>
    </row>
    <row r="38" spans="1:19" x14ac:dyDescent="0.2">
      <c r="A38" s="93"/>
      <c r="B38" s="216" t="s">
        <v>152</v>
      </c>
      <c r="C38" s="216"/>
      <c r="D38" s="216"/>
      <c r="E38" s="216"/>
      <c r="F38" s="216"/>
      <c r="G38" s="216"/>
      <c r="H38" s="216"/>
      <c r="I38" s="216"/>
      <c r="J38" s="216"/>
      <c r="K38" s="216"/>
      <c r="L38" s="216"/>
      <c r="M38" s="613"/>
    </row>
    <row r="39" spans="1:19" x14ac:dyDescent="0.2">
      <c r="A39" s="775" t="s">
        <v>12</v>
      </c>
      <c r="B39" s="703">
        <f>42.5*0.75</f>
        <v>31.875</v>
      </c>
      <c r="C39" s="216" t="s">
        <v>152</v>
      </c>
      <c r="D39" s="216"/>
      <c r="E39" s="216"/>
      <c r="F39" s="216"/>
      <c r="G39" s="216"/>
      <c r="H39" s="216"/>
      <c r="I39" s="216"/>
      <c r="J39" s="216"/>
      <c r="K39" s="216"/>
      <c r="L39" s="216"/>
      <c r="M39" s="613"/>
    </row>
    <row r="40" spans="1:19" x14ac:dyDescent="0.2">
      <c r="A40" s="775" t="s">
        <v>365</v>
      </c>
      <c r="B40" s="703">
        <v>21.1</v>
      </c>
      <c r="C40" s="216" t="s">
        <v>152</v>
      </c>
      <c r="D40" s="216"/>
      <c r="E40" s="216"/>
      <c r="F40" s="216"/>
      <c r="G40" s="216"/>
      <c r="H40" s="216"/>
      <c r="I40" s="216"/>
      <c r="J40" s="216"/>
      <c r="K40" s="216"/>
      <c r="L40" s="216"/>
      <c r="M40" s="613"/>
    </row>
    <row r="41" spans="1:19" x14ac:dyDescent="0.2">
      <c r="A41" s="775" t="s">
        <v>104</v>
      </c>
      <c r="B41" s="703">
        <f>42.8*0.84</f>
        <v>35.951999999999998</v>
      </c>
      <c r="C41" s="216" t="s">
        <v>152</v>
      </c>
      <c r="D41" s="216"/>
      <c r="E41" s="216"/>
      <c r="F41" s="216"/>
      <c r="G41" s="216"/>
      <c r="H41" s="216"/>
      <c r="I41" s="216"/>
      <c r="J41" s="216"/>
      <c r="K41" s="216"/>
      <c r="L41" s="216"/>
      <c r="M41" s="613"/>
    </row>
    <row r="42" spans="1:19" ht="13.5" thickBot="1" x14ac:dyDescent="0.25">
      <c r="A42" s="776" t="s">
        <v>66</v>
      </c>
      <c r="B42" s="704">
        <v>32.64</v>
      </c>
      <c r="C42" s="686" t="s">
        <v>152</v>
      </c>
      <c r="D42" s="686"/>
      <c r="E42" s="686"/>
      <c r="F42" s="686"/>
      <c r="G42" s="686"/>
      <c r="H42" s="686"/>
      <c r="I42" s="686"/>
      <c r="J42" s="686"/>
      <c r="K42" s="686"/>
      <c r="L42" s="686"/>
      <c r="M42" s="791"/>
    </row>
    <row r="44" spans="1:19" ht="13.5" thickBot="1" x14ac:dyDescent="0.25">
      <c r="E44" s="681" t="s">
        <v>250</v>
      </c>
      <c r="F44" s="681"/>
      <c r="G44" s="681" t="s">
        <v>252</v>
      </c>
      <c r="H44" s="681"/>
      <c r="I44" s="681" t="s">
        <v>254</v>
      </c>
      <c r="J44" s="681"/>
      <c r="K44" s="681" t="s">
        <v>256</v>
      </c>
      <c r="L44" s="681"/>
      <c r="M44" s="681" t="s">
        <v>258</v>
      </c>
    </row>
    <row r="45" spans="1:19" ht="16.5" thickBot="1" x14ac:dyDescent="0.35">
      <c r="A45" s="448" t="s">
        <v>274</v>
      </c>
      <c r="D45" s="727" t="s">
        <v>453</v>
      </c>
      <c r="E45" s="728">
        <v>1.0003</v>
      </c>
      <c r="F45" s="728">
        <v>1.1554</v>
      </c>
      <c r="G45" s="728">
        <v>1</v>
      </c>
      <c r="H45" s="728">
        <v>0.94589999999999996</v>
      </c>
      <c r="I45" s="728">
        <v>1.0024</v>
      </c>
      <c r="J45" s="728">
        <v>1.0018</v>
      </c>
      <c r="K45" s="728">
        <v>1.0056</v>
      </c>
      <c r="L45" s="728">
        <v>1.0306999999999999</v>
      </c>
      <c r="M45" s="729">
        <v>1.1393</v>
      </c>
    </row>
    <row r="46" spans="1:19" x14ac:dyDescent="0.2">
      <c r="F46" s="681" t="s">
        <v>251</v>
      </c>
      <c r="G46" s="681"/>
      <c r="H46" s="681" t="s">
        <v>253</v>
      </c>
      <c r="I46" s="681"/>
      <c r="J46" s="681" t="s">
        <v>255</v>
      </c>
      <c r="K46" s="681"/>
      <c r="L46" s="681" t="s">
        <v>257</v>
      </c>
      <c r="M46" s="681"/>
    </row>
    <row r="47" spans="1:19" ht="16.5" thickBot="1" x14ac:dyDescent="0.35">
      <c r="B47" s="681" t="s">
        <v>351</v>
      </c>
      <c r="C47" s="681" t="s">
        <v>249</v>
      </c>
      <c r="D47" s="217" t="s">
        <v>453</v>
      </c>
    </row>
    <row r="48" spans="1:19" x14ac:dyDescent="0.2">
      <c r="A48" s="217" t="s">
        <v>233</v>
      </c>
      <c r="B48" s="792">
        <f>D48*C48</f>
        <v>8.1494921599999992E-2</v>
      </c>
      <c r="C48" s="793">
        <v>7.5999999999999998E-2</v>
      </c>
      <c r="D48" s="794">
        <f t="shared" ref="D48:D63" si="0">IF(SUMPRODUCT($E$45:$M$45,E48:M48)=0,1,SUMPRODUCT($E$45:$M$45,E48:M48))</f>
        <v>1.0723015999999999</v>
      </c>
      <c r="E48" s="795">
        <v>0</v>
      </c>
      <c r="F48" s="795">
        <v>0</v>
      </c>
      <c r="G48" s="795">
        <v>0.23799999999999999</v>
      </c>
      <c r="H48" s="795">
        <v>0.17499999999999999</v>
      </c>
      <c r="I48" s="795">
        <v>0</v>
      </c>
      <c r="J48" s="795">
        <v>0</v>
      </c>
      <c r="K48" s="795">
        <v>0</v>
      </c>
      <c r="L48" s="795">
        <v>0</v>
      </c>
      <c r="M48" s="796">
        <v>0.58699999999999997</v>
      </c>
      <c r="S48" s="702"/>
    </row>
    <row r="49" spans="1:19" x14ac:dyDescent="0.2">
      <c r="A49" s="217" t="s">
        <v>234</v>
      </c>
      <c r="B49" s="792">
        <f>D49*C49</f>
        <v>7.395915929999998E-2</v>
      </c>
      <c r="C49" s="797">
        <v>7.0999999999999994E-2</v>
      </c>
      <c r="D49" s="798">
        <f t="shared" si="0"/>
        <v>1.0416782999999998</v>
      </c>
      <c r="E49" s="799">
        <v>0</v>
      </c>
      <c r="F49" s="799">
        <v>0</v>
      </c>
      <c r="G49" s="799">
        <v>0.31900000000000001</v>
      </c>
      <c r="H49" s="799">
        <v>0.27500000000000002</v>
      </c>
      <c r="I49" s="799">
        <v>0</v>
      </c>
      <c r="J49" s="799">
        <v>0</v>
      </c>
      <c r="K49" s="799">
        <v>0</v>
      </c>
      <c r="L49" s="799">
        <v>0</v>
      </c>
      <c r="M49" s="800">
        <v>0.40599999999999992</v>
      </c>
      <c r="S49" s="94"/>
    </row>
    <row r="50" spans="1:19" x14ac:dyDescent="0.2">
      <c r="A50" s="217" t="s">
        <v>235</v>
      </c>
      <c r="B50" s="792">
        <f>D50*C50</f>
        <v>0.107</v>
      </c>
      <c r="C50" s="797">
        <v>0.107</v>
      </c>
      <c r="D50" s="798">
        <f t="shared" si="0"/>
        <v>1</v>
      </c>
      <c r="E50" s="799"/>
      <c r="F50" s="799"/>
      <c r="G50" s="799"/>
      <c r="H50" s="799"/>
      <c r="I50" s="799"/>
      <c r="J50" s="799"/>
      <c r="K50" s="799"/>
      <c r="L50" s="799"/>
      <c r="M50" s="800"/>
      <c r="S50" s="94"/>
    </row>
    <row r="51" spans="1:19" x14ac:dyDescent="0.2">
      <c r="A51" s="217" t="s">
        <v>236</v>
      </c>
      <c r="B51" s="792">
        <f>D51*C51</f>
        <v>7.0000000000000001E-3</v>
      </c>
      <c r="C51" s="797">
        <v>7.0000000000000001E-3</v>
      </c>
      <c r="D51" s="798">
        <f t="shared" si="0"/>
        <v>1</v>
      </c>
      <c r="E51" s="799"/>
      <c r="F51" s="799"/>
      <c r="G51" s="799"/>
      <c r="H51" s="799"/>
      <c r="I51" s="799"/>
      <c r="J51" s="799"/>
      <c r="K51" s="799"/>
      <c r="L51" s="799"/>
      <c r="M51" s="800"/>
      <c r="S51" s="702"/>
    </row>
    <row r="52" spans="1:19" x14ac:dyDescent="0.2">
      <c r="A52" s="217" t="s">
        <v>238</v>
      </c>
      <c r="B52" s="792">
        <f>D53*C53</f>
        <v>7.0000000000000001E-3</v>
      </c>
      <c r="C52" s="797">
        <v>1.4E-2</v>
      </c>
      <c r="D52" s="798">
        <f t="shared" si="0"/>
        <v>0.99871975000000002</v>
      </c>
      <c r="E52" s="799">
        <v>0</v>
      </c>
      <c r="F52" s="799">
        <v>0</v>
      </c>
      <c r="G52" s="799">
        <v>0.24249999999999999</v>
      </c>
      <c r="H52" s="799">
        <v>9.2499999999999999E-2</v>
      </c>
      <c r="I52" s="799">
        <v>0</v>
      </c>
      <c r="J52" s="799">
        <v>0</v>
      </c>
      <c r="K52" s="799">
        <v>0.66500000000000004</v>
      </c>
      <c r="L52" s="799">
        <v>0</v>
      </c>
      <c r="M52" s="800">
        <v>0</v>
      </c>
      <c r="S52" s="702"/>
    </row>
    <row r="53" spans="1:19" x14ac:dyDescent="0.2">
      <c r="A53" s="217" t="s">
        <v>237</v>
      </c>
      <c r="B53" s="792">
        <f>D52*C52</f>
        <v>1.3982076500000001E-2</v>
      </c>
      <c r="C53" s="797">
        <v>7.0000000000000001E-3</v>
      </c>
      <c r="D53" s="798">
        <f t="shared" si="0"/>
        <v>1</v>
      </c>
      <c r="E53" s="799"/>
      <c r="F53" s="799"/>
      <c r="G53" s="799"/>
      <c r="H53" s="799"/>
      <c r="I53" s="799"/>
      <c r="J53" s="799"/>
      <c r="K53" s="799"/>
      <c r="L53" s="799"/>
      <c r="M53" s="800"/>
      <c r="S53" s="801"/>
    </row>
    <row r="54" spans="1:19" x14ac:dyDescent="0.2">
      <c r="A54" s="217" t="s">
        <v>239</v>
      </c>
      <c r="B54" s="792">
        <f t="shared" ref="B54:B63" si="1">D54*C54</f>
        <v>1.3982076500000001E-2</v>
      </c>
      <c r="C54" s="797">
        <v>1.4E-2</v>
      </c>
      <c r="D54" s="798">
        <f t="shared" si="0"/>
        <v>0.99871975000000002</v>
      </c>
      <c r="E54" s="799">
        <v>0</v>
      </c>
      <c r="F54" s="799">
        <v>0</v>
      </c>
      <c r="G54" s="799">
        <v>0.24249999999999999</v>
      </c>
      <c r="H54" s="799">
        <v>9.2499999999999999E-2</v>
      </c>
      <c r="I54" s="799">
        <v>0</v>
      </c>
      <c r="J54" s="799">
        <v>0</v>
      </c>
      <c r="K54" s="799">
        <v>0.66500000000000004</v>
      </c>
      <c r="L54" s="799">
        <v>0</v>
      </c>
      <c r="M54" s="800">
        <v>0</v>
      </c>
      <c r="S54" s="801"/>
    </row>
    <row r="55" spans="1:19" x14ac:dyDescent="0.2">
      <c r="A55" s="217" t="s">
        <v>240</v>
      </c>
      <c r="B55" s="792">
        <f t="shared" si="1"/>
        <v>1.3982076500000001E-2</v>
      </c>
      <c r="C55" s="797">
        <v>1.4E-2</v>
      </c>
      <c r="D55" s="798">
        <f t="shared" si="0"/>
        <v>0.99871975000000002</v>
      </c>
      <c r="E55" s="799">
        <v>0</v>
      </c>
      <c r="F55" s="799">
        <v>0</v>
      </c>
      <c r="G55" s="799">
        <v>0.24249999999999999</v>
      </c>
      <c r="H55" s="799">
        <v>9.2499999999999999E-2</v>
      </c>
      <c r="I55" s="799">
        <v>0</v>
      </c>
      <c r="J55" s="799">
        <v>0</v>
      </c>
      <c r="K55" s="799">
        <v>0.66500000000000004</v>
      </c>
      <c r="L55" s="799">
        <v>0</v>
      </c>
      <c r="M55" s="800">
        <v>0</v>
      </c>
      <c r="S55" s="699"/>
    </row>
    <row r="56" spans="1:19" x14ac:dyDescent="0.2">
      <c r="A56" s="217" t="s">
        <v>241</v>
      </c>
      <c r="B56" s="792">
        <f t="shared" si="1"/>
        <v>1.1280079799999999E-2</v>
      </c>
      <c r="C56" s="797">
        <v>1.0999999999999999E-2</v>
      </c>
      <c r="D56" s="798">
        <f t="shared" si="0"/>
        <v>1.0254618</v>
      </c>
      <c r="E56" s="799">
        <v>0.36399999999999999</v>
      </c>
      <c r="F56" s="799">
        <v>0</v>
      </c>
      <c r="G56" s="799">
        <v>0.45400000000000001</v>
      </c>
      <c r="H56" s="799">
        <v>0</v>
      </c>
      <c r="I56" s="799">
        <v>0</v>
      </c>
      <c r="J56" s="799">
        <v>0</v>
      </c>
      <c r="K56" s="799">
        <v>0</v>
      </c>
      <c r="L56" s="799">
        <v>0</v>
      </c>
      <c r="M56" s="800">
        <v>0.18199999999999994</v>
      </c>
      <c r="S56" s="699"/>
    </row>
    <row r="57" spans="1:19" x14ac:dyDescent="0.2">
      <c r="A57" s="217" t="s">
        <v>242</v>
      </c>
      <c r="B57" s="792">
        <f t="shared" si="1"/>
        <v>7.235854500000001E-2</v>
      </c>
      <c r="C57" s="797">
        <v>7.0000000000000007E-2</v>
      </c>
      <c r="D57" s="798">
        <f t="shared" si="0"/>
        <v>1.0336935</v>
      </c>
      <c r="E57" s="799">
        <v>0</v>
      </c>
      <c r="F57" s="799">
        <v>0</v>
      </c>
      <c r="G57" s="799">
        <v>0.34300000000000003</v>
      </c>
      <c r="H57" s="799">
        <v>0.29899999999999999</v>
      </c>
      <c r="I57" s="799">
        <v>0</v>
      </c>
      <c r="J57" s="799">
        <v>0</v>
      </c>
      <c r="K57" s="799">
        <v>0</v>
      </c>
      <c r="L57" s="799">
        <v>0</v>
      </c>
      <c r="M57" s="800">
        <v>0.35799999999999998</v>
      </c>
      <c r="S57" s="94"/>
    </row>
    <row r="58" spans="1:19" x14ac:dyDescent="0.2">
      <c r="A58" s="217" t="s">
        <v>243</v>
      </c>
      <c r="B58" s="792">
        <f t="shared" si="1"/>
        <v>3.8802890000000007E-2</v>
      </c>
      <c r="C58" s="797">
        <v>3.5000000000000003E-2</v>
      </c>
      <c r="D58" s="798">
        <f t="shared" si="0"/>
        <v>1.108654</v>
      </c>
      <c r="E58" s="799">
        <v>0</v>
      </c>
      <c r="F58" s="799">
        <v>0</v>
      </c>
      <c r="G58" s="799">
        <v>0.22</v>
      </c>
      <c r="H58" s="799">
        <v>0</v>
      </c>
      <c r="I58" s="799">
        <v>0</v>
      </c>
      <c r="J58" s="799">
        <v>0</v>
      </c>
      <c r="K58" s="799">
        <v>0</v>
      </c>
      <c r="L58" s="799">
        <v>0</v>
      </c>
      <c r="M58" s="800">
        <v>0.78</v>
      </c>
      <c r="S58" s="94"/>
    </row>
    <row r="59" spans="1:19" x14ac:dyDescent="0.2">
      <c r="A59" s="217" t="s">
        <v>244</v>
      </c>
      <c r="B59" s="792">
        <f t="shared" si="1"/>
        <v>1.818405E-2</v>
      </c>
      <c r="C59" s="797">
        <v>1.7000000000000001E-2</v>
      </c>
      <c r="D59" s="798">
        <f t="shared" si="0"/>
        <v>1.06965</v>
      </c>
      <c r="E59" s="799">
        <v>0</v>
      </c>
      <c r="F59" s="799">
        <v>0</v>
      </c>
      <c r="G59" s="799">
        <v>0.5</v>
      </c>
      <c r="H59" s="799">
        <v>0</v>
      </c>
      <c r="I59" s="799">
        <v>0</v>
      </c>
      <c r="J59" s="799">
        <v>0</v>
      </c>
      <c r="K59" s="799">
        <v>0</v>
      </c>
      <c r="L59" s="799">
        <v>0</v>
      </c>
      <c r="M59" s="800">
        <v>0.5</v>
      </c>
    </row>
    <row r="60" spans="1:19" x14ac:dyDescent="0.2">
      <c r="A60" s="217" t="s">
        <v>245</v>
      </c>
      <c r="B60" s="792">
        <f t="shared" si="1"/>
        <v>0.19956061060999999</v>
      </c>
      <c r="C60" s="797">
        <v>0.18099999999999999</v>
      </c>
      <c r="D60" s="798">
        <f t="shared" si="0"/>
        <v>1.1025448099999999</v>
      </c>
      <c r="E60" s="799">
        <v>9.1999999999999998E-2</v>
      </c>
      <c r="F60" s="799">
        <v>0</v>
      </c>
      <c r="G60" s="799">
        <v>0.15329999999999999</v>
      </c>
      <c r="H60" s="799">
        <v>0</v>
      </c>
      <c r="I60" s="799">
        <v>0</v>
      </c>
      <c r="J60" s="799">
        <v>1.9E-2</v>
      </c>
      <c r="K60" s="799">
        <v>0</v>
      </c>
      <c r="L60" s="799">
        <v>0</v>
      </c>
      <c r="M60" s="800">
        <v>0.73570000000000002</v>
      </c>
    </row>
    <row r="61" spans="1:19" x14ac:dyDescent="0.2">
      <c r="A61" s="217" t="s">
        <v>246</v>
      </c>
      <c r="B61" s="792">
        <f t="shared" si="1"/>
        <v>0.122</v>
      </c>
      <c r="C61" s="797">
        <v>0.122</v>
      </c>
      <c r="D61" s="798">
        <f t="shared" si="0"/>
        <v>1</v>
      </c>
      <c r="E61" s="799"/>
      <c r="F61" s="799"/>
      <c r="G61" s="799"/>
      <c r="H61" s="799"/>
      <c r="I61" s="799"/>
      <c r="J61" s="799"/>
      <c r="K61" s="799"/>
      <c r="L61" s="799"/>
      <c r="M61" s="800"/>
    </row>
    <row r="62" spans="1:19" x14ac:dyDescent="0.2">
      <c r="A62" s="217" t="s">
        <v>247</v>
      </c>
      <c r="B62" s="792">
        <f t="shared" si="1"/>
        <v>0.11600000000000001</v>
      </c>
      <c r="C62" s="797">
        <v>0.11600000000000001</v>
      </c>
      <c r="D62" s="798">
        <f t="shared" si="0"/>
        <v>1</v>
      </c>
      <c r="E62" s="799"/>
      <c r="F62" s="799"/>
      <c r="G62" s="799"/>
      <c r="H62" s="799"/>
      <c r="I62" s="799"/>
      <c r="J62" s="799"/>
      <c r="K62" s="799"/>
      <c r="L62" s="799"/>
      <c r="M62" s="800"/>
    </row>
    <row r="63" spans="1:19" ht="13.5" thickBot="1" x14ac:dyDescent="0.25">
      <c r="A63" s="217" t="s">
        <v>248</v>
      </c>
      <c r="B63" s="792">
        <f t="shared" si="1"/>
        <v>0.14329214819999989</v>
      </c>
      <c r="C63" s="802">
        <v>0.1379999999999999</v>
      </c>
      <c r="D63" s="803">
        <f t="shared" si="0"/>
        <v>1.0383488999999999</v>
      </c>
      <c r="E63" s="804">
        <v>0</v>
      </c>
      <c r="F63" s="804">
        <v>0.18099999999999999</v>
      </c>
      <c r="G63" s="804">
        <v>1.4999999999999999E-2</v>
      </c>
      <c r="H63" s="804">
        <v>0</v>
      </c>
      <c r="I63" s="804">
        <v>0.51100000000000001</v>
      </c>
      <c r="J63" s="804">
        <v>0</v>
      </c>
      <c r="K63" s="804">
        <v>0</v>
      </c>
      <c r="L63" s="804">
        <v>0.29299999999999998</v>
      </c>
      <c r="M63" s="805">
        <v>0</v>
      </c>
    </row>
    <row r="64" spans="1:19" x14ac:dyDescent="0.2">
      <c r="A64" s="217" t="s">
        <v>14</v>
      </c>
      <c r="B64" s="896"/>
      <c r="C64" s="217">
        <f>SUM(C48:C63)</f>
        <v>1</v>
      </c>
      <c r="D64" s="897">
        <f>SUMPRODUCT(C48:C63,D48:D63)</f>
        <v>1.0398786340099997</v>
      </c>
      <c r="E64" s="607"/>
      <c r="F64" s="607"/>
      <c r="G64" s="607"/>
      <c r="H64" s="607"/>
      <c r="I64" s="682"/>
      <c r="J64" s="580"/>
      <c r="K64" s="806"/>
      <c r="L64" s="807" t="s">
        <v>352</v>
      </c>
      <c r="M64" s="782"/>
      <c r="N64" s="604"/>
    </row>
    <row r="65" spans="1:13" x14ac:dyDescent="0.2">
      <c r="G65" s="681" t="s">
        <v>273</v>
      </c>
      <c r="I65" s="93"/>
      <c r="J65" s="702"/>
      <c r="K65" s="769" t="str">
        <f>E44</f>
        <v>Blow Molding (HDPE)</v>
      </c>
      <c r="L65" s="808">
        <f>SUMPRODUCT($C$48:$C$63,E48:E63)</f>
        <v>2.0656000000000001E-2</v>
      </c>
      <c r="M65" s="613"/>
    </row>
    <row r="66" spans="1:13" ht="13.5" thickBot="1" x14ac:dyDescent="0.25">
      <c r="A66" s="448" t="s">
        <v>474</v>
      </c>
      <c r="D66" s="726" t="s">
        <v>475</v>
      </c>
      <c r="I66" s="93"/>
      <c r="J66" s="94"/>
      <c r="K66" s="769" t="str">
        <f>F46</f>
        <v>Calendaring (PVC)</v>
      </c>
      <c r="L66" s="808">
        <f>SUMPRODUCT($C$48:$C$63,F48:F63)</f>
        <v>2.4977999999999983E-2</v>
      </c>
      <c r="M66" s="613"/>
    </row>
    <row r="67" spans="1:13" x14ac:dyDescent="0.2">
      <c r="A67" s="682"/>
      <c r="B67" s="580" t="s">
        <v>292</v>
      </c>
      <c r="C67" s="580" t="s">
        <v>286</v>
      </c>
      <c r="D67" s="809" t="s">
        <v>293</v>
      </c>
      <c r="I67" s="93"/>
      <c r="J67" s="94"/>
      <c r="K67" s="769" t="str">
        <f>G44</f>
        <v>Compression Molding</v>
      </c>
      <c r="L67" s="808">
        <f>SUMPRODUCT($C$48:$C$63,G48:G63)</f>
        <v>0.12594329999999998</v>
      </c>
      <c r="M67" s="613"/>
    </row>
    <row r="68" spans="1:13" ht="13.5" thickBot="1" x14ac:dyDescent="0.25">
      <c r="A68" s="93" t="s">
        <v>275</v>
      </c>
      <c r="B68" s="810">
        <f ca="1">INDIRECT(ADDRESS(77+7*$F$73,2+$F$70))</f>
        <v>3.9</v>
      </c>
      <c r="C68" s="810">
        <f ca="1">INDIRECT(ADDRESS(77+7*$F$73,7))</f>
        <v>24</v>
      </c>
      <c r="D68" s="811">
        <v>8000</v>
      </c>
      <c r="F68" s="766" t="s">
        <v>29</v>
      </c>
      <c r="G68" s="121"/>
      <c r="I68" s="93"/>
      <c r="J68" s="702"/>
      <c r="K68" s="769" t="str">
        <f>H46</f>
        <v>Extrusion (HDPE)</v>
      </c>
      <c r="L68" s="808">
        <f>SUMPRODUCT($C$48:$C$63,H48:H63)</f>
        <v>5.7639999999999997E-2</v>
      </c>
      <c r="M68" s="613"/>
    </row>
    <row r="69" spans="1:13" x14ac:dyDescent="0.2">
      <c r="A69" s="93" t="s">
        <v>276</v>
      </c>
      <c r="B69" s="810">
        <f ca="1">INDIRECT(ADDRESS(78+7*$F$73,2+$F$70))</f>
        <v>0.9</v>
      </c>
      <c r="C69" s="810">
        <f ca="1">INDIRECT(ADDRESS(78+7*$F$73,7))</f>
        <v>3</v>
      </c>
      <c r="D69" s="811">
        <v>60000</v>
      </c>
      <c r="F69" s="66" t="s">
        <v>287</v>
      </c>
      <c r="G69" s="812"/>
      <c r="I69" s="93"/>
      <c r="J69" s="702"/>
      <c r="K69" s="769" t="str">
        <f>I44</f>
        <v>Extrusion (PVC)</v>
      </c>
      <c r="L69" s="808">
        <f>SUMPRODUCT($C$48:$C$63,I48:I63)</f>
        <v>7.0517999999999956E-2</v>
      </c>
      <c r="M69" s="613"/>
    </row>
    <row r="70" spans="1:13" ht="13.5" thickBot="1" x14ac:dyDescent="0.25">
      <c r="A70" s="93" t="s">
        <v>277</v>
      </c>
      <c r="B70" s="810">
        <f ca="1">INDIRECT(ADDRESS(79+7*$F$73,2+$F$70))</f>
        <v>10.9</v>
      </c>
      <c r="C70" s="810">
        <f ca="1">INDIRECT(ADDRESS(79+7*$F$73,7))</f>
        <v>1</v>
      </c>
      <c r="D70" s="811"/>
      <c r="F70" s="813">
        <f>IF('Data Input'!H4="ICEV-G",0,IF('Data Input'!H4="HEV",1,IF('Data Input'!H4="FCV",2,IF('Data Input'!H4="ICEV-D",0,IF('Data Input'!H4="BEV",4,3)))))</f>
        <v>0</v>
      </c>
      <c r="G70" s="814"/>
      <c r="I70" s="93"/>
      <c r="J70" s="801"/>
      <c r="K70" s="769" t="str">
        <f>J46</f>
        <v>Extrusion (PP)</v>
      </c>
      <c r="L70" s="808">
        <f>SUMPRODUCT($C$48:$C$63,J48:J63)</f>
        <v>3.4389999999999998E-3</v>
      </c>
      <c r="M70" s="613"/>
    </row>
    <row r="71" spans="1:13" ht="13.5" thickBot="1" x14ac:dyDescent="0.25">
      <c r="A71" s="93" t="s">
        <v>278</v>
      </c>
      <c r="B71" s="810">
        <f ca="1">INDIRECT(ADDRESS(80+7*$F$73,2+$F$70))</f>
        <v>10.4</v>
      </c>
      <c r="C71" s="810">
        <f ca="1">INDIRECT(ADDRESS(80+7*$F$73,7))</f>
        <v>3</v>
      </c>
      <c r="D71" s="811">
        <v>60000</v>
      </c>
      <c r="I71" s="93"/>
      <c r="J71" s="801"/>
      <c r="K71" s="769" t="str">
        <f>K44</f>
        <v>Injection Molding (HDPE)</v>
      </c>
      <c r="L71" s="808">
        <f>SUMPRODUCT($C$48:$C$63,K48:K63)</f>
        <v>2.7930000000000003E-2</v>
      </c>
      <c r="M71" s="613"/>
    </row>
    <row r="72" spans="1:13" x14ac:dyDescent="0.2">
      <c r="A72" s="93" t="s">
        <v>279</v>
      </c>
      <c r="B72" s="810">
        <f ca="1">INDIRECT(ADDRESS(81+7*$F$73,2+$F$70))</f>
        <v>2.7</v>
      </c>
      <c r="C72" s="810">
        <f ca="1">INDIRECT(ADDRESS(81+7*$F$73,7))</f>
        <v>12</v>
      </c>
      <c r="D72" s="811">
        <v>16000</v>
      </c>
      <c r="F72" s="68" t="s">
        <v>120</v>
      </c>
      <c r="G72" s="812"/>
      <c r="I72" s="93"/>
      <c r="J72" s="699"/>
      <c r="K72" s="769" t="str">
        <f>L46</f>
        <v>Injection Molding (PVC)</v>
      </c>
      <c r="L72" s="808">
        <f>SUMPRODUCT($C$48:$C$63,L48:L63)</f>
        <v>4.043399999999997E-2</v>
      </c>
      <c r="M72" s="613"/>
    </row>
    <row r="73" spans="1:13" ht="13.5" thickBot="1" x14ac:dyDescent="0.25">
      <c r="A73" s="685" t="s">
        <v>14</v>
      </c>
      <c r="B73" s="815">
        <f ca="1">INDIRECT(ADDRESS(82+7*$F$73,2+$F$70))</f>
        <v>28.8</v>
      </c>
      <c r="C73" s="686"/>
      <c r="D73" s="791"/>
      <c r="F73" s="813">
        <f>IF(OR('Data Input'!H6="Compact",'Data Input'!H6="FSV A-Class"),0,IF('Data Input'!H6="SUV",2,IF(OR('Data Input'!H6="Mid-Size",'Data Input'!H6="FSV C-Class"),1,"")))</f>
        <v>0</v>
      </c>
      <c r="G73" s="814"/>
      <c r="I73" s="685"/>
      <c r="J73" s="816"/>
      <c r="K73" s="817" t="s">
        <v>258</v>
      </c>
      <c r="L73" s="818">
        <f>SUMPRODUCT($C$48:$C$63,M48:M63)</f>
        <v>0.26946170000000003</v>
      </c>
      <c r="M73" s="791"/>
    </row>
    <row r="74" spans="1:13" ht="13.5" thickBot="1" x14ac:dyDescent="0.25">
      <c r="I74" s="216"/>
      <c r="J74" s="819"/>
      <c r="K74" s="216"/>
      <c r="L74" s="216"/>
      <c r="M74" s="216"/>
    </row>
    <row r="75" spans="1:13" x14ac:dyDescent="0.2">
      <c r="A75" s="820" t="s">
        <v>290</v>
      </c>
      <c r="B75" s="780" t="s">
        <v>280</v>
      </c>
      <c r="C75" s="780" t="s">
        <v>281</v>
      </c>
      <c r="D75" s="780" t="s">
        <v>284</v>
      </c>
      <c r="E75" s="780" t="s">
        <v>282</v>
      </c>
      <c r="F75" s="780" t="s">
        <v>283</v>
      </c>
      <c r="G75" s="821" t="s">
        <v>286</v>
      </c>
      <c r="I75" s="216"/>
      <c r="J75" s="216"/>
      <c r="K75" s="216"/>
      <c r="L75" s="216"/>
      <c r="M75" s="216"/>
    </row>
    <row r="76" spans="1:13" x14ac:dyDescent="0.2">
      <c r="A76" s="690" t="s">
        <v>285</v>
      </c>
      <c r="B76" s="94"/>
      <c r="C76" s="94"/>
      <c r="D76" s="94"/>
      <c r="E76" s="94"/>
      <c r="F76" s="94"/>
      <c r="G76" s="822"/>
      <c r="I76" s="216"/>
      <c r="J76" s="216"/>
      <c r="K76" s="216"/>
      <c r="L76" s="216"/>
      <c r="M76" s="216"/>
    </row>
    <row r="77" spans="1:13" x14ac:dyDescent="0.2">
      <c r="A77" s="690" t="s">
        <v>275</v>
      </c>
      <c r="B77" s="823">
        <v>3.9</v>
      </c>
      <c r="C77" s="823">
        <v>3.9</v>
      </c>
      <c r="D77" s="823">
        <v>0</v>
      </c>
      <c r="E77" s="823">
        <v>3.9</v>
      </c>
      <c r="F77" s="823">
        <v>0</v>
      </c>
      <c r="G77" s="824">
        <f>CEILING('Data Input'!$H$11/'Expert Data Input'!D68,1)-1</f>
        <v>24</v>
      </c>
      <c r="I77" s="216"/>
      <c r="J77" s="216"/>
      <c r="K77" s="216"/>
      <c r="L77" s="216"/>
      <c r="M77" s="216"/>
    </row>
    <row r="78" spans="1:13" x14ac:dyDescent="0.2">
      <c r="A78" s="690" t="s">
        <v>276</v>
      </c>
      <c r="B78" s="823">
        <v>0.9</v>
      </c>
      <c r="C78" s="823">
        <v>0.9</v>
      </c>
      <c r="D78" s="823">
        <v>0.9</v>
      </c>
      <c r="E78" s="823">
        <v>0.9</v>
      </c>
      <c r="F78" s="823">
        <v>0.9</v>
      </c>
      <c r="G78" s="824">
        <f>CEILING('Data Input'!$H$11/'Expert Data Input'!D69,1)-1</f>
        <v>3</v>
      </c>
      <c r="I78" s="216"/>
      <c r="J78" s="216"/>
      <c r="K78" s="216"/>
      <c r="L78" s="216"/>
      <c r="M78" s="216"/>
    </row>
    <row r="79" spans="1:13" x14ac:dyDescent="0.2">
      <c r="A79" s="690" t="s">
        <v>277</v>
      </c>
      <c r="B79" s="823">
        <v>10.9</v>
      </c>
      <c r="C79" s="823">
        <v>0.8</v>
      </c>
      <c r="D79" s="823">
        <v>0.8</v>
      </c>
      <c r="E79" s="823">
        <v>0.8</v>
      </c>
      <c r="F79" s="823">
        <v>0.8</v>
      </c>
      <c r="G79" s="824">
        <v>1</v>
      </c>
      <c r="I79" s="216"/>
      <c r="J79" s="216"/>
      <c r="K79" s="216"/>
      <c r="L79" s="216"/>
      <c r="M79" s="216"/>
    </row>
    <row r="80" spans="1:13" x14ac:dyDescent="0.2">
      <c r="A80" s="690" t="s">
        <v>278</v>
      </c>
      <c r="B80" s="823">
        <v>10.4</v>
      </c>
      <c r="C80" s="823">
        <v>10.4</v>
      </c>
      <c r="D80" s="823">
        <v>7.1</v>
      </c>
      <c r="E80" s="823">
        <v>10.4</v>
      </c>
      <c r="F80" s="823">
        <v>7.1</v>
      </c>
      <c r="G80" s="824">
        <f>CEILING('Data Input'!$H$11/'Expert Data Input'!D71,1)-1</f>
        <v>3</v>
      </c>
    </row>
    <row r="81" spans="1:7" x14ac:dyDescent="0.2">
      <c r="A81" s="690" t="s">
        <v>279</v>
      </c>
      <c r="B81" s="823">
        <v>2.7</v>
      </c>
      <c r="C81" s="823">
        <v>2.7</v>
      </c>
      <c r="D81" s="823">
        <v>2.7</v>
      </c>
      <c r="E81" s="823">
        <v>2.7</v>
      </c>
      <c r="F81" s="823">
        <v>2.7</v>
      </c>
      <c r="G81" s="824">
        <f>CEILING('Data Input'!$H$11/'Expert Data Input'!D72,1)-1</f>
        <v>12</v>
      </c>
    </row>
    <row r="82" spans="1:7" ht="13.5" thickBot="1" x14ac:dyDescent="0.25">
      <c r="A82" s="691" t="s">
        <v>14</v>
      </c>
      <c r="B82" s="825">
        <f>SUM(B77:B81)</f>
        <v>28.8</v>
      </c>
      <c r="C82" s="825">
        <f>SUM(C77:C81)</f>
        <v>18.7</v>
      </c>
      <c r="D82" s="825">
        <f>SUM(D77:D81)</f>
        <v>11.5</v>
      </c>
      <c r="E82" s="825">
        <f>SUM(E77:E81)</f>
        <v>18.7</v>
      </c>
      <c r="F82" s="825">
        <f>SUM(F77:F81)</f>
        <v>11.5</v>
      </c>
      <c r="G82" s="826"/>
    </row>
    <row r="83" spans="1:7" x14ac:dyDescent="0.2">
      <c r="A83" s="827" t="s">
        <v>289</v>
      </c>
      <c r="B83" s="780"/>
      <c r="C83" s="780"/>
      <c r="D83" s="780"/>
      <c r="E83" s="780"/>
      <c r="F83" s="780"/>
      <c r="G83" s="822"/>
    </row>
    <row r="84" spans="1:7" x14ac:dyDescent="0.2">
      <c r="A84" s="690" t="s">
        <v>275</v>
      </c>
      <c r="B84" s="823">
        <v>3.9</v>
      </c>
      <c r="C84" s="823">
        <v>3.9</v>
      </c>
      <c r="D84" s="823">
        <v>0</v>
      </c>
      <c r="E84" s="823">
        <v>3.9</v>
      </c>
      <c r="F84" s="823">
        <v>0</v>
      </c>
      <c r="G84" s="824">
        <f>CEILING('Data Input'!$H$11/'Expert Data Input'!D68,1)-1</f>
        <v>24</v>
      </c>
    </row>
    <row r="85" spans="1:7" x14ac:dyDescent="0.2">
      <c r="A85" s="690" t="s">
        <v>276</v>
      </c>
      <c r="B85" s="823">
        <v>0.9</v>
      </c>
      <c r="C85" s="823">
        <v>0.9</v>
      </c>
      <c r="D85" s="823">
        <v>0.9</v>
      </c>
      <c r="E85" s="823">
        <v>0.9</v>
      </c>
      <c r="F85" s="823">
        <v>0.9</v>
      </c>
      <c r="G85" s="824">
        <f>CEILING('Data Input'!$H$11/'Expert Data Input'!D69,1)-1</f>
        <v>3</v>
      </c>
    </row>
    <row r="86" spans="1:7" x14ac:dyDescent="0.2">
      <c r="A86" s="690" t="s">
        <v>277</v>
      </c>
      <c r="B86" s="823">
        <v>10.9</v>
      </c>
      <c r="C86" s="823">
        <v>0.8</v>
      </c>
      <c r="D86" s="823">
        <v>0.8</v>
      </c>
      <c r="E86" s="823">
        <v>0.8</v>
      </c>
      <c r="F86" s="823">
        <v>0.8</v>
      </c>
      <c r="G86" s="824">
        <v>1</v>
      </c>
    </row>
    <row r="87" spans="1:7" x14ac:dyDescent="0.2">
      <c r="A87" s="690" t="s">
        <v>278</v>
      </c>
      <c r="B87" s="823">
        <v>10.4</v>
      </c>
      <c r="C87" s="823">
        <v>10.4</v>
      </c>
      <c r="D87" s="823">
        <v>7.1</v>
      </c>
      <c r="E87" s="823">
        <v>10.4</v>
      </c>
      <c r="F87" s="823">
        <v>7.1</v>
      </c>
      <c r="G87" s="824">
        <f>CEILING('Data Input'!$H$11/'Expert Data Input'!D71,1)-1</f>
        <v>3</v>
      </c>
    </row>
    <row r="88" spans="1:7" x14ac:dyDescent="0.2">
      <c r="A88" s="690" t="s">
        <v>279</v>
      </c>
      <c r="B88" s="823">
        <v>2.7</v>
      </c>
      <c r="C88" s="823">
        <v>2.7</v>
      </c>
      <c r="D88" s="823">
        <v>2.7</v>
      </c>
      <c r="E88" s="823">
        <v>2.7</v>
      </c>
      <c r="F88" s="823">
        <v>2.7</v>
      </c>
      <c r="G88" s="824">
        <f>CEILING('Data Input'!$H$11/'Expert Data Input'!D72,1)-1</f>
        <v>12</v>
      </c>
    </row>
    <row r="89" spans="1:7" ht="13.5" thickBot="1" x14ac:dyDescent="0.25">
      <c r="A89" s="691" t="s">
        <v>14</v>
      </c>
      <c r="B89" s="825">
        <f>SUM(B84:B88)</f>
        <v>28.8</v>
      </c>
      <c r="C89" s="825">
        <f t="shared" ref="C89" si="2">SUM(C84:C88)</f>
        <v>18.7</v>
      </c>
      <c r="D89" s="825">
        <f>SUM(D84:D88)</f>
        <v>11.5</v>
      </c>
      <c r="E89" s="825">
        <f>SUM(E84:E88)</f>
        <v>18.7</v>
      </c>
      <c r="F89" s="825">
        <f>SUM(F84:F88)</f>
        <v>11.5</v>
      </c>
      <c r="G89" s="826"/>
    </row>
    <row r="90" spans="1:7" x14ac:dyDescent="0.2">
      <c r="A90" s="820" t="s">
        <v>291</v>
      </c>
      <c r="B90" s="780"/>
      <c r="C90" s="780"/>
      <c r="D90" s="780"/>
      <c r="E90" s="780"/>
      <c r="F90" s="780"/>
      <c r="G90" s="821"/>
    </row>
    <row r="91" spans="1:7" x14ac:dyDescent="0.2">
      <c r="A91" s="690" t="s">
        <v>275</v>
      </c>
      <c r="B91" s="823">
        <v>4.9000000000000004</v>
      </c>
      <c r="C91" s="823">
        <v>4.9000000000000004</v>
      </c>
      <c r="D91" s="823">
        <v>0</v>
      </c>
      <c r="E91" s="823">
        <v>4.9000000000000004</v>
      </c>
      <c r="F91" s="823">
        <v>0</v>
      </c>
      <c r="G91" s="824">
        <f>CEILING('Data Input'!$H$11/'Expert Data Input'!D68,1)-1</f>
        <v>24</v>
      </c>
    </row>
    <row r="92" spans="1:7" x14ac:dyDescent="0.2">
      <c r="A92" s="690" t="s">
        <v>276</v>
      </c>
      <c r="B92" s="823">
        <v>0.9</v>
      </c>
      <c r="C92" s="823">
        <v>0.9</v>
      </c>
      <c r="D92" s="823">
        <v>0.9</v>
      </c>
      <c r="E92" s="823">
        <v>0.9</v>
      </c>
      <c r="F92" s="823">
        <v>0.9</v>
      </c>
      <c r="G92" s="824">
        <f>CEILING('Data Input'!$H$11/'Expert Data Input'!D69,1)-1</f>
        <v>3</v>
      </c>
    </row>
    <row r="93" spans="1:7" x14ac:dyDescent="0.2">
      <c r="A93" s="690" t="s">
        <v>277</v>
      </c>
      <c r="B93" s="823">
        <v>14.3</v>
      </c>
      <c r="C93" s="823">
        <v>1.1000000000000001</v>
      </c>
      <c r="D93" s="823">
        <v>1.1000000000000001</v>
      </c>
      <c r="E93" s="823">
        <v>1.1000000000000001</v>
      </c>
      <c r="F93" s="823">
        <v>1.1000000000000001</v>
      </c>
      <c r="G93" s="824">
        <v>1</v>
      </c>
    </row>
    <row r="94" spans="1:7" x14ac:dyDescent="0.2">
      <c r="A94" s="690" t="s">
        <v>278</v>
      </c>
      <c r="B94" s="823">
        <v>13.2</v>
      </c>
      <c r="C94" s="823">
        <v>13.2</v>
      </c>
      <c r="D94" s="823">
        <v>9.1</v>
      </c>
      <c r="E94" s="823">
        <v>13.2</v>
      </c>
      <c r="F94" s="823">
        <v>9.1</v>
      </c>
      <c r="G94" s="824">
        <f>CEILING('Data Input'!$H$11/'Expert Data Input'!D71,1)-1</f>
        <v>3</v>
      </c>
    </row>
    <row r="95" spans="1:7" x14ac:dyDescent="0.2">
      <c r="A95" s="690" t="s">
        <v>279</v>
      </c>
      <c r="B95" s="823">
        <v>4.8</v>
      </c>
      <c r="C95" s="823">
        <v>4.8</v>
      </c>
      <c r="D95" s="823">
        <v>4.8</v>
      </c>
      <c r="E95" s="823">
        <v>4.8</v>
      </c>
      <c r="F95" s="823">
        <v>4.8</v>
      </c>
      <c r="G95" s="824">
        <f>CEILING('Data Input'!$H$11/'Expert Data Input'!D72,1)-1</f>
        <v>12</v>
      </c>
    </row>
    <row r="96" spans="1:7" ht="13.5" thickBot="1" x14ac:dyDescent="0.25">
      <c r="A96" s="691" t="s">
        <v>14</v>
      </c>
      <c r="B96" s="825">
        <f>SUM(B91:B95)</f>
        <v>38.099999999999994</v>
      </c>
      <c r="C96" s="825">
        <f t="shared" ref="C96" si="3">SUM(C91:C95)</f>
        <v>24.900000000000002</v>
      </c>
      <c r="D96" s="825">
        <f>SUM(D91:D95)</f>
        <v>15.899999999999999</v>
      </c>
      <c r="E96" s="825">
        <f>SUM(E91:E95)</f>
        <v>24.900000000000002</v>
      </c>
      <c r="F96" s="825">
        <f>SUM(F91:F95)</f>
        <v>15.899999999999999</v>
      </c>
      <c r="G96" s="826"/>
    </row>
    <row r="97" spans="7:7" x14ac:dyDescent="0.2">
      <c r="G97" s="681" t="s">
        <v>273</v>
      </c>
    </row>
  </sheetData>
  <dataValidations count="2">
    <dataValidation type="decimal" allowBlank="1" showInputMessage="1" showErrorMessage="1" errorTitle="Valid data range is 0 - 1" error="Alpha and Beta are factors in the range 0 - 1 only." sqref="G6:G20" xr:uid="{00000000-0002-0000-0300-000000000000}">
      <formula1>0</formula1>
      <formula2>1</formula2>
    </dataValidation>
    <dataValidation type="list" allowBlank="1" showInputMessage="1" showErrorMessage="1" sqref="D15" xr:uid="{00000000-0002-0000-0300-000001000000}">
      <formula1>"Global, RoW (excluding China)"</formula1>
    </dataValidation>
  </dataValidations>
  <pageMargins left="0.7" right="0.7" top="0.75" bottom="0.75" header="0.3" footer="0.3"/>
  <pageSetup orientation="portrait" r:id="rId1"/>
  <ignoredErrors>
    <ignoredError sqref="D12:D13" unlockedFormula="1"/>
    <ignoredError sqref="B24" formulaRange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4"/>
  <dimension ref="A1:S142"/>
  <sheetViews>
    <sheetView zoomScaleNormal="100" workbookViewId="0">
      <selection activeCell="W32" sqref="W32"/>
    </sheetView>
  </sheetViews>
  <sheetFormatPr defaultColWidth="9" defaultRowHeight="12.75" x14ac:dyDescent="0.2"/>
  <cols>
    <col min="1" max="1" width="22.75" style="298" customWidth="1"/>
    <col min="2" max="4" width="9.125" style="298" customWidth="1"/>
    <col min="5" max="5" width="9.125" style="149" customWidth="1"/>
    <col min="6" max="6" width="1.625" style="149" customWidth="1"/>
    <col min="7" max="7" width="1.625" style="431" customWidth="1"/>
    <col min="8" max="10" width="9.125" style="298" customWidth="1"/>
    <col min="11" max="11" width="9.125" style="149" customWidth="1"/>
    <col min="12" max="12" width="1.625" style="149" customWidth="1"/>
    <col min="13" max="13" width="1.625" style="431" customWidth="1"/>
    <col min="14" max="16" width="9.125" style="298" customWidth="1"/>
    <col min="17" max="17" width="9.125" style="149" customWidth="1"/>
    <col min="18" max="18" width="1.625" style="307" customWidth="1"/>
    <col min="19" max="16384" width="9" style="298"/>
  </cols>
  <sheetData>
    <row r="1" spans="1:18" s="302" customFormat="1" x14ac:dyDescent="0.2">
      <c r="A1" s="24"/>
      <c r="B1" s="1170" t="s">
        <v>318</v>
      </c>
      <c r="C1" s="1170"/>
      <c r="D1" s="1170"/>
      <c r="E1" s="1170"/>
      <c r="F1" s="401"/>
      <c r="G1" s="402"/>
      <c r="H1" s="1170" t="s">
        <v>319</v>
      </c>
      <c r="I1" s="1170"/>
      <c r="J1" s="1170"/>
      <c r="K1" s="1170"/>
      <c r="L1" s="401"/>
      <c r="M1" s="402"/>
      <c r="N1" s="1170" t="s">
        <v>320</v>
      </c>
      <c r="O1" s="1170"/>
      <c r="P1" s="1170"/>
      <c r="Q1" s="1171"/>
      <c r="R1" s="437"/>
    </row>
    <row r="15" spans="1:18" x14ac:dyDescent="0.2">
      <c r="A15" s="101"/>
      <c r="B15" s="101"/>
      <c r="C15" s="101"/>
      <c r="D15" s="101"/>
      <c r="E15" s="94"/>
      <c r="F15" s="94"/>
      <c r="G15" s="427"/>
      <c r="H15" s="101"/>
      <c r="I15" s="101"/>
      <c r="J15" s="101"/>
      <c r="K15" s="94"/>
      <c r="L15" s="94"/>
      <c r="M15" s="427"/>
      <c r="N15" s="101"/>
      <c r="O15" s="101"/>
      <c r="P15" s="101"/>
      <c r="Q15" s="94"/>
    </row>
    <row r="16" spans="1:18" s="302" customFormat="1" x14ac:dyDescent="0.2">
      <c r="A16" s="100"/>
      <c r="B16" s="1169" t="s">
        <v>318</v>
      </c>
      <c r="C16" s="1169"/>
      <c r="D16" s="1169"/>
      <c r="E16" s="1169"/>
      <c r="F16" s="399"/>
      <c r="G16" s="400"/>
      <c r="H16" s="1169" t="s">
        <v>319</v>
      </c>
      <c r="I16" s="1169"/>
      <c r="J16" s="1169"/>
      <c r="K16" s="1169"/>
      <c r="L16" s="399"/>
      <c r="M16" s="400"/>
      <c r="N16" s="1169" t="s">
        <v>320</v>
      </c>
      <c r="O16" s="1169"/>
      <c r="P16" s="1169"/>
      <c r="Q16" s="1169"/>
      <c r="R16" s="437"/>
    </row>
    <row r="17" spans="1:17" x14ac:dyDescent="0.2">
      <c r="A17" s="101"/>
      <c r="B17" s="299" t="s">
        <v>27</v>
      </c>
      <c r="C17" s="299" t="s">
        <v>68</v>
      </c>
      <c r="D17" s="300" t="s">
        <v>311</v>
      </c>
      <c r="E17" s="299" t="s">
        <v>14</v>
      </c>
      <c r="F17" s="299"/>
      <c r="G17" s="428"/>
      <c r="H17" s="299" t="s">
        <v>27</v>
      </c>
      <c r="I17" s="299" t="s">
        <v>68</v>
      </c>
      <c r="J17" s="300" t="s">
        <v>311</v>
      </c>
      <c r="K17" s="299" t="s">
        <v>14</v>
      </c>
      <c r="L17" s="299"/>
      <c r="M17" s="428"/>
      <c r="N17" s="299" t="s">
        <v>27</v>
      </c>
      <c r="O17" s="299" t="s">
        <v>68</v>
      </c>
      <c r="P17" s="300" t="s">
        <v>311</v>
      </c>
      <c r="Q17" s="299" t="s">
        <v>14</v>
      </c>
    </row>
    <row r="18" spans="1:17" x14ac:dyDescent="0.2">
      <c r="A18" s="301" t="s">
        <v>69</v>
      </c>
      <c r="B18" s="403">
        <v>7684.0041159502016</v>
      </c>
      <c r="C18" s="404">
        <v>11738.402297237033</v>
      </c>
      <c r="D18" s="405">
        <v>-2306.1156440702507</v>
      </c>
      <c r="E18" s="406">
        <v>17116.290769116986</v>
      </c>
      <c r="F18" s="438"/>
      <c r="G18" s="440"/>
      <c r="H18" s="403">
        <v>7684.0041159502016</v>
      </c>
      <c r="I18" s="404">
        <v>17827.487062374399</v>
      </c>
      <c r="J18" s="405">
        <v>-2306.1156440702507</v>
      </c>
      <c r="K18" s="406">
        <v>23205.375534254348</v>
      </c>
      <c r="L18" s="438"/>
      <c r="M18" s="440"/>
      <c r="N18" s="403">
        <v>6775.8921832148262</v>
      </c>
      <c r="O18" s="404">
        <v>33205.767088749133</v>
      </c>
      <c r="P18" s="405">
        <v>-1614.1539216615106</v>
      </c>
      <c r="Q18" s="406">
        <v>38367.505350302446</v>
      </c>
    </row>
    <row r="19" spans="1:17" x14ac:dyDescent="0.2">
      <c r="A19" s="301" t="s">
        <v>44</v>
      </c>
      <c r="B19" s="407">
        <v>7127.947366789137</v>
      </c>
      <c r="C19" s="408">
        <v>11082.342185718366</v>
      </c>
      <c r="D19" s="409">
        <v>-2039.632739699784</v>
      </c>
      <c r="E19" s="410">
        <v>16170.65681280772</v>
      </c>
      <c r="F19" s="409"/>
      <c r="G19" s="407"/>
      <c r="H19" s="407">
        <v>7127.947366789137</v>
      </c>
      <c r="I19" s="408">
        <v>16831.107584650083</v>
      </c>
      <c r="J19" s="409">
        <v>-2039.632739699784</v>
      </c>
      <c r="K19" s="410">
        <v>21919.422211739435</v>
      </c>
      <c r="L19" s="409"/>
      <c r="M19" s="407"/>
      <c r="N19" s="407">
        <v>6275.8358953226216</v>
      </c>
      <c r="O19" s="408">
        <v>31709.026462979931</v>
      </c>
      <c r="P19" s="409">
        <v>-1377.8746348566124</v>
      </c>
      <c r="Q19" s="410">
        <v>36606.987723445942</v>
      </c>
    </row>
    <row r="20" spans="1:17" x14ac:dyDescent="0.2">
      <c r="A20" s="301" t="s">
        <v>45</v>
      </c>
      <c r="B20" s="411">
        <v>9645.4263258778064</v>
      </c>
      <c r="C20" s="412">
        <v>10872.402950032401</v>
      </c>
      <c r="D20" s="413">
        <v>-3545.6706510356244</v>
      </c>
      <c r="E20" s="414">
        <v>16972.158624874584</v>
      </c>
      <c r="F20" s="439"/>
      <c r="G20" s="441"/>
      <c r="H20" s="411">
        <v>9645.4263258778064</v>
      </c>
      <c r="I20" s="412">
        <v>16512.266151778309</v>
      </c>
      <c r="J20" s="413">
        <v>-3545.6706510356244</v>
      </c>
      <c r="K20" s="414">
        <v>22612.02182662049</v>
      </c>
      <c r="L20" s="439"/>
      <c r="M20" s="441"/>
      <c r="N20" s="411">
        <v>8650.5987105725399</v>
      </c>
      <c r="O20" s="412">
        <v>31230.069462733787</v>
      </c>
      <c r="P20" s="413">
        <v>-2670.6198488449645</v>
      </c>
      <c r="Q20" s="414">
        <v>37210.048324461364</v>
      </c>
    </row>
    <row r="21" spans="1:17" x14ac:dyDescent="0.2">
      <c r="A21" s="101"/>
      <c r="B21" s="101"/>
      <c r="C21" s="101"/>
      <c r="D21" s="101"/>
      <c r="E21" s="94"/>
      <c r="F21" s="94"/>
      <c r="G21" s="427"/>
      <c r="H21" s="101"/>
      <c r="I21" s="101"/>
      <c r="J21" s="101"/>
      <c r="K21" s="187"/>
      <c r="L21" s="187"/>
      <c r="M21" s="436"/>
      <c r="N21" s="101"/>
      <c r="O21" s="101"/>
      <c r="P21" s="101"/>
      <c r="Q21" s="94"/>
    </row>
    <row r="22" spans="1:17" ht="25.5" x14ac:dyDescent="0.2">
      <c r="A22" s="421" t="s">
        <v>93</v>
      </c>
      <c r="B22" s="101"/>
      <c r="C22" s="101"/>
      <c r="D22" s="101"/>
      <c r="E22" s="94"/>
      <c r="F22" s="94"/>
      <c r="G22" s="427"/>
      <c r="H22" s="101"/>
      <c r="I22" s="101"/>
      <c r="J22" s="101"/>
      <c r="K22" s="94"/>
      <c r="L22" s="94"/>
      <c r="M22" s="427"/>
      <c r="N22" s="101"/>
      <c r="O22" s="101"/>
      <c r="P22" s="101"/>
      <c r="Q22" s="94"/>
    </row>
    <row r="23" spans="1:17" x14ac:dyDescent="0.2">
      <c r="A23" s="101"/>
      <c r="B23" s="101"/>
      <c r="C23" s="319" t="s">
        <v>323</v>
      </c>
      <c r="D23" s="319" t="s">
        <v>324</v>
      </c>
      <c r="E23" s="97"/>
      <c r="F23" s="97"/>
      <c r="G23" s="429"/>
      <c r="H23" s="101"/>
      <c r="I23" s="319" t="s">
        <v>323</v>
      </c>
      <c r="J23" s="319" t="s">
        <v>324</v>
      </c>
      <c r="K23" s="97"/>
      <c r="L23" s="97"/>
      <c r="M23" s="429"/>
      <c r="N23" s="101"/>
      <c r="O23" s="319" t="s">
        <v>323</v>
      </c>
      <c r="P23" s="319" t="s">
        <v>324</v>
      </c>
      <c r="Q23" s="97"/>
    </row>
    <row r="24" spans="1:17" x14ac:dyDescent="0.2">
      <c r="A24" s="97" t="s">
        <v>43</v>
      </c>
      <c r="B24" s="101"/>
      <c r="C24" s="415">
        <v>0.75</v>
      </c>
      <c r="D24" s="416">
        <v>0.75</v>
      </c>
      <c r="E24" s="46" t="s">
        <v>48</v>
      </c>
      <c r="F24" s="46"/>
      <c r="G24" s="430"/>
      <c r="H24" s="101"/>
      <c r="I24" s="415">
        <v>0.75</v>
      </c>
      <c r="J24" s="416">
        <v>0.75</v>
      </c>
      <c r="K24" s="46" t="s">
        <v>48</v>
      </c>
      <c r="L24" s="46"/>
      <c r="M24" s="430"/>
      <c r="N24" s="101"/>
      <c r="O24" s="415">
        <v>0.75</v>
      </c>
      <c r="P24" s="416">
        <v>0.75</v>
      </c>
      <c r="Q24" s="46" t="s">
        <v>48</v>
      </c>
    </row>
    <row r="25" spans="1:17" x14ac:dyDescent="0.2">
      <c r="A25" s="97" t="s">
        <v>9</v>
      </c>
      <c r="B25" s="101"/>
      <c r="C25" s="417">
        <v>0.67</v>
      </c>
      <c r="D25" s="418">
        <v>0.67</v>
      </c>
      <c r="E25" s="46" t="s">
        <v>48</v>
      </c>
      <c r="F25" s="46"/>
      <c r="G25" s="430"/>
      <c r="H25" s="101"/>
      <c r="I25" s="417">
        <v>0.67</v>
      </c>
      <c r="J25" s="418">
        <v>0.67</v>
      </c>
      <c r="K25" s="46" t="s">
        <v>48</v>
      </c>
      <c r="L25" s="46"/>
      <c r="M25" s="430"/>
      <c r="N25" s="101"/>
      <c r="O25" s="417">
        <v>0.67</v>
      </c>
      <c r="P25" s="418">
        <v>0.67</v>
      </c>
      <c r="Q25" s="46" t="s">
        <v>48</v>
      </c>
    </row>
    <row r="26" spans="1:17" x14ac:dyDescent="0.2">
      <c r="A26" s="97" t="s">
        <v>219</v>
      </c>
      <c r="B26" s="101"/>
      <c r="C26" s="417">
        <v>0.55000000000000004</v>
      </c>
      <c r="D26" s="418">
        <v>0.55000000000000004</v>
      </c>
      <c r="E26" s="46" t="s">
        <v>48</v>
      </c>
      <c r="F26" s="46"/>
      <c r="G26" s="430"/>
      <c r="H26" s="101"/>
      <c r="I26" s="417">
        <v>0.55000000000000004</v>
      </c>
      <c r="J26" s="418">
        <v>0.55000000000000004</v>
      </c>
      <c r="K26" s="46" t="s">
        <v>48</v>
      </c>
      <c r="L26" s="46"/>
      <c r="M26" s="430"/>
      <c r="N26" s="101"/>
      <c r="O26" s="417">
        <v>0.55000000000000004</v>
      </c>
      <c r="P26" s="418">
        <v>0.55000000000000004</v>
      </c>
      <c r="Q26" s="46" t="s">
        <v>48</v>
      </c>
    </row>
    <row r="27" spans="1:17" x14ac:dyDescent="0.2">
      <c r="A27" s="97" t="s">
        <v>36</v>
      </c>
      <c r="B27" s="97"/>
      <c r="C27" s="419">
        <v>0.5</v>
      </c>
      <c r="D27" s="420">
        <v>0.5</v>
      </c>
      <c r="E27" s="46" t="s">
        <v>48</v>
      </c>
      <c r="F27" s="46"/>
      <c r="G27" s="430"/>
      <c r="H27" s="101"/>
      <c r="I27" s="419">
        <v>0.5</v>
      </c>
      <c r="J27" s="420">
        <v>0.5</v>
      </c>
      <c r="K27" s="46" t="s">
        <v>48</v>
      </c>
      <c r="L27" s="46"/>
      <c r="M27" s="430"/>
      <c r="N27" s="101"/>
      <c r="O27" s="419">
        <v>0.5</v>
      </c>
      <c r="P27" s="420">
        <v>0.5</v>
      </c>
      <c r="Q27" s="46" t="s">
        <v>48</v>
      </c>
    </row>
    <row r="28" spans="1:17" x14ac:dyDescent="0.2">
      <c r="A28" s="330"/>
      <c r="B28" s="101"/>
      <c r="C28" s="21"/>
      <c r="D28" s="101"/>
      <c r="E28" s="94"/>
      <c r="F28" s="94"/>
      <c r="G28" s="427"/>
      <c r="H28" s="101"/>
      <c r="I28" s="101"/>
      <c r="J28" s="101"/>
      <c r="K28" s="94"/>
      <c r="L28" s="94"/>
      <c r="M28" s="427"/>
      <c r="N28" s="101"/>
      <c r="O28" s="101"/>
      <c r="P28" s="101"/>
      <c r="Q28" s="94"/>
    </row>
    <row r="29" spans="1:17" x14ac:dyDescent="0.2">
      <c r="A29" s="303" t="s">
        <v>321</v>
      </c>
      <c r="B29" s="101"/>
      <c r="C29" s="333">
        <v>0.3</v>
      </c>
      <c r="D29" s="57" t="s">
        <v>18</v>
      </c>
      <c r="E29" s="94"/>
      <c r="F29" s="94"/>
      <c r="G29" s="427"/>
      <c r="H29" s="101"/>
      <c r="I29" s="331">
        <v>0.3</v>
      </c>
      <c r="J29" s="57" t="s">
        <v>18</v>
      </c>
      <c r="K29" s="94"/>
      <c r="L29" s="94"/>
      <c r="M29" s="427"/>
      <c r="N29" s="101"/>
      <c r="O29" s="331">
        <v>0.3</v>
      </c>
      <c r="P29" s="57" t="s">
        <v>18</v>
      </c>
      <c r="Q29" s="94"/>
    </row>
    <row r="30" spans="1:17" x14ac:dyDescent="0.2">
      <c r="A30" s="330"/>
      <c r="B30" s="101"/>
      <c r="C30" s="21"/>
      <c r="D30" s="101"/>
      <c r="E30" s="94"/>
      <c r="F30" s="94"/>
      <c r="G30" s="427"/>
      <c r="H30" s="101"/>
      <c r="I30" s="101"/>
      <c r="J30" s="101"/>
      <c r="K30" s="94"/>
      <c r="L30" s="94"/>
      <c r="M30" s="427"/>
      <c r="N30" s="101"/>
      <c r="O30" s="101"/>
      <c r="P30" s="101"/>
      <c r="Q30" s="94"/>
    </row>
    <row r="31" spans="1:17" x14ac:dyDescent="0.2">
      <c r="A31" s="303" t="s">
        <v>322</v>
      </c>
      <c r="B31" s="101"/>
      <c r="C31" s="332">
        <v>200000</v>
      </c>
      <c r="D31" s="398" t="s">
        <v>1</v>
      </c>
      <c r="E31" s="94"/>
      <c r="F31" s="94"/>
      <c r="G31" s="427"/>
      <c r="H31" s="101"/>
      <c r="I31" s="332">
        <v>200000</v>
      </c>
      <c r="J31" s="398" t="s">
        <v>1</v>
      </c>
      <c r="K31" s="94"/>
      <c r="L31" s="94"/>
      <c r="M31" s="427"/>
      <c r="N31" s="101"/>
      <c r="O31" s="332">
        <v>200000</v>
      </c>
      <c r="P31" s="398" t="s">
        <v>1</v>
      </c>
      <c r="Q31" s="94"/>
    </row>
    <row r="33" spans="1:15" x14ac:dyDescent="0.2">
      <c r="A33" s="22"/>
      <c r="B33" s="22"/>
      <c r="C33" s="297" t="s">
        <v>57</v>
      </c>
      <c r="I33" s="297" t="s">
        <v>57</v>
      </c>
      <c r="O33" s="297" t="s">
        <v>57</v>
      </c>
    </row>
    <row r="34" spans="1:15" x14ac:dyDescent="0.2">
      <c r="A34" s="23" t="s">
        <v>70</v>
      </c>
      <c r="B34" s="22"/>
      <c r="C34" s="304">
        <v>0.1</v>
      </c>
      <c r="I34" s="304">
        <v>0.1</v>
      </c>
      <c r="O34" s="304">
        <v>0.1</v>
      </c>
    </row>
    <row r="35" spans="1:15" x14ac:dyDescent="0.2">
      <c r="A35" s="23" t="s">
        <v>33</v>
      </c>
      <c r="B35" s="22"/>
      <c r="C35" s="305">
        <v>0.1</v>
      </c>
      <c r="I35" s="305">
        <v>0.1</v>
      </c>
      <c r="O35" s="305">
        <v>0.1</v>
      </c>
    </row>
    <row r="36" spans="1:15" x14ac:dyDescent="0.2">
      <c r="A36" s="89" t="s">
        <v>209</v>
      </c>
      <c r="B36" s="22"/>
      <c r="C36" s="305">
        <v>0.1</v>
      </c>
      <c r="I36" s="305">
        <v>0.1</v>
      </c>
      <c r="O36" s="305">
        <v>0.1</v>
      </c>
    </row>
    <row r="37" spans="1:15" x14ac:dyDescent="0.2">
      <c r="A37" s="97" t="s">
        <v>218</v>
      </c>
      <c r="B37" s="22"/>
      <c r="C37" s="305">
        <v>0.1</v>
      </c>
      <c r="I37" s="305">
        <v>0.1</v>
      </c>
      <c r="O37" s="305">
        <v>0.1</v>
      </c>
    </row>
    <row r="38" spans="1:15" x14ac:dyDescent="0.2">
      <c r="A38" s="22" t="s">
        <v>206</v>
      </c>
      <c r="B38" s="22"/>
      <c r="C38" s="305">
        <v>0.1</v>
      </c>
      <c r="I38" s="305">
        <v>0.1</v>
      </c>
      <c r="O38" s="305">
        <v>0.1</v>
      </c>
    </row>
    <row r="39" spans="1:15" x14ac:dyDescent="0.2">
      <c r="A39" s="22" t="s">
        <v>207</v>
      </c>
      <c r="B39" s="22"/>
      <c r="C39" s="305">
        <v>0.1</v>
      </c>
      <c r="I39" s="305">
        <v>0.1</v>
      </c>
      <c r="O39" s="305">
        <v>0.1</v>
      </c>
    </row>
    <row r="40" spans="1:15" x14ac:dyDescent="0.2">
      <c r="A40" s="22" t="s">
        <v>208</v>
      </c>
      <c r="B40" s="22"/>
      <c r="C40" s="305">
        <v>0.1</v>
      </c>
      <c r="I40" s="305">
        <v>0.1</v>
      </c>
      <c r="O40" s="305">
        <v>0.1</v>
      </c>
    </row>
    <row r="41" spans="1:15" x14ac:dyDescent="0.2">
      <c r="A41" s="23" t="s">
        <v>88</v>
      </c>
      <c r="B41" s="22"/>
      <c r="C41" s="305">
        <v>0.1</v>
      </c>
      <c r="I41" s="305">
        <v>0.1</v>
      </c>
      <c r="O41" s="305">
        <v>0.1</v>
      </c>
    </row>
    <row r="42" spans="1:15" x14ac:dyDescent="0.2">
      <c r="A42" s="23" t="s">
        <v>98</v>
      </c>
      <c r="B42" s="22"/>
      <c r="C42" s="305">
        <v>0.1</v>
      </c>
      <c r="I42" s="305">
        <v>0.1</v>
      </c>
      <c r="O42" s="305">
        <v>0.1</v>
      </c>
    </row>
    <row r="43" spans="1:15" x14ac:dyDescent="0.2">
      <c r="A43" s="23" t="s">
        <v>99</v>
      </c>
      <c r="B43" s="22"/>
      <c r="C43" s="305">
        <v>0.1</v>
      </c>
      <c r="I43" s="305">
        <v>0.1</v>
      </c>
      <c r="O43" s="305">
        <v>0.1</v>
      </c>
    </row>
    <row r="44" spans="1:15" x14ac:dyDescent="0.2">
      <c r="A44" s="89" t="s">
        <v>210</v>
      </c>
      <c r="B44" s="22"/>
      <c r="C44" s="305">
        <v>0.1</v>
      </c>
      <c r="I44" s="305">
        <v>0.1</v>
      </c>
      <c r="O44" s="305">
        <v>0.1</v>
      </c>
    </row>
    <row r="45" spans="1:15" x14ac:dyDescent="0.2">
      <c r="A45" s="89" t="s">
        <v>211</v>
      </c>
      <c r="B45" s="22"/>
      <c r="C45" s="305">
        <v>0.1</v>
      </c>
      <c r="I45" s="305">
        <v>0.1</v>
      </c>
      <c r="O45" s="305">
        <v>0.1</v>
      </c>
    </row>
    <row r="46" spans="1:15" x14ac:dyDescent="0.2">
      <c r="A46" s="23" t="s">
        <v>76</v>
      </c>
      <c r="B46" s="22"/>
      <c r="C46" s="305">
        <v>0.1</v>
      </c>
      <c r="I46" s="305">
        <v>0.1</v>
      </c>
      <c r="O46" s="305">
        <v>0.1</v>
      </c>
    </row>
    <row r="47" spans="1:15" x14ac:dyDescent="0.2">
      <c r="A47" s="23" t="s">
        <v>77</v>
      </c>
      <c r="B47" s="22"/>
      <c r="C47" s="305">
        <v>0.1</v>
      </c>
      <c r="I47" s="305">
        <v>0.1</v>
      </c>
      <c r="O47" s="305">
        <v>0.1</v>
      </c>
    </row>
    <row r="48" spans="1:15" x14ac:dyDescent="0.2">
      <c r="A48" s="23" t="s">
        <v>78</v>
      </c>
      <c r="B48" s="22"/>
      <c r="C48" s="306">
        <v>0.1</v>
      </c>
      <c r="I48" s="306">
        <v>0.1</v>
      </c>
      <c r="O48" s="306">
        <v>0.1</v>
      </c>
    </row>
    <row r="50" spans="1:18" s="300" customFormat="1" x14ac:dyDescent="0.2">
      <c r="C50" s="300" t="s">
        <v>8</v>
      </c>
      <c r="D50" s="300" t="s">
        <v>8</v>
      </c>
      <c r="E50" s="422" t="s">
        <v>8</v>
      </c>
      <c r="F50" s="422"/>
      <c r="G50" s="432"/>
      <c r="I50" s="300" t="s">
        <v>8</v>
      </c>
      <c r="J50" s="300" t="s">
        <v>8</v>
      </c>
      <c r="K50" s="422" t="s">
        <v>8</v>
      </c>
      <c r="L50" s="422"/>
      <c r="M50" s="432"/>
      <c r="O50" s="300" t="s">
        <v>8</v>
      </c>
      <c r="P50" s="300" t="s">
        <v>8</v>
      </c>
      <c r="Q50" s="422" t="s">
        <v>8</v>
      </c>
      <c r="R50" s="335"/>
    </row>
    <row r="51" spans="1:18" x14ac:dyDescent="0.2">
      <c r="A51" s="23" t="s">
        <v>70</v>
      </c>
      <c r="C51" s="322">
        <v>660.48</v>
      </c>
      <c r="D51" s="322">
        <v>291.48</v>
      </c>
      <c r="E51" s="322">
        <v>288.60000000000002</v>
      </c>
      <c r="F51" s="94"/>
      <c r="G51" s="427"/>
      <c r="I51" s="322">
        <v>660.48</v>
      </c>
      <c r="J51" s="322">
        <v>291.48</v>
      </c>
      <c r="K51" s="322">
        <v>288.60000000000002</v>
      </c>
      <c r="L51" s="94"/>
      <c r="M51" s="427"/>
      <c r="N51" s="101"/>
      <c r="O51" s="322">
        <v>468.48</v>
      </c>
      <c r="P51" s="322">
        <v>136.38000000000002</v>
      </c>
      <c r="Q51" s="322">
        <v>133.78800000000001</v>
      </c>
    </row>
    <row r="52" spans="1:18" x14ac:dyDescent="0.2">
      <c r="A52" s="23" t="s">
        <v>33</v>
      </c>
      <c r="C52" s="323">
        <v>247.68</v>
      </c>
      <c r="D52" s="323">
        <v>201.68</v>
      </c>
      <c r="E52" s="323">
        <v>199.76000000000002</v>
      </c>
      <c r="F52" s="94"/>
      <c r="G52" s="427"/>
      <c r="I52" s="323">
        <v>247.68</v>
      </c>
      <c r="J52" s="323">
        <v>201.68</v>
      </c>
      <c r="K52" s="323">
        <v>199.76000000000002</v>
      </c>
      <c r="L52" s="94"/>
      <c r="M52" s="427"/>
      <c r="N52" s="101"/>
      <c r="O52" s="323">
        <v>175.68</v>
      </c>
      <c r="P52" s="323">
        <v>134.28</v>
      </c>
      <c r="Q52" s="323">
        <v>132.55200000000002</v>
      </c>
    </row>
    <row r="53" spans="1:18" x14ac:dyDescent="0.2">
      <c r="A53" s="89" t="s">
        <v>209</v>
      </c>
      <c r="B53" s="149"/>
      <c r="C53" s="323">
        <v>165.12</v>
      </c>
      <c r="D53" s="323">
        <v>165.12</v>
      </c>
      <c r="E53" s="323">
        <v>165.12</v>
      </c>
      <c r="F53" s="94"/>
      <c r="G53" s="427"/>
      <c r="I53" s="323">
        <v>165.12</v>
      </c>
      <c r="J53" s="323">
        <v>165.12</v>
      </c>
      <c r="K53" s="323">
        <v>165.12</v>
      </c>
      <c r="L53" s="94"/>
      <c r="M53" s="427"/>
      <c r="N53" s="101"/>
      <c r="O53" s="323">
        <v>117.12</v>
      </c>
      <c r="P53" s="323">
        <v>117.12</v>
      </c>
      <c r="Q53" s="323">
        <v>117.12</v>
      </c>
    </row>
    <row r="54" spans="1:18" x14ac:dyDescent="0.2">
      <c r="A54" s="184" t="s">
        <v>218</v>
      </c>
      <c r="C54" s="323">
        <v>0</v>
      </c>
      <c r="D54" s="323">
        <v>0</v>
      </c>
      <c r="E54" s="323">
        <v>0</v>
      </c>
      <c r="F54" s="94"/>
      <c r="G54" s="427"/>
      <c r="I54" s="323">
        <v>0</v>
      </c>
      <c r="J54" s="323">
        <v>0</v>
      </c>
      <c r="K54" s="323">
        <v>0</v>
      </c>
      <c r="L54" s="94"/>
      <c r="M54" s="427"/>
      <c r="N54" s="101"/>
      <c r="O54" s="323">
        <v>0</v>
      </c>
      <c r="P54" s="323">
        <v>0</v>
      </c>
      <c r="Q54" s="323">
        <v>0</v>
      </c>
    </row>
    <row r="55" spans="1:18" x14ac:dyDescent="0.2">
      <c r="A55" s="60" t="s">
        <v>206</v>
      </c>
      <c r="C55" s="323">
        <v>0</v>
      </c>
      <c r="D55" s="323">
        <v>270</v>
      </c>
      <c r="E55" s="323">
        <v>0</v>
      </c>
      <c r="F55" s="94"/>
      <c r="G55" s="427"/>
      <c r="I55" s="323">
        <v>0</v>
      </c>
      <c r="J55" s="323">
        <v>270</v>
      </c>
      <c r="K55" s="323">
        <v>0</v>
      </c>
      <c r="L55" s="94"/>
      <c r="M55" s="427"/>
      <c r="N55" s="101"/>
      <c r="O55" s="323">
        <v>0</v>
      </c>
      <c r="P55" s="323">
        <v>243</v>
      </c>
      <c r="Q55" s="323">
        <v>0</v>
      </c>
    </row>
    <row r="56" spans="1:18" x14ac:dyDescent="0.2">
      <c r="A56" s="60" t="s">
        <v>207</v>
      </c>
      <c r="C56" s="323">
        <v>0</v>
      </c>
      <c r="D56" s="323">
        <v>30</v>
      </c>
      <c r="E56" s="323">
        <v>0</v>
      </c>
      <c r="F56" s="94"/>
      <c r="G56" s="427"/>
      <c r="I56" s="323">
        <v>0</v>
      </c>
      <c r="J56" s="323">
        <v>30</v>
      </c>
      <c r="K56" s="323">
        <v>0</v>
      </c>
      <c r="L56" s="94"/>
      <c r="M56" s="427"/>
      <c r="N56" s="101"/>
      <c r="O56" s="323">
        <v>0</v>
      </c>
      <c r="P56" s="323">
        <v>27</v>
      </c>
      <c r="Q56" s="323">
        <v>0</v>
      </c>
    </row>
    <row r="57" spans="1:18" x14ac:dyDescent="0.2">
      <c r="A57" s="60" t="s">
        <v>208</v>
      </c>
      <c r="C57" s="323">
        <v>0</v>
      </c>
      <c r="D57" s="323">
        <v>0</v>
      </c>
      <c r="E57" s="323">
        <v>0</v>
      </c>
      <c r="F57" s="94"/>
      <c r="G57" s="427"/>
      <c r="I57" s="323">
        <v>0</v>
      </c>
      <c r="J57" s="323">
        <v>0</v>
      </c>
      <c r="K57" s="323">
        <v>0</v>
      </c>
      <c r="L57" s="94"/>
      <c r="M57" s="427"/>
      <c r="N57" s="101"/>
      <c r="O57" s="323">
        <v>0</v>
      </c>
      <c r="P57" s="323">
        <v>0</v>
      </c>
      <c r="Q57" s="323">
        <v>0</v>
      </c>
    </row>
    <row r="58" spans="1:18" x14ac:dyDescent="0.2">
      <c r="A58" s="23" t="s">
        <v>88</v>
      </c>
      <c r="C58" s="323">
        <v>16.512</v>
      </c>
      <c r="D58" s="323">
        <v>13.512</v>
      </c>
      <c r="E58" s="323">
        <v>200.15200000000002</v>
      </c>
      <c r="F58" s="94"/>
      <c r="G58" s="427"/>
      <c r="I58" s="323">
        <v>16.512</v>
      </c>
      <c r="J58" s="323">
        <v>13.512</v>
      </c>
      <c r="K58" s="323">
        <v>200.15200000000002</v>
      </c>
      <c r="L58" s="94"/>
      <c r="M58" s="427"/>
      <c r="N58" s="101"/>
      <c r="O58" s="323">
        <v>11.712000000000002</v>
      </c>
      <c r="P58" s="323">
        <v>9.0120000000000005</v>
      </c>
      <c r="Q58" s="323">
        <v>176.988</v>
      </c>
    </row>
    <row r="59" spans="1:18" x14ac:dyDescent="0.2">
      <c r="A59" s="23" t="s">
        <v>98</v>
      </c>
      <c r="C59" s="323">
        <v>16.512</v>
      </c>
      <c r="D59" s="323">
        <v>13.512</v>
      </c>
      <c r="E59" s="323">
        <v>92.952000000000012</v>
      </c>
      <c r="F59" s="94"/>
      <c r="G59" s="427"/>
      <c r="I59" s="323">
        <v>16.512</v>
      </c>
      <c r="J59" s="323">
        <v>13.512</v>
      </c>
      <c r="K59" s="323">
        <v>92.952000000000012</v>
      </c>
      <c r="L59" s="94"/>
      <c r="M59" s="427"/>
      <c r="N59" s="101"/>
      <c r="O59" s="323">
        <v>11.712000000000002</v>
      </c>
      <c r="P59" s="323">
        <v>9.0120000000000005</v>
      </c>
      <c r="Q59" s="323">
        <v>80.50800000000001</v>
      </c>
    </row>
    <row r="60" spans="1:18" x14ac:dyDescent="0.2">
      <c r="A60" s="23" t="s">
        <v>99</v>
      </c>
      <c r="C60" s="323">
        <v>82.56</v>
      </c>
      <c r="D60" s="323">
        <v>73.56</v>
      </c>
      <c r="E60" s="323">
        <v>70.680000000000007</v>
      </c>
      <c r="F60" s="94"/>
      <c r="G60" s="427"/>
      <c r="I60" s="323">
        <v>82.56</v>
      </c>
      <c r="J60" s="323">
        <v>73.56</v>
      </c>
      <c r="K60" s="323">
        <v>70.680000000000007</v>
      </c>
      <c r="L60" s="94"/>
      <c r="M60" s="427"/>
      <c r="N60" s="101"/>
      <c r="O60" s="323">
        <v>58.56</v>
      </c>
      <c r="P60" s="323">
        <v>50.46</v>
      </c>
      <c r="Q60" s="323">
        <v>47.868000000000002</v>
      </c>
    </row>
    <row r="61" spans="1:18" x14ac:dyDescent="0.2">
      <c r="A61" s="89" t="s">
        <v>210</v>
      </c>
      <c r="C61" s="323">
        <v>0</v>
      </c>
      <c r="D61" s="323">
        <v>0</v>
      </c>
      <c r="E61" s="323">
        <v>0</v>
      </c>
      <c r="F61" s="94"/>
      <c r="G61" s="427"/>
      <c r="I61" s="323">
        <v>0</v>
      </c>
      <c r="J61" s="323">
        <v>0</v>
      </c>
      <c r="K61" s="323">
        <v>0</v>
      </c>
      <c r="L61" s="94"/>
      <c r="M61" s="427"/>
      <c r="N61" s="101"/>
      <c r="O61" s="323">
        <v>0</v>
      </c>
      <c r="P61" s="323">
        <v>0</v>
      </c>
      <c r="Q61" s="323">
        <v>0</v>
      </c>
    </row>
    <row r="62" spans="1:18" x14ac:dyDescent="0.2">
      <c r="A62" s="89" t="s">
        <v>211</v>
      </c>
      <c r="C62" s="323">
        <v>0</v>
      </c>
      <c r="D62" s="323">
        <v>0</v>
      </c>
      <c r="E62" s="323">
        <v>0</v>
      </c>
      <c r="F62" s="94"/>
      <c r="G62" s="427"/>
      <c r="I62" s="323">
        <v>0</v>
      </c>
      <c r="J62" s="323">
        <v>0</v>
      </c>
      <c r="K62" s="323">
        <v>0</v>
      </c>
      <c r="L62" s="94"/>
      <c r="M62" s="427"/>
      <c r="N62" s="101"/>
      <c r="O62" s="323">
        <v>0</v>
      </c>
      <c r="P62" s="323">
        <v>0</v>
      </c>
      <c r="Q62" s="323">
        <v>0</v>
      </c>
    </row>
    <row r="63" spans="1:18" x14ac:dyDescent="0.2">
      <c r="A63" s="23" t="s">
        <v>76</v>
      </c>
      <c r="C63" s="323">
        <v>0</v>
      </c>
      <c r="D63" s="323">
        <v>0</v>
      </c>
      <c r="E63" s="323">
        <v>0</v>
      </c>
      <c r="F63" s="94"/>
      <c r="G63" s="427"/>
      <c r="I63" s="323">
        <v>0</v>
      </c>
      <c r="J63" s="323">
        <v>0</v>
      </c>
      <c r="K63" s="323">
        <v>0</v>
      </c>
      <c r="L63" s="94"/>
      <c r="M63" s="427"/>
      <c r="N63" s="101"/>
      <c r="O63" s="323">
        <v>0</v>
      </c>
      <c r="P63" s="323">
        <v>0</v>
      </c>
      <c r="Q63" s="323">
        <v>0</v>
      </c>
    </row>
    <row r="64" spans="1:18" x14ac:dyDescent="0.2">
      <c r="A64" s="23" t="s">
        <v>77</v>
      </c>
      <c r="C64" s="323">
        <v>0</v>
      </c>
      <c r="D64" s="323">
        <v>0</v>
      </c>
      <c r="E64" s="323">
        <v>0</v>
      </c>
      <c r="F64" s="94"/>
      <c r="G64" s="427"/>
      <c r="I64" s="323">
        <v>0</v>
      </c>
      <c r="J64" s="323">
        <v>0</v>
      </c>
      <c r="K64" s="323">
        <v>0</v>
      </c>
      <c r="L64" s="94"/>
      <c r="M64" s="427"/>
      <c r="N64" s="101"/>
      <c r="O64" s="323">
        <v>0</v>
      </c>
      <c r="P64" s="323">
        <v>0</v>
      </c>
      <c r="Q64" s="323">
        <v>0</v>
      </c>
    </row>
    <row r="65" spans="1:19" x14ac:dyDescent="0.2">
      <c r="A65" s="23" t="s">
        <v>78</v>
      </c>
      <c r="C65" s="323">
        <v>0</v>
      </c>
      <c r="D65" s="323">
        <v>0</v>
      </c>
      <c r="E65" s="323">
        <v>0</v>
      </c>
      <c r="F65" s="94"/>
      <c r="G65" s="427"/>
      <c r="I65" s="323">
        <v>0</v>
      </c>
      <c r="J65" s="323">
        <v>0</v>
      </c>
      <c r="K65" s="323">
        <v>0</v>
      </c>
      <c r="L65" s="94"/>
      <c r="M65" s="427"/>
      <c r="N65" s="101"/>
      <c r="O65" s="323">
        <v>0</v>
      </c>
      <c r="P65" s="323">
        <v>0</v>
      </c>
      <c r="Q65" s="323">
        <v>0</v>
      </c>
    </row>
    <row r="66" spans="1:19" x14ac:dyDescent="0.2">
      <c r="A66" s="89" t="s">
        <v>212</v>
      </c>
      <c r="C66" s="323">
        <v>198.14400000000001</v>
      </c>
      <c r="D66" s="323">
        <v>198.14400000000001</v>
      </c>
      <c r="E66" s="323">
        <v>198.14400000000001</v>
      </c>
      <c r="F66" s="94"/>
      <c r="G66" s="427"/>
      <c r="I66" s="323">
        <v>198.14400000000001</v>
      </c>
      <c r="J66" s="323">
        <v>198.14400000000001</v>
      </c>
      <c r="K66" s="323">
        <v>198.14400000000001</v>
      </c>
      <c r="L66" s="94"/>
      <c r="M66" s="427"/>
      <c r="N66" s="101"/>
      <c r="O66" s="323">
        <v>140.54400000000001</v>
      </c>
      <c r="P66" s="323">
        <v>140.54400000000001</v>
      </c>
      <c r="Q66" s="323">
        <v>140.54400000000001</v>
      </c>
    </row>
    <row r="67" spans="1:19" x14ac:dyDescent="0.2">
      <c r="A67" s="89" t="s">
        <v>213</v>
      </c>
      <c r="C67" s="323">
        <v>49.536000000000001</v>
      </c>
      <c r="D67" s="323">
        <v>49.536000000000001</v>
      </c>
      <c r="E67" s="323">
        <v>49.536000000000001</v>
      </c>
      <c r="F67" s="94"/>
      <c r="G67" s="427"/>
      <c r="I67" s="323">
        <v>49.536000000000001</v>
      </c>
      <c r="J67" s="323">
        <v>49.536000000000001</v>
      </c>
      <c r="K67" s="323">
        <v>49.536000000000001</v>
      </c>
      <c r="L67" s="94"/>
      <c r="M67" s="427"/>
      <c r="N67" s="101"/>
      <c r="O67" s="323">
        <v>35.136000000000003</v>
      </c>
      <c r="P67" s="323">
        <v>35.136000000000003</v>
      </c>
      <c r="Q67" s="323">
        <v>35.136000000000003</v>
      </c>
    </row>
    <row r="68" spans="1:19" x14ac:dyDescent="0.2">
      <c r="A68" s="184" t="s">
        <v>214</v>
      </c>
      <c r="C68" s="323">
        <v>49.536000000000001</v>
      </c>
      <c r="D68" s="323">
        <v>49.536000000000001</v>
      </c>
      <c r="E68" s="323">
        <v>49.536000000000001</v>
      </c>
      <c r="F68" s="94"/>
      <c r="G68" s="427"/>
      <c r="I68" s="323">
        <v>49.536000000000001</v>
      </c>
      <c r="J68" s="323">
        <v>49.536000000000001</v>
      </c>
      <c r="K68" s="323">
        <v>49.536000000000001</v>
      </c>
      <c r="L68" s="94"/>
      <c r="M68" s="427"/>
      <c r="N68" s="101"/>
      <c r="O68" s="323">
        <v>35.136000000000003</v>
      </c>
      <c r="P68" s="323">
        <v>35.136000000000003</v>
      </c>
      <c r="Q68" s="323">
        <v>35.136000000000003</v>
      </c>
    </row>
    <row r="69" spans="1:19" x14ac:dyDescent="0.2">
      <c r="A69" s="184" t="s">
        <v>215</v>
      </c>
      <c r="C69" s="323">
        <v>33.024000000000001</v>
      </c>
      <c r="D69" s="323">
        <v>33.024000000000001</v>
      </c>
      <c r="E69" s="323">
        <v>33.024000000000001</v>
      </c>
      <c r="F69" s="94"/>
      <c r="G69" s="427"/>
      <c r="I69" s="323">
        <v>33.024000000000001</v>
      </c>
      <c r="J69" s="323">
        <v>33.024000000000001</v>
      </c>
      <c r="K69" s="323">
        <v>33.024000000000001</v>
      </c>
      <c r="L69" s="94"/>
      <c r="M69" s="427"/>
      <c r="N69" s="101"/>
      <c r="O69" s="323">
        <v>23.424000000000003</v>
      </c>
      <c r="P69" s="323">
        <v>23.424000000000003</v>
      </c>
      <c r="Q69" s="323">
        <v>23.424000000000003</v>
      </c>
    </row>
    <row r="70" spans="1:19" x14ac:dyDescent="0.2">
      <c r="A70" s="23" t="s">
        <v>50</v>
      </c>
      <c r="C70" s="323">
        <v>132.09599999999975</v>
      </c>
      <c r="D70" s="323">
        <v>132.09599999999975</v>
      </c>
      <c r="E70" s="323">
        <v>132.09599999999975</v>
      </c>
      <c r="F70" s="94"/>
      <c r="G70" s="427"/>
      <c r="I70" s="323">
        <v>132.09599999999975</v>
      </c>
      <c r="J70" s="323">
        <v>132.09599999999975</v>
      </c>
      <c r="K70" s="323">
        <v>132.09599999999975</v>
      </c>
      <c r="L70" s="94"/>
      <c r="M70" s="427"/>
      <c r="N70" s="101"/>
      <c r="O70" s="323">
        <v>93.695999999999827</v>
      </c>
      <c r="P70" s="323">
        <v>93.695999999999827</v>
      </c>
      <c r="Q70" s="323">
        <v>93.695999999999827</v>
      </c>
    </row>
    <row r="71" spans="1:19" x14ac:dyDescent="0.2">
      <c r="A71" s="23" t="s">
        <v>130</v>
      </c>
      <c r="C71" s="323">
        <v>0</v>
      </c>
      <c r="D71" s="323">
        <v>0</v>
      </c>
      <c r="E71" s="323">
        <v>0</v>
      </c>
      <c r="F71" s="94"/>
      <c r="G71" s="427"/>
      <c r="I71" s="323">
        <v>0</v>
      </c>
      <c r="J71" s="323">
        <v>0</v>
      </c>
      <c r="K71" s="323">
        <v>0</v>
      </c>
      <c r="L71" s="94"/>
      <c r="M71" s="427"/>
      <c r="N71" s="101"/>
      <c r="O71" s="323">
        <v>0</v>
      </c>
      <c r="P71" s="323">
        <v>0</v>
      </c>
      <c r="Q71" s="323">
        <v>0</v>
      </c>
    </row>
    <row r="72" spans="1:19" x14ac:dyDescent="0.2">
      <c r="A72" s="89" t="s">
        <v>216</v>
      </c>
      <c r="C72" s="323">
        <v>0</v>
      </c>
      <c r="D72" s="323">
        <v>0</v>
      </c>
      <c r="E72" s="323">
        <v>0</v>
      </c>
      <c r="F72" s="94"/>
      <c r="G72" s="427"/>
      <c r="I72" s="323">
        <v>0</v>
      </c>
      <c r="J72" s="323">
        <v>0</v>
      </c>
      <c r="K72" s="323">
        <v>0</v>
      </c>
      <c r="L72" s="94"/>
      <c r="M72" s="427"/>
      <c r="N72" s="101"/>
      <c r="O72" s="323">
        <v>0</v>
      </c>
      <c r="P72" s="323">
        <v>0</v>
      </c>
      <c r="Q72" s="323">
        <v>0</v>
      </c>
    </row>
    <row r="73" spans="1:19" x14ac:dyDescent="0.2">
      <c r="A73" s="184" t="s">
        <v>217</v>
      </c>
      <c r="C73" s="323">
        <v>28.8</v>
      </c>
      <c r="D73" s="323">
        <v>28.8</v>
      </c>
      <c r="E73" s="323">
        <v>28.8</v>
      </c>
      <c r="F73" s="94"/>
      <c r="G73" s="427"/>
      <c r="I73" s="323">
        <v>28.8</v>
      </c>
      <c r="J73" s="323">
        <v>28.8</v>
      </c>
      <c r="K73" s="323">
        <v>28.8</v>
      </c>
      <c r="L73" s="94"/>
      <c r="M73" s="427"/>
      <c r="N73" s="101"/>
      <c r="O73" s="323">
        <v>28.8</v>
      </c>
      <c r="P73" s="323">
        <v>28.8</v>
      </c>
      <c r="Q73" s="323">
        <v>28.8</v>
      </c>
    </row>
    <row r="74" spans="1:19" x14ac:dyDescent="0.2">
      <c r="A74" s="89" t="s">
        <v>288</v>
      </c>
      <c r="C74" s="323">
        <v>60</v>
      </c>
      <c r="D74" s="323">
        <v>60</v>
      </c>
      <c r="E74" s="323">
        <v>60</v>
      </c>
      <c r="F74" s="94"/>
      <c r="G74" s="427"/>
      <c r="I74" s="323">
        <v>60</v>
      </c>
      <c r="J74" s="323">
        <v>60</v>
      </c>
      <c r="K74" s="323">
        <v>60</v>
      </c>
      <c r="L74" s="94"/>
      <c r="M74" s="427"/>
      <c r="N74" s="101"/>
      <c r="O74" s="323">
        <v>60</v>
      </c>
      <c r="P74" s="323">
        <v>60</v>
      </c>
      <c r="Q74" s="323">
        <v>60</v>
      </c>
    </row>
    <row r="75" spans="1:19" x14ac:dyDescent="0.2">
      <c r="A75" s="23" t="s">
        <v>14</v>
      </c>
      <c r="C75" s="324">
        <v>1740</v>
      </c>
      <c r="D75" s="324">
        <v>1609.9999999999995</v>
      </c>
      <c r="E75" s="324">
        <v>1568.4</v>
      </c>
      <c r="F75" s="94"/>
      <c r="G75" s="427"/>
      <c r="I75" s="324">
        <v>1740</v>
      </c>
      <c r="J75" s="324">
        <v>1609.9999999999995</v>
      </c>
      <c r="K75" s="324">
        <v>1568.4</v>
      </c>
      <c r="L75" s="94"/>
      <c r="M75" s="427"/>
      <c r="N75" s="101"/>
      <c r="O75" s="324">
        <v>1260</v>
      </c>
      <c r="P75" s="324">
        <v>1142.9999999999995</v>
      </c>
      <c r="Q75" s="324">
        <v>1105.56</v>
      </c>
    </row>
    <row r="77" spans="1:19" x14ac:dyDescent="0.2">
      <c r="A77" s="336"/>
      <c r="B77" s="336"/>
      <c r="C77" s="336"/>
      <c r="D77" s="336"/>
      <c r="E77" s="423"/>
      <c r="F77" s="423"/>
      <c r="G77" s="433"/>
      <c r="H77" s="336"/>
      <c r="I77" s="336"/>
      <c r="J77" s="336"/>
      <c r="K77" s="423"/>
      <c r="L77" s="423"/>
      <c r="M77" s="433"/>
      <c r="N77" s="336"/>
      <c r="O77" s="336"/>
      <c r="P77" s="336"/>
      <c r="Q77" s="423"/>
      <c r="R77" s="870"/>
      <c r="S77" s="336"/>
    </row>
    <row r="78" spans="1:19" x14ac:dyDescent="0.2">
      <c r="A78" s="336"/>
      <c r="B78" s="336"/>
      <c r="C78" s="336"/>
      <c r="D78" s="336"/>
      <c r="E78" s="423"/>
      <c r="F78" s="423"/>
      <c r="G78" s="433"/>
      <c r="H78" s="336"/>
      <c r="I78" s="336"/>
      <c r="J78" s="336"/>
      <c r="K78" s="423"/>
      <c r="L78" s="423"/>
      <c r="M78" s="433"/>
      <c r="N78" s="336"/>
      <c r="O78" s="336"/>
      <c r="P78" s="336"/>
      <c r="Q78" s="423"/>
      <c r="R78" s="870"/>
      <c r="S78" s="336"/>
    </row>
    <row r="79" spans="1:19" x14ac:dyDescent="0.2">
      <c r="A79" s="336"/>
      <c r="B79" s="336"/>
      <c r="C79" s="336"/>
      <c r="D79" s="336"/>
      <c r="E79" s="423"/>
      <c r="F79" s="423"/>
      <c r="G79" s="433"/>
      <c r="H79" s="336"/>
      <c r="I79" s="336"/>
      <c r="J79" s="336"/>
      <c r="K79" s="423"/>
      <c r="L79" s="423"/>
      <c r="M79" s="433"/>
      <c r="N79" s="336"/>
      <c r="O79" s="336"/>
      <c r="P79" s="336"/>
      <c r="Q79" s="423"/>
      <c r="R79" s="870"/>
      <c r="S79" s="336"/>
    </row>
    <row r="80" spans="1:19" ht="15" x14ac:dyDescent="0.25">
      <c r="A80" s="1172" t="s">
        <v>325</v>
      </c>
      <c r="B80" s="1172"/>
      <c r="C80" s="1172"/>
      <c r="D80" s="1172"/>
      <c r="E80" s="1172"/>
      <c r="F80" s="871"/>
      <c r="G80" s="872"/>
      <c r="H80" s="336"/>
      <c r="I80" s="336"/>
      <c r="J80" s="336"/>
      <c r="K80" s="423"/>
      <c r="L80" s="423"/>
      <c r="M80" s="433"/>
      <c r="N80" s="336"/>
      <c r="O80" s="336"/>
      <c r="P80" s="336"/>
      <c r="Q80" s="423"/>
      <c r="R80" s="870"/>
      <c r="S80" s="336"/>
    </row>
    <row r="81" spans="1:19" x14ac:dyDescent="0.2">
      <c r="A81" s="325"/>
      <c r="B81" s="308" t="s">
        <v>27</v>
      </c>
      <c r="C81" s="308" t="s">
        <v>68</v>
      </c>
      <c r="D81" s="309" t="s">
        <v>311</v>
      </c>
      <c r="E81" s="308" t="s">
        <v>14</v>
      </c>
      <c r="F81" s="874"/>
      <c r="G81" s="876"/>
      <c r="H81" s="336"/>
      <c r="I81" s="336"/>
      <c r="J81" s="423"/>
      <c r="K81" s="423"/>
      <c r="L81" s="423"/>
      <c r="M81" s="433"/>
      <c r="N81" s="336"/>
      <c r="O81" s="336"/>
      <c r="P81" s="336"/>
      <c r="Q81" s="423"/>
      <c r="R81" s="870"/>
      <c r="S81" s="336"/>
    </row>
    <row r="82" spans="1:19" x14ac:dyDescent="0.2">
      <c r="A82" s="310" t="s">
        <v>69</v>
      </c>
      <c r="B82" s="311">
        <f ca="1">Results!B25</f>
        <v>6629.7393219529176</v>
      </c>
      <c r="C82" s="311">
        <f ca="1">Results!C25</f>
        <v>29396.808496886471</v>
      </c>
      <c r="D82" s="311">
        <f ca="1">Results!D25</f>
        <v>-2060.2638945706776</v>
      </c>
      <c r="E82" s="311">
        <f ca="1">Results!E25</f>
        <v>33966.283924268711</v>
      </c>
      <c r="F82" s="877"/>
      <c r="G82" s="878"/>
      <c r="H82" s="336"/>
      <c r="I82" s="336"/>
      <c r="J82" s="423"/>
      <c r="K82" s="423"/>
      <c r="L82" s="423"/>
      <c r="M82" s="433"/>
      <c r="N82" s="336"/>
      <c r="O82" s="336"/>
      <c r="P82" s="336"/>
      <c r="Q82" s="423"/>
      <c r="R82" s="870"/>
      <c r="S82" s="336"/>
    </row>
    <row r="83" spans="1:19" x14ac:dyDescent="0.2">
      <c r="A83" s="310" t="s">
        <v>44</v>
      </c>
      <c r="B83" s="311">
        <f ca="1">Results!B26</f>
        <v>6021.1818729517281</v>
      </c>
      <c r="C83" s="311">
        <f ca="1">Results!C26</f>
        <v>27802.603274412966</v>
      </c>
      <c r="D83" s="311">
        <f ca="1">Results!D26</f>
        <v>-1753.0863702674005</v>
      </c>
      <c r="E83" s="311">
        <f ca="1">Results!E26</f>
        <v>32070.698777097296</v>
      </c>
      <c r="F83" s="877"/>
      <c r="G83" s="878"/>
      <c r="H83" s="336"/>
      <c r="I83" s="336"/>
      <c r="J83" s="879"/>
      <c r="K83" s="423"/>
      <c r="L83" s="423"/>
      <c r="M83" s="433"/>
      <c r="N83" s="336"/>
      <c r="O83" s="336"/>
      <c r="P83" s="336"/>
      <c r="Q83" s="423"/>
      <c r="R83" s="870"/>
      <c r="S83" s="336"/>
    </row>
    <row r="84" spans="1:19" x14ac:dyDescent="0.2">
      <c r="A84" s="310" t="s">
        <v>45</v>
      </c>
      <c r="B84" s="311">
        <f ca="1">Results!B27</f>
        <v>9737.1733313799014</v>
      </c>
      <c r="C84" s="311">
        <f ca="1">Results!C27</f>
        <v>27292.457603221454</v>
      </c>
      <c r="D84" s="311">
        <f ca="1">Results!D27</f>
        <v>-4043.9507035856309</v>
      </c>
      <c r="E84" s="311">
        <f ca="1">Results!E27</f>
        <v>32985.680231015729</v>
      </c>
      <c r="F84" s="877"/>
      <c r="G84" s="878"/>
      <c r="H84" s="336"/>
      <c r="I84" s="336"/>
      <c r="J84" s="879"/>
      <c r="K84" s="423"/>
      <c r="L84" s="423"/>
      <c r="M84" s="433"/>
      <c r="N84" s="336"/>
      <c r="O84" s="336"/>
      <c r="P84" s="336"/>
      <c r="Q84" s="423"/>
      <c r="R84" s="870"/>
      <c r="S84" s="336"/>
    </row>
    <row r="85" spans="1:19" x14ac:dyDescent="0.2">
      <c r="A85" s="325"/>
      <c r="B85" s="325"/>
      <c r="C85" s="325"/>
      <c r="D85" s="325"/>
      <c r="E85" s="325"/>
      <c r="F85" s="873"/>
      <c r="G85" s="880"/>
      <c r="H85" s="336"/>
      <c r="I85" s="336"/>
      <c r="J85" s="879"/>
      <c r="K85" s="423"/>
      <c r="L85" s="423"/>
      <c r="M85" s="433"/>
      <c r="N85" s="336"/>
      <c r="O85" s="336"/>
      <c r="P85" s="336"/>
      <c r="Q85" s="423"/>
      <c r="R85" s="870"/>
      <c r="S85" s="336"/>
    </row>
    <row r="86" spans="1:19" ht="25.5" x14ac:dyDescent="0.2">
      <c r="A86" s="442" t="s">
        <v>93</v>
      </c>
      <c r="B86" s="325"/>
      <c r="C86" s="325"/>
      <c r="D86" s="325"/>
      <c r="E86" s="325"/>
      <c r="F86" s="873"/>
      <c r="G86" s="880"/>
      <c r="H86" s="336"/>
      <c r="I86" s="336"/>
      <c r="J86" s="879"/>
      <c r="K86" s="423"/>
      <c r="L86" s="423"/>
      <c r="M86" s="433"/>
      <c r="N86" s="336"/>
      <c r="O86" s="336"/>
      <c r="P86" s="336"/>
      <c r="Q86" s="423"/>
      <c r="R86" s="870"/>
      <c r="S86" s="336"/>
    </row>
    <row r="87" spans="1:19" x14ac:dyDescent="0.2">
      <c r="A87" s="325"/>
      <c r="B87" s="325"/>
      <c r="C87" s="312" t="s">
        <v>323</v>
      </c>
      <c r="D87" s="312" t="s">
        <v>324</v>
      </c>
      <c r="E87" s="313"/>
      <c r="F87" s="881"/>
      <c r="G87" s="882"/>
      <c r="H87" s="336"/>
      <c r="I87" s="336"/>
      <c r="J87" s="879"/>
      <c r="K87" s="423"/>
      <c r="L87" s="423"/>
      <c r="M87" s="433"/>
      <c r="N87" s="336"/>
      <c r="O87" s="336"/>
      <c r="P87" s="336"/>
      <c r="Q87" s="423"/>
      <c r="R87" s="870"/>
      <c r="S87" s="336"/>
    </row>
    <row r="88" spans="1:19" x14ac:dyDescent="0.2">
      <c r="A88" s="313" t="s">
        <v>43</v>
      </c>
      <c r="B88" s="325"/>
      <c r="C88" s="314">
        <f>IF('Data Input'!F17="Yes","-----n/a-----",KSc)</f>
        <v>0.75</v>
      </c>
      <c r="D88" s="314">
        <f>IF('Data Input'!F17="Yes","-----n/a-----",'Data Input'!M18)</f>
        <v>0.75</v>
      </c>
      <c r="E88" s="424" t="s">
        <v>48</v>
      </c>
      <c r="F88" s="883"/>
      <c r="G88" s="884"/>
      <c r="H88" s="336"/>
      <c r="I88" s="336"/>
      <c r="J88" s="885"/>
      <c r="K88" s="423"/>
      <c r="L88" s="423"/>
      <c r="M88" s="433"/>
      <c r="N88" s="336"/>
      <c r="O88" s="336"/>
      <c r="P88" s="336"/>
      <c r="Q88" s="423"/>
      <c r="R88" s="870"/>
      <c r="S88" s="336"/>
    </row>
    <row r="89" spans="1:19" x14ac:dyDescent="0.2">
      <c r="A89" s="313" t="s">
        <v>9</v>
      </c>
      <c r="B89" s="325"/>
      <c r="C89" s="314">
        <f>IF('Data Input'!F17="Yes","-----n/a-----",KAc)</f>
        <v>0.67</v>
      </c>
      <c r="D89" s="314">
        <f>IF('Data Input'!F17="Yes","-----n/a-----",'Data Input'!M19)</f>
        <v>0.67</v>
      </c>
      <c r="E89" s="424" t="s">
        <v>48</v>
      </c>
      <c r="F89" s="883"/>
      <c r="G89" s="884"/>
      <c r="H89" s="336"/>
      <c r="I89" s="336"/>
      <c r="J89" s="885"/>
      <c r="K89" s="423"/>
      <c r="L89" s="423"/>
      <c r="M89" s="433"/>
      <c r="N89" s="336"/>
      <c r="O89" s="336"/>
      <c r="P89" s="336"/>
      <c r="Q89" s="423"/>
      <c r="R89" s="870"/>
      <c r="S89" s="336"/>
    </row>
    <row r="90" spans="1:19" x14ac:dyDescent="0.2">
      <c r="A90" s="313" t="s">
        <v>219</v>
      </c>
      <c r="B90" s="325"/>
      <c r="C90" s="314">
        <f>IF('Data Input'!F17="Yes","-----n/a-----",KCc)</f>
        <v>0.55000000000000004</v>
      </c>
      <c r="D90" s="314">
        <f>IF('Data Input'!F17="Yes","-----n/a-----",'Data Input'!M20)</f>
        <v>0.55000000000000004</v>
      </c>
      <c r="E90" s="424" t="s">
        <v>48</v>
      </c>
      <c r="F90" s="883"/>
      <c r="G90" s="884"/>
      <c r="H90" s="336"/>
      <c r="I90" s="336"/>
      <c r="J90" s="423"/>
      <c r="K90" s="423"/>
      <c r="L90" s="423"/>
      <c r="M90" s="433"/>
      <c r="N90" s="336"/>
      <c r="O90" s="336"/>
      <c r="P90" s="336"/>
      <c r="Q90" s="423"/>
      <c r="R90" s="870"/>
      <c r="S90" s="336"/>
    </row>
    <row r="91" spans="1:19" x14ac:dyDescent="0.2">
      <c r="A91" s="313" t="s">
        <v>36</v>
      </c>
      <c r="B91" s="313"/>
      <c r="C91" s="314">
        <f>IF('Data Input'!F17="Yes","-----n/a-----",KMc)</f>
        <v>0.5</v>
      </c>
      <c r="D91" s="314">
        <f>IF('Data Input'!F17="Yes","-----n/a-----",'Data Input'!M21)</f>
        <v>0.5</v>
      </c>
      <c r="E91" s="424" t="s">
        <v>48</v>
      </c>
      <c r="F91" s="883"/>
      <c r="G91" s="884"/>
      <c r="H91" s="336"/>
      <c r="I91" s="336"/>
      <c r="J91" s="423"/>
      <c r="K91" s="423"/>
      <c r="L91" s="423"/>
      <c r="M91" s="433"/>
      <c r="N91" s="336"/>
      <c r="O91" s="336"/>
      <c r="P91" s="336"/>
      <c r="Q91" s="423"/>
      <c r="R91" s="870"/>
      <c r="S91" s="336"/>
    </row>
    <row r="92" spans="1:19" x14ac:dyDescent="0.2">
      <c r="A92" s="314"/>
      <c r="B92" s="325"/>
      <c r="C92" s="326"/>
      <c r="D92" s="325"/>
      <c r="E92" s="325"/>
      <c r="F92" s="873"/>
      <c r="G92" s="880"/>
      <c r="H92" s="336"/>
      <c r="I92" s="336"/>
      <c r="J92" s="423"/>
      <c r="K92" s="423"/>
      <c r="L92" s="423"/>
      <c r="M92" s="433"/>
      <c r="N92" s="336"/>
      <c r="O92" s="336"/>
      <c r="P92" s="336"/>
      <c r="Q92" s="423"/>
      <c r="R92" s="870"/>
      <c r="S92" s="336"/>
    </row>
    <row r="93" spans="1:19" x14ac:dyDescent="0.2">
      <c r="A93" s="315" t="s">
        <v>321</v>
      </c>
      <c r="B93" s="325"/>
      <c r="C93" s="326">
        <f>IF('Data Input'!F17="Yes","-----n/a-----",Sc)</f>
        <v>0.3</v>
      </c>
      <c r="D93" s="316" t="s">
        <v>18</v>
      </c>
      <c r="E93" s="325"/>
      <c r="F93" s="873"/>
      <c r="G93" s="880"/>
      <c r="H93" s="336"/>
      <c r="I93" s="336"/>
      <c r="J93" s="336"/>
      <c r="K93" s="423"/>
      <c r="L93" s="423"/>
      <c r="M93" s="433"/>
      <c r="N93" s="336"/>
      <c r="O93" s="336"/>
      <c r="P93" s="336"/>
      <c r="Q93" s="423"/>
      <c r="R93" s="870"/>
      <c r="S93" s="336"/>
    </row>
    <row r="94" spans="1:19" x14ac:dyDescent="0.2">
      <c r="A94" s="314"/>
      <c r="B94" s="325"/>
      <c r="C94" s="326"/>
      <c r="D94" s="325"/>
      <c r="E94" s="325"/>
      <c r="F94" s="873"/>
      <c r="G94" s="880"/>
      <c r="H94" s="336"/>
      <c r="I94" s="336"/>
      <c r="J94" s="336"/>
      <c r="K94" s="423"/>
      <c r="L94" s="423"/>
      <c r="M94" s="433"/>
      <c r="N94" s="336"/>
      <c r="O94" s="336"/>
      <c r="P94" s="336"/>
      <c r="Q94" s="423"/>
      <c r="R94" s="870"/>
      <c r="S94" s="336"/>
    </row>
    <row r="95" spans="1:19" x14ac:dyDescent="0.2">
      <c r="A95" s="315" t="s">
        <v>322</v>
      </c>
      <c r="B95" s="325"/>
      <c r="C95" s="327">
        <f>'Data Input'!H11</f>
        <v>200000</v>
      </c>
      <c r="D95" s="325" t="s">
        <v>1</v>
      </c>
      <c r="E95" s="325"/>
      <c r="F95" s="873"/>
      <c r="G95" s="880"/>
      <c r="H95" s="336"/>
      <c r="I95" s="336"/>
      <c r="J95" s="336"/>
      <c r="K95" s="423"/>
      <c r="L95" s="423"/>
      <c r="M95" s="433"/>
      <c r="N95" s="336"/>
      <c r="O95" s="336"/>
      <c r="P95" s="336"/>
      <c r="Q95" s="423"/>
      <c r="R95" s="870"/>
      <c r="S95" s="336"/>
    </row>
    <row r="96" spans="1:19" x14ac:dyDescent="0.2">
      <c r="A96" s="325"/>
      <c r="B96" s="325"/>
      <c r="C96" s="325"/>
      <c r="D96" s="325"/>
      <c r="E96" s="325"/>
      <c r="F96" s="873"/>
      <c r="G96" s="880"/>
      <c r="H96" s="336"/>
      <c r="I96" s="336"/>
      <c r="J96" s="336"/>
      <c r="K96" s="423"/>
      <c r="L96" s="423"/>
      <c r="M96" s="433"/>
      <c r="N96" s="336"/>
      <c r="O96" s="336"/>
      <c r="P96" s="336"/>
      <c r="Q96" s="423"/>
      <c r="R96" s="870"/>
      <c r="S96" s="336"/>
    </row>
    <row r="97" spans="1:19" x14ac:dyDescent="0.2">
      <c r="A97" s="313"/>
      <c r="B97" s="313"/>
      <c r="C97" s="312" t="s">
        <v>57</v>
      </c>
      <c r="D97" s="325"/>
      <c r="E97" s="325"/>
      <c r="F97" s="873"/>
      <c r="G97" s="880"/>
      <c r="H97" s="336"/>
      <c r="I97" s="336"/>
      <c r="J97" s="336"/>
      <c r="K97" s="423"/>
      <c r="L97" s="423"/>
      <c r="M97" s="433"/>
      <c r="N97" s="336"/>
      <c r="O97" s="336"/>
      <c r="P97" s="336"/>
      <c r="Q97" s="423"/>
      <c r="R97" s="870"/>
      <c r="S97" s="336"/>
    </row>
    <row r="98" spans="1:19" x14ac:dyDescent="0.2">
      <c r="A98" s="317" t="s">
        <v>70</v>
      </c>
      <c r="B98" s="313"/>
      <c r="C98" s="308">
        <f>'Expert Data Input'!G6</f>
        <v>0.9</v>
      </c>
      <c r="D98" s="325"/>
      <c r="E98" s="325"/>
      <c r="F98" s="873"/>
      <c r="G98" s="880"/>
      <c r="H98" s="336"/>
      <c r="I98" s="336"/>
      <c r="J98" s="336"/>
      <c r="K98" s="423"/>
      <c r="L98" s="423"/>
      <c r="M98" s="433"/>
      <c r="N98" s="336"/>
      <c r="O98" s="336"/>
      <c r="P98" s="336"/>
      <c r="Q98" s="423"/>
      <c r="R98" s="870"/>
      <c r="S98" s="336"/>
    </row>
    <row r="99" spans="1:19" x14ac:dyDescent="0.2">
      <c r="A99" s="317" t="s">
        <v>33</v>
      </c>
      <c r="B99" s="313"/>
      <c r="C99" s="308">
        <f>'Expert Data Input'!G7</f>
        <v>0.9</v>
      </c>
      <c r="D99" s="325"/>
      <c r="E99" s="325"/>
      <c r="F99" s="873"/>
      <c r="G99" s="880"/>
      <c r="H99" s="336"/>
      <c r="I99" s="336"/>
      <c r="J99" s="336"/>
      <c r="K99" s="423"/>
      <c r="L99" s="423"/>
      <c r="M99" s="433"/>
      <c r="N99" s="336"/>
      <c r="O99" s="336"/>
      <c r="P99" s="336"/>
      <c r="Q99" s="423"/>
      <c r="R99" s="870"/>
      <c r="S99" s="336"/>
    </row>
    <row r="100" spans="1:19" x14ac:dyDescent="0.2">
      <c r="A100" s="317" t="s">
        <v>209</v>
      </c>
      <c r="B100" s="313"/>
      <c r="C100" s="308">
        <f>'Expert Data Input'!G8</f>
        <v>0.9</v>
      </c>
      <c r="D100" s="325"/>
      <c r="E100" s="325"/>
      <c r="F100" s="873"/>
      <c r="G100" s="880"/>
      <c r="H100" s="336"/>
      <c r="I100" s="336"/>
      <c r="J100" s="336"/>
      <c r="K100" s="423"/>
      <c r="L100" s="423"/>
      <c r="M100" s="433"/>
      <c r="N100" s="336"/>
      <c r="O100" s="336"/>
      <c r="P100" s="336"/>
      <c r="Q100" s="423"/>
      <c r="R100" s="870"/>
      <c r="S100" s="336"/>
    </row>
    <row r="101" spans="1:19" x14ac:dyDescent="0.2">
      <c r="A101" s="313" t="s">
        <v>206</v>
      </c>
      <c r="B101" s="313"/>
      <c r="C101" s="308">
        <f>'Expert Data Input'!G9</f>
        <v>0.9</v>
      </c>
      <c r="D101" s="325"/>
      <c r="E101" s="325"/>
      <c r="F101" s="873"/>
      <c r="G101" s="880"/>
      <c r="H101" s="336"/>
      <c r="I101" s="336"/>
      <c r="J101" s="336"/>
      <c r="K101" s="423"/>
      <c r="L101" s="423"/>
      <c r="M101" s="433"/>
      <c r="N101" s="336"/>
      <c r="O101" s="336"/>
      <c r="P101" s="336"/>
      <c r="Q101" s="423"/>
      <c r="R101" s="870"/>
      <c r="S101" s="336"/>
    </row>
    <row r="102" spans="1:19" x14ac:dyDescent="0.2">
      <c r="A102" s="313" t="s">
        <v>207</v>
      </c>
      <c r="B102" s="313"/>
      <c r="C102" s="308">
        <f>'Expert Data Input'!G10</f>
        <v>0.9</v>
      </c>
      <c r="D102" s="325"/>
      <c r="E102" s="325"/>
      <c r="F102" s="873"/>
      <c r="G102" s="880"/>
      <c r="H102" s="336"/>
      <c r="I102" s="336"/>
      <c r="J102" s="336"/>
      <c r="K102" s="423"/>
      <c r="L102" s="423"/>
      <c r="M102" s="433"/>
      <c r="N102" s="336"/>
      <c r="O102" s="336"/>
      <c r="P102" s="336"/>
      <c r="Q102" s="423"/>
      <c r="R102" s="870"/>
      <c r="S102" s="336"/>
    </row>
    <row r="103" spans="1:19" x14ac:dyDescent="0.2">
      <c r="A103" s="313" t="s">
        <v>208</v>
      </c>
      <c r="B103" s="313"/>
      <c r="C103" s="308">
        <f>'Expert Data Input'!G11</f>
        <v>0.9</v>
      </c>
      <c r="D103" s="325"/>
      <c r="E103" s="325"/>
      <c r="F103" s="873"/>
      <c r="G103" s="880"/>
      <c r="H103" s="336"/>
      <c r="I103" s="336"/>
      <c r="J103" s="336"/>
      <c r="K103" s="423"/>
      <c r="L103" s="423"/>
      <c r="M103" s="433"/>
      <c r="N103" s="336"/>
      <c r="O103" s="336"/>
      <c r="P103" s="336"/>
      <c r="Q103" s="423"/>
      <c r="R103" s="870"/>
      <c r="S103" s="336"/>
    </row>
    <row r="104" spans="1:19" x14ac:dyDescent="0.2">
      <c r="A104" s="317" t="s">
        <v>88</v>
      </c>
      <c r="B104" s="313"/>
      <c r="C104" s="308">
        <f>'Expert Data Input'!G12</f>
        <v>0.9</v>
      </c>
      <c r="D104" s="325"/>
      <c r="E104" s="325"/>
      <c r="F104" s="873"/>
      <c r="G104" s="880"/>
      <c r="H104" s="336"/>
      <c r="I104" s="336"/>
      <c r="J104" s="336"/>
      <c r="K104" s="423"/>
      <c r="L104" s="423"/>
      <c r="M104" s="433"/>
      <c r="N104" s="336"/>
      <c r="O104" s="336"/>
      <c r="P104" s="336"/>
      <c r="Q104" s="423"/>
      <c r="R104" s="870"/>
      <c r="S104" s="336"/>
    </row>
    <row r="105" spans="1:19" x14ac:dyDescent="0.2">
      <c r="A105" s="317" t="s">
        <v>98</v>
      </c>
      <c r="B105" s="313"/>
      <c r="C105" s="308">
        <f>'Expert Data Input'!G13</f>
        <v>0.9</v>
      </c>
      <c r="D105" s="325"/>
      <c r="E105" s="325"/>
      <c r="F105" s="873"/>
      <c r="G105" s="880"/>
      <c r="H105" s="336"/>
      <c r="I105" s="336"/>
      <c r="J105" s="336"/>
      <c r="K105" s="423"/>
      <c r="L105" s="423"/>
      <c r="M105" s="433"/>
      <c r="N105" s="336"/>
      <c r="O105" s="336"/>
      <c r="P105" s="336"/>
      <c r="Q105" s="423"/>
      <c r="R105" s="870"/>
      <c r="S105" s="336"/>
    </row>
    <row r="106" spans="1:19" x14ac:dyDescent="0.2">
      <c r="A106" s="317" t="s">
        <v>99</v>
      </c>
      <c r="B106" s="313"/>
      <c r="C106" s="308">
        <f>'Expert Data Input'!G14</f>
        <v>0.9</v>
      </c>
      <c r="D106" s="325"/>
      <c r="E106" s="325"/>
      <c r="F106" s="873"/>
      <c r="G106" s="880"/>
      <c r="H106" s="336"/>
      <c r="I106" s="336"/>
      <c r="J106" s="336"/>
      <c r="K106" s="423"/>
      <c r="L106" s="423"/>
      <c r="M106" s="433"/>
      <c r="N106" s="336"/>
      <c r="O106" s="336"/>
      <c r="P106" s="336"/>
      <c r="Q106" s="423"/>
      <c r="R106" s="870"/>
      <c r="S106" s="336"/>
    </row>
    <row r="107" spans="1:19" x14ac:dyDescent="0.2">
      <c r="A107" s="317" t="s">
        <v>210</v>
      </c>
      <c r="B107" s="313"/>
      <c r="C107" s="308">
        <f>'Expert Data Input'!G15</f>
        <v>0.9</v>
      </c>
      <c r="D107" s="325"/>
      <c r="E107" s="325"/>
      <c r="F107" s="873"/>
      <c r="G107" s="880"/>
      <c r="H107" s="336"/>
      <c r="I107" s="336"/>
      <c r="J107" s="336"/>
      <c r="K107" s="423"/>
      <c r="L107" s="423"/>
      <c r="M107" s="433"/>
      <c r="N107" s="336"/>
      <c r="O107" s="336"/>
      <c r="P107" s="336"/>
      <c r="Q107" s="423"/>
      <c r="R107" s="870"/>
      <c r="S107" s="336"/>
    </row>
    <row r="108" spans="1:19" x14ac:dyDescent="0.2">
      <c r="A108" s="317" t="s">
        <v>211</v>
      </c>
      <c r="B108" s="313"/>
      <c r="C108" s="308">
        <f>'Expert Data Input'!G16</f>
        <v>0.9</v>
      </c>
      <c r="D108" s="325"/>
      <c r="E108" s="325"/>
      <c r="F108" s="873"/>
      <c r="G108" s="880"/>
      <c r="H108" s="336"/>
      <c r="I108" s="336"/>
      <c r="J108" s="336"/>
      <c r="K108" s="423"/>
      <c r="L108" s="423"/>
      <c r="M108" s="433"/>
      <c r="N108" s="336"/>
      <c r="O108" s="336"/>
      <c r="P108" s="336"/>
      <c r="Q108" s="423"/>
      <c r="R108" s="870"/>
      <c r="S108" s="336"/>
    </row>
    <row r="109" spans="1:19" x14ac:dyDescent="0.2">
      <c r="A109" s="317" t="s">
        <v>76</v>
      </c>
      <c r="B109" s="313"/>
      <c r="C109" s="308">
        <f>'Expert Data Input'!G17</f>
        <v>0.9</v>
      </c>
      <c r="D109" s="325"/>
      <c r="E109" s="325"/>
      <c r="F109" s="873"/>
      <c r="G109" s="880"/>
      <c r="H109" s="336"/>
      <c r="I109" s="336"/>
      <c r="J109" s="336"/>
      <c r="K109" s="423"/>
      <c r="L109" s="423"/>
      <c r="M109" s="433"/>
      <c r="N109" s="336"/>
      <c r="O109" s="336"/>
      <c r="P109" s="336"/>
      <c r="Q109" s="423"/>
      <c r="R109" s="870"/>
      <c r="S109" s="336"/>
    </row>
    <row r="110" spans="1:19" x14ac:dyDescent="0.2">
      <c r="A110" s="317" t="s">
        <v>77</v>
      </c>
      <c r="B110" s="313"/>
      <c r="C110" s="308">
        <f>'Expert Data Input'!G18</f>
        <v>0.9</v>
      </c>
      <c r="D110" s="325"/>
      <c r="E110" s="325"/>
      <c r="F110" s="873"/>
      <c r="G110" s="880"/>
      <c r="H110" s="336"/>
      <c r="I110" s="336"/>
      <c r="J110" s="336"/>
      <c r="K110" s="423"/>
      <c r="L110" s="423"/>
      <c r="M110" s="433"/>
      <c r="N110" s="336"/>
      <c r="O110" s="336"/>
      <c r="P110" s="336"/>
      <c r="Q110" s="423"/>
      <c r="R110" s="870"/>
      <c r="S110" s="336"/>
    </row>
    <row r="111" spans="1:19" x14ac:dyDescent="0.2">
      <c r="A111" s="317" t="s">
        <v>78</v>
      </c>
      <c r="B111" s="313"/>
      <c r="C111" s="308">
        <f>'Expert Data Input'!G19</f>
        <v>0.9</v>
      </c>
      <c r="D111" s="325"/>
      <c r="E111" s="325"/>
      <c r="F111" s="873"/>
      <c r="G111" s="880"/>
      <c r="H111" s="336"/>
      <c r="I111" s="336"/>
      <c r="J111" s="336"/>
      <c r="K111" s="423"/>
      <c r="L111" s="423"/>
      <c r="M111" s="433"/>
      <c r="N111" s="336"/>
      <c r="O111" s="336"/>
      <c r="P111" s="336"/>
      <c r="Q111" s="423"/>
      <c r="R111" s="870"/>
      <c r="S111" s="336"/>
    </row>
    <row r="112" spans="1:19" x14ac:dyDescent="0.2">
      <c r="A112" s="313" t="s">
        <v>218</v>
      </c>
      <c r="B112" s="313"/>
      <c r="C112" s="308">
        <f>'Expert Data Input'!G20</f>
        <v>0.9</v>
      </c>
      <c r="D112" s="325"/>
      <c r="E112" s="325"/>
      <c r="F112" s="873"/>
      <c r="G112" s="880"/>
      <c r="H112" s="336"/>
      <c r="I112" s="336"/>
      <c r="J112" s="336"/>
      <c r="K112" s="423"/>
      <c r="L112" s="423"/>
      <c r="M112" s="433"/>
      <c r="N112" s="336"/>
      <c r="O112" s="336"/>
      <c r="P112" s="336"/>
      <c r="Q112" s="423"/>
      <c r="R112" s="870"/>
      <c r="S112" s="336"/>
    </row>
    <row r="113" spans="1:19" x14ac:dyDescent="0.2">
      <c r="A113" s="889"/>
      <c r="B113" s="328"/>
      <c r="C113" s="328"/>
      <c r="D113" s="328"/>
      <c r="E113" s="325"/>
      <c r="F113" s="873"/>
      <c r="G113" s="880"/>
      <c r="H113" s="336"/>
      <c r="I113" s="336"/>
      <c r="J113" s="336"/>
      <c r="K113" s="423"/>
      <c r="L113" s="423"/>
      <c r="M113" s="433"/>
      <c r="N113" s="336"/>
      <c r="O113" s="336"/>
      <c r="P113" s="336"/>
      <c r="Q113" s="423"/>
      <c r="R113" s="870"/>
      <c r="S113" s="336"/>
    </row>
    <row r="114" spans="1:19" x14ac:dyDescent="0.2">
      <c r="A114" s="328"/>
      <c r="B114" s="328"/>
      <c r="C114" s="334" t="s">
        <v>8</v>
      </c>
      <c r="D114" s="334" t="s">
        <v>8</v>
      </c>
      <c r="E114" s="309" t="s">
        <v>8</v>
      </c>
      <c r="F114" s="875"/>
      <c r="G114" s="886"/>
      <c r="H114" s="336"/>
      <c r="I114" s="336"/>
      <c r="J114" s="336"/>
      <c r="K114" s="423"/>
      <c r="L114" s="423"/>
      <c r="M114" s="433"/>
      <c r="N114" s="336"/>
      <c r="O114" s="336"/>
      <c r="P114" s="336"/>
      <c r="Q114" s="423"/>
      <c r="R114" s="870"/>
      <c r="S114" s="336"/>
    </row>
    <row r="115" spans="1:19" x14ac:dyDescent="0.2">
      <c r="A115" s="317" t="s">
        <v>70</v>
      </c>
      <c r="B115" s="328"/>
      <c r="C115" s="329">
        <f ca="1">'Material Flows'!F5</f>
        <v>468.48</v>
      </c>
      <c r="D115" s="329">
        <f ca="1">'Material Flows'!J5</f>
        <v>136.38000000000002</v>
      </c>
      <c r="E115" s="425">
        <f ca="1">'Material Flows'!N5</f>
        <v>133.78800000000001</v>
      </c>
      <c r="F115" s="887"/>
      <c r="G115" s="888"/>
      <c r="H115" s="336"/>
      <c r="I115" s="336"/>
      <c r="J115" s="336"/>
      <c r="K115" s="423"/>
      <c r="L115" s="423"/>
      <c r="M115" s="433"/>
      <c r="N115" s="336"/>
      <c r="O115" s="336"/>
      <c r="P115" s="336"/>
      <c r="Q115" s="423"/>
      <c r="R115" s="870"/>
      <c r="S115" s="336"/>
    </row>
    <row r="116" spans="1:19" x14ac:dyDescent="0.2">
      <c r="A116" s="317" t="s">
        <v>33</v>
      </c>
      <c r="B116" s="328"/>
      <c r="C116" s="329">
        <f ca="1">'Material Flows'!F6</f>
        <v>175.68</v>
      </c>
      <c r="D116" s="329">
        <f ca="1">'Material Flows'!J6</f>
        <v>134.28</v>
      </c>
      <c r="E116" s="425">
        <f ca="1">'Material Flows'!N6</f>
        <v>132.55200000000002</v>
      </c>
      <c r="F116" s="887"/>
      <c r="G116" s="888"/>
      <c r="H116" s="336"/>
      <c r="I116" s="336"/>
      <c r="J116" s="336"/>
      <c r="K116" s="423"/>
      <c r="L116" s="423"/>
      <c r="M116" s="433"/>
      <c r="N116" s="336"/>
      <c r="O116" s="336"/>
      <c r="P116" s="336"/>
      <c r="Q116" s="423"/>
      <c r="R116" s="870"/>
      <c r="S116" s="336"/>
    </row>
    <row r="117" spans="1:19" x14ac:dyDescent="0.2">
      <c r="A117" s="317" t="s">
        <v>209</v>
      </c>
      <c r="B117" s="328"/>
      <c r="C117" s="329">
        <f ca="1">'Material Flows'!F7</f>
        <v>117.12</v>
      </c>
      <c r="D117" s="329">
        <f ca="1">'Material Flows'!J7</f>
        <v>117.12</v>
      </c>
      <c r="E117" s="425">
        <f ca="1">'Material Flows'!N7</f>
        <v>117.12</v>
      </c>
      <c r="F117" s="887"/>
      <c r="G117" s="888"/>
      <c r="H117" s="336"/>
      <c r="I117" s="336"/>
      <c r="J117" s="336"/>
      <c r="K117" s="423"/>
      <c r="L117" s="423"/>
      <c r="M117" s="433"/>
      <c r="N117" s="336"/>
      <c r="O117" s="336"/>
      <c r="P117" s="336"/>
      <c r="Q117" s="423"/>
      <c r="R117" s="870"/>
      <c r="S117" s="336"/>
    </row>
    <row r="118" spans="1:19" x14ac:dyDescent="0.2">
      <c r="A118" s="318" t="s">
        <v>218</v>
      </c>
      <c r="B118" s="328"/>
      <c r="C118" s="329">
        <f ca="1">'Material Flows'!F23</f>
        <v>0</v>
      </c>
      <c r="D118" s="329">
        <f ca="1">'Material Flows'!J23</f>
        <v>0</v>
      </c>
      <c r="E118" s="425">
        <f ca="1">'Material Flows'!N23</f>
        <v>0</v>
      </c>
      <c r="F118" s="887"/>
      <c r="G118" s="888"/>
      <c r="H118" s="336"/>
      <c r="I118" s="336"/>
      <c r="J118" s="336"/>
      <c r="K118" s="423"/>
      <c r="L118" s="423"/>
      <c r="M118" s="433"/>
      <c r="N118" s="336"/>
      <c r="O118" s="336"/>
      <c r="P118" s="336"/>
      <c r="Q118" s="423"/>
      <c r="R118" s="870"/>
      <c r="S118" s="336"/>
    </row>
    <row r="119" spans="1:19" x14ac:dyDescent="0.2">
      <c r="A119" s="318" t="s">
        <v>206</v>
      </c>
      <c r="B119" s="328"/>
      <c r="C119" s="329">
        <f ca="1">'Material Flows'!F8</f>
        <v>0</v>
      </c>
      <c r="D119" s="329">
        <f ca="1">'Material Flows'!J8</f>
        <v>243</v>
      </c>
      <c r="E119" s="425">
        <f ca="1">'Material Flows'!N8</f>
        <v>0</v>
      </c>
      <c r="F119" s="887"/>
      <c r="G119" s="888"/>
      <c r="H119" s="336"/>
      <c r="I119" s="336"/>
      <c r="J119" s="336"/>
      <c r="K119" s="423"/>
      <c r="L119" s="423"/>
      <c r="M119" s="433"/>
      <c r="N119" s="336"/>
      <c r="O119" s="336"/>
      <c r="P119" s="336"/>
      <c r="Q119" s="423"/>
      <c r="R119" s="870"/>
      <c r="S119" s="336"/>
    </row>
    <row r="120" spans="1:19" x14ac:dyDescent="0.2">
      <c r="A120" s="318" t="s">
        <v>207</v>
      </c>
      <c r="B120" s="328"/>
      <c r="C120" s="329">
        <f ca="1">'Material Flows'!F9</f>
        <v>0</v>
      </c>
      <c r="D120" s="329">
        <f ca="1">'Material Flows'!J9</f>
        <v>27</v>
      </c>
      <c r="E120" s="425">
        <f ca="1">'Material Flows'!N9</f>
        <v>0</v>
      </c>
      <c r="F120" s="887"/>
      <c r="G120" s="888"/>
      <c r="H120" s="336"/>
      <c r="I120" s="336"/>
      <c r="J120" s="336"/>
      <c r="K120" s="423"/>
      <c r="L120" s="423"/>
      <c r="M120" s="433"/>
      <c r="N120" s="336"/>
      <c r="O120" s="336"/>
      <c r="P120" s="336"/>
      <c r="Q120" s="423"/>
      <c r="R120" s="870"/>
      <c r="S120" s="336"/>
    </row>
    <row r="121" spans="1:19" x14ac:dyDescent="0.2">
      <c r="A121" s="318" t="s">
        <v>208</v>
      </c>
      <c r="B121" s="328"/>
      <c r="C121" s="329">
        <f ca="1">'Material Flows'!F10</f>
        <v>0</v>
      </c>
      <c r="D121" s="329">
        <f ca="1">'Material Flows'!J10</f>
        <v>0</v>
      </c>
      <c r="E121" s="425">
        <f ca="1">'Material Flows'!N10</f>
        <v>0</v>
      </c>
      <c r="F121" s="887"/>
      <c r="G121" s="888"/>
      <c r="H121" s="336"/>
      <c r="I121" s="336"/>
      <c r="J121" s="336"/>
      <c r="K121" s="423"/>
      <c r="L121" s="423"/>
      <c r="M121" s="433"/>
      <c r="N121" s="336"/>
      <c r="O121" s="336"/>
      <c r="P121" s="336"/>
      <c r="Q121" s="423"/>
      <c r="R121" s="870"/>
      <c r="S121" s="336"/>
    </row>
    <row r="122" spans="1:19" x14ac:dyDescent="0.2">
      <c r="A122" s="317" t="s">
        <v>88</v>
      </c>
      <c r="B122" s="328"/>
      <c r="C122" s="329">
        <f ca="1">'Material Flows'!F11</f>
        <v>11.712000000000002</v>
      </c>
      <c r="D122" s="329">
        <f ca="1">'Material Flows'!J11</f>
        <v>9.0120000000000005</v>
      </c>
      <c r="E122" s="425">
        <f ca="1">'Material Flows'!N11</f>
        <v>176.988</v>
      </c>
      <c r="F122" s="887"/>
      <c r="G122" s="888"/>
      <c r="H122" s="336"/>
      <c r="I122" s="336"/>
      <c r="J122" s="336"/>
      <c r="K122" s="423"/>
      <c r="L122" s="423"/>
      <c r="M122" s="433"/>
      <c r="N122" s="336"/>
      <c r="O122" s="336"/>
      <c r="P122" s="336"/>
      <c r="Q122" s="423"/>
      <c r="R122" s="870"/>
      <c r="S122" s="336"/>
    </row>
    <row r="123" spans="1:19" x14ac:dyDescent="0.2">
      <c r="A123" s="317" t="s">
        <v>98</v>
      </c>
      <c r="B123" s="328"/>
      <c r="C123" s="329">
        <f ca="1">'Material Flows'!F12</f>
        <v>11.712000000000002</v>
      </c>
      <c r="D123" s="329">
        <f ca="1">'Material Flows'!J12</f>
        <v>9.0120000000000005</v>
      </c>
      <c r="E123" s="425">
        <f ca="1">'Material Flows'!N12</f>
        <v>80.50800000000001</v>
      </c>
      <c r="F123" s="887"/>
      <c r="G123" s="888"/>
      <c r="H123" s="336"/>
      <c r="I123" s="336"/>
      <c r="J123" s="336"/>
      <c r="K123" s="423"/>
      <c r="L123" s="423"/>
      <c r="M123" s="433"/>
      <c r="N123" s="336"/>
      <c r="O123" s="336"/>
      <c r="P123" s="336"/>
      <c r="Q123" s="423"/>
      <c r="R123" s="870"/>
      <c r="S123" s="336"/>
    </row>
    <row r="124" spans="1:19" x14ac:dyDescent="0.2">
      <c r="A124" s="317" t="s">
        <v>99</v>
      </c>
      <c r="B124" s="328"/>
      <c r="C124" s="329">
        <f ca="1">'Material Flows'!F13</f>
        <v>58.56</v>
      </c>
      <c r="D124" s="329">
        <f ca="1">'Material Flows'!J13</f>
        <v>50.46</v>
      </c>
      <c r="E124" s="425">
        <f ca="1">'Material Flows'!N13</f>
        <v>47.868000000000002</v>
      </c>
      <c r="F124" s="887"/>
      <c r="G124" s="888"/>
      <c r="H124" s="336"/>
      <c r="I124" s="336"/>
      <c r="J124" s="336"/>
      <c r="K124" s="423"/>
      <c r="L124" s="423"/>
      <c r="M124" s="433"/>
      <c r="N124" s="336"/>
      <c r="O124" s="336"/>
      <c r="P124" s="336"/>
      <c r="Q124" s="423"/>
      <c r="R124" s="870"/>
      <c r="S124" s="336"/>
    </row>
    <row r="125" spans="1:19" x14ac:dyDescent="0.2">
      <c r="A125" s="317" t="s">
        <v>210</v>
      </c>
      <c r="B125" s="328"/>
      <c r="C125" s="329">
        <f ca="1">'Material Flows'!F14</f>
        <v>0</v>
      </c>
      <c r="D125" s="329">
        <f ca="1">'Material Flows'!J14</f>
        <v>0</v>
      </c>
      <c r="E125" s="425">
        <f ca="1">'Material Flows'!N14</f>
        <v>0</v>
      </c>
      <c r="F125" s="887"/>
      <c r="G125" s="888"/>
      <c r="H125" s="336"/>
      <c r="I125" s="336"/>
      <c r="J125" s="336"/>
      <c r="K125" s="423"/>
      <c r="L125" s="423"/>
      <c r="M125" s="433"/>
      <c r="N125" s="336"/>
      <c r="O125" s="336"/>
      <c r="P125" s="336"/>
      <c r="Q125" s="423"/>
      <c r="R125" s="870"/>
      <c r="S125" s="336"/>
    </row>
    <row r="126" spans="1:19" x14ac:dyDescent="0.2">
      <c r="A126" s="317" t="s">
        <v>211</v>
      </c>
      <c r="B126" s="328"/>
      <c r="C126" s="329">
        <f ca="1">'Material Flows'!F15</f>
        <v>0</v>
      </c>
      <c r="D126" s="329">
        <f ca="1">'Material Flows'!J15</f>
        <v>0</v>
      </c>
      <c r="E126" s="425">
        <f ca="1">'Material Flows'!N15</f>
        <v>0</v>
      </c>
      <c r="F126" s="887"/>
      <c r="G126" s="888"/>
      <c r="H126" s="336"/>
      <c r="I126" s="336"/>
      <c r="J126" s="336"/>
      <c r="K126" s="423"/>
      <c r="L126" s="423"/>
      <c r="M126" s="433"/>
      <c r="N126" s="336"/>
      <c r="O126" s="336"/>
      <c r="P126" s="336"/>
      <c r="Q126" s="423"/>
      <c r="R126" s="870"/>
      <c r="S126" s="336"/>
    </row>
    <row r="127" spans="1:19" x14ac:dyDescent="0.2">
      <c r="A127" s="317" t="s">
        <v>76</v>
      </c>
      <c r="B127" s="328"/>
      <c r="C127" s="329">
        <f ca="1">'Material Flows'!F16</f>
        <v>0</v>
      </c>
      <c r="D127" s="329">
        <f ca="1">'Material Flows'!J16</f>
        <v>0</v>
      </c>
      <c r="E127" s="425">
        <f ca="1">'Material Flows'!N16</f>
        <v>0</v>
      </c>
      <c r="F127" s="887"/>
      <c r="G127" s="888"/>
      <c r="H127" s="336"/>
      <c r="I127" s="336"/>
      <c r="J127" s="336"/>
      <c r="K127" s="423"/>
      <c r="L127" s="423"/>
      <c r="M127" s="433"/>
      <c r="N127" s="336"/>
      <c r="O127" s="336"/>
      <c r="P127" s="336"/>
      <c r="Q127" s="423"/>
      <c r="R127" s="870"/>
      <c r="S127" s="336"/>
    </row>
    <row r="128" spans="1:19" x14ac:dyDescent="0.2">
      <c r="A128" s="317" t="s">
        <v>77</v>
      </c>
      <c r="B128" s="328"/>
      <c r="C128" s="329">
        <f ca="1">'Material Flows'!F17</f>
        <v>0</v>
      </c>
      <c r="D128" s="329">
        <f ca="1">'Material Flows'!J17</f>
        <v>0</v>
      </c>
      <c r="E128" s="425">
        <f ca="1">'Material Flows'!N17</f>
        <v>0</v>
      </c>
      <c r="F128" s="887"/>
      <c r="G128" s="888"/>
      <c r="H128" s="336"/>
      <c r="I128" s="336"/>
      <c r="J128" s="336"/>
      <c r="K128" s="423"/>
      <c r="L128" s="423"/>
      <c r="M128" s="433"/>
      <c r="N128" s="336"/>
      <c r="O128" s="336"/>
      <c r="P128" s="336"/>
      <c r="Q128" s="423"/>
      <c r="R128" s="870"/>
      <c r="S128" s="336"/>
    </row>
    <row r="129" spans="1:19" x14ac:dyDescent="0.2">
      <c r="A129" s="317" t="s">
        <v>78</v>
      </c>
      <c r="B129" s="328"/>
      <c r="C129" s="329">
        <f ca="1">'Material Flows'!F18</f>
        <v>0</v>
      </c>
      <c r="D129" s="329">
        <f ca="1">'Material Flows'!J18</f>
        <v>0</v>
      </c>
      <c r="E129" s="425">
        <f ca="1">'Material Flows'!N18</f>
        <v>0</v>
      </c>
      <c r="F129" s="887"/>
      <c r="G129" s="888"/>
      <c r="H129" s="336"/>
      <c r="I129" s="336"/>
      <c r="J129" s="336"/>
      <c r="K129" s="423"/>
      <c r="L129" s="423"/>
      <c r="M129" s="433"/>
      <c r="N129" s="336"/>
      <c r="O129" s="336"/>
      <c r="P129" s="336"/>
      <c r="Q129" s="423"/>
      <c r="R129" s="870"/>
      <c r="S129" s="336"/>
    </row>
    <row r="130" spans="1:19" x14ac:dyDescent="0.2">
      <c r="A130" s="317" t="s">
        <v>212</v>
      </c>
      <c r="B130" s="328"/>
      <c r="C130" s="329">
        <f ca="1">'Material Flows'!F19</f>
        <v>140.54400000000001</v>
      </c>
      <c r="D130" s="329">
        <f ca="1">'Material Flows'!J19</f>
        <v>140.54400000000001</v>
      </c>
      <c r="E130" s="425">
        <f ca="1">'Material Flows'!N19</f>
        <v>140.54400000000001</v>
      </c>
      <c r="F130" s="887"/>
      <c r="G130" s="888"/>
      <c r="H130" s="336"/>
      <c r="I130" s="336"/>
      <c r="J130" s="336"/>
      <c r="K130" s="423"/>
      <c r="L130" s="423"/>
      <c r="M130" s="433"/>
      <c r="N130" s="336"/>
      <c r="O130" s="336"/>
      <c r="P130" s="336"/>
      <c r="Q130" s="423"/>
      <c r="R130" s="870"/>
      <c r="S130" s="336"/>
    </row>
    <row r="131" spans="1:19" x14ac:dyDescent="0.2">
      <c r="A131" s="317" t="s">
        <v>213</v>
      </c>
      <c r="B131" s="328"/>
      <c r="C131" s="329">
        <f ca="1">'Material Flows'!F20</f>
        <v>35.136000000000003</v>
      </c>
      <c r="D131" s="329">
        <f ca="1">'Material Flows'!J20</f>
        <v>35.136000000000003</v>
      </c>
      <c r="E131" s="425">
        <f ca="1">'Material Flows'!N20</f>
        <v>35.136000000000003</v>
      </c>
      <c r="F131" s="887"/>
      <c r="G131" s="888"/>
      <c r="H131" s="336"/>
      <c r="I131" s="336"/>
      <c r="J131" s="336"/>
      <c r="K131" s="423"/>
      <c r="L131" s="423"/>
      <c r="M131" s="433"/>
      <c r="N131" s="336"/>
      <c r="O131" s="336"/>
      <c r="P131" s="336"/>
      <c r="Q131" s="423"/>
      <c r="R131" s="870"/>
      <c r="S131" s="336"/>
    </row>
    <row r="132" spans="1:19" x14ac:dyDescent="0.2">
      <c r="A132" s="318" t="s">
        <v>214</v>
      </c>
      <c r="B132" s="328"/>
      <c r="C132" s="329">
        <f ca="1">'Material Flows'!F21</f>
        <v>35.136000000000003</v>
      </c>
      <c r="D132" s="329">
        <f ca="1">'Material Flows'!J21</f>
        <v>35.136000000000003</v>
      </c>
      <c r="E132" s="425">
        <f ca="1">'Material Flows'!N21</f>
        <v>35.136000000000003</v>
      </c>
      <c r="F132" s="887"/>
      <c r="G132" s="888"/>
      <c r="H132" s="336"/>
      <c r="I132" s="336"/>
      <c r="J132" s="336"/>
      <c r="K132" s="423"/>
      <c r="L132" s="423"/>
      <c r="M132" s="433"/>
      <c r="N132" s="336"/>
      <c r="O132" s="336"/>
      <c r="P132" s="336"/>
      <c r="Q132" s="423"/>
      <c r="R132" s="870"/>
      <c r="S132" s="336"/>
    </row>
    <row r="133" spans="1:19" x14ac:dyDescent="0.2">
      <c r="A133" s="318" t="s">
        <v>215</v>
      </c>
      <c r="B133" s="328"/>
      <c r="C133" s="329">
        <f ca="1">'Material Flows'!F22</f>
        <v>23.424000000000003</v>
      </c>
      <c r="D133" s="329">
        <f ca="1">'Material Flows'!J22</f>
        <v>23.424000000000003</v>
      </c>
      <c r="E133" s="425">
        <f ca="1">'Material Flows'!N22</f>
        <v>23.424000000000003</v>
      </c>
      <c r="F133" s="887"/>
      <c r="G133" s="888"/>
      <c r="H133" s="336"/>
      <c r="I133" s="336"/>
      <c r="J133" s="336"/>
      <c r="K133" s="423"/>
      <c r="L133" s="423"/>
      <c r="M133" s="433"/>
      <c r="N133" s="336"/>
      <c r="O133" s="336"/>
      <c r="P133" s="336"/>
      <c r="Q133" s="423"/>
      <c r="R133" s="870"/>
      <c r="S133" s="336"/>
    </row>
    <row r="134" spans="1:19" x14ac:dyDescent="0.2">
      <c r="A134" s="317" t="s">
        <v>50</v>
      </c>
      <c r="B134" s="328"/>
      <c r="C134" s="329">
        <f ca="1">'Material Flows'!F24</f>
        <v>93.695999999999827</v>
      </c>
      <c r="D134" s="329">
        <f ca="1">'Material Flows'!J24</f>
        <v>93.695999999999827</v>
      </c>
      <c r="E134" s="425">
        <f ca="1">'Material Flows'!N24</f>
        <v>93.695999999999827</v>
      </c>
      <c r="F134" s="887"/>
      <c r="G134" s="888"/>
      <c r="H134" s="336"/>
      <c r="I134" s="336"/>
      <c r="J134" s="336"/>
      <c r="K134" s="423"/>
      <c r="L134" s="423"/>
      <c r="M134" s="433"/>
      <c r="N134" s="336"/>
      <c r="O134" s="336"/>
      <c r="P134" s="336"/>
      <c r="Q134" s="423"/>
      <c r="R134" s="870"/>
      <c r="S134" s="336"/>
    </row>
    <row r="135" spans="1:19" x14ac:dyDescent="0.2">
      <c r="A135" s="317" t="s">
        <v>130</v>
      </c>
      <c r="B135" s="328"/>
      <c r="C135" s="329">
        <f ca="1">'Material Flows'!F25</f>
        <v>0</v>
      </c>
      <c r="D135" s="329">
        <f ca="1">'Material Flows'!J25</f>
        <v>0</v>
      </c>
      <c r="E135" s="425">
        <f ca="1">'Material Flows'!N25</f>
        <v>0</v>
      </c>
      <c r="F135" s="887"/>
      <c r="G135" s="888"/>
      <c r="H135" s="336"/>
      <c r="I135" s="336"/>
      <c r="J135" s="336"/>
      <c r="K135" s="423"/>
      <c r="L135" s="423"/>
      <c r="M135" s="433"/>
      <c r="N135" s="336"/>
      <c r="O135" s="336"/>
      <c r="P135" s="336"/>
      <c r="Q135" s="423"/>
      <c r="R135" s="870"/>
      <c r="S135" s="336"/>
    </row>
    <row r="136" spans="1:19" x14ac:dyDescent="0.2">
      <c r="A136" s="317" t="s">
        <v>216</v>
      </c>
      <c r="B136" s="328"/>
      <c r="C136" s="329">
        <f>'Material Flows'!F26</f>
        <v>0</v>
      </c>
      <c r="D136" s="329">
        <f>'Material Flows'!J26</f>
        <v>0</v>
      </c>
      <c r="E136" s="425">
        <f>'Material Flows'!N26</f>
        <v>0</v>
      </c>
      <c r="F136" s="887"/>
      <c r="G136" s="888"/>
      <c r="H136" s="336"/>
      <c r="I136" s="336"/>
      <c r="J136" s="336"/>
      <c r="K136" s="423"/>
      <c r="L136" s="423"/>
      <c r="M136" s="433"/>
      <c r="N136" s="336"/>
      <c r="O136" s="336"/>
      <c r="P136" s="336"/>
      <c r="Q136" s="423"/>
      <c r="R136" s="870"/>
      <c r="S136" s="336"/>
    </row>
    <row r="137" spans="1:19" x14ac:dyDescent="0.2">
      <c r="A137" s="318" t="s">
        <v>217</v>
      </c>
      <c r="B137" s="328"/>
      <c r="C137" s="329">
        <f ca="1">'Material Flows'!F27</f>
        <v>28.8</v>
      </c>
      <c r="D137" s="329">
        <f ca="1">'Material Flows'!J27</f>
        <v>28.8</v>
      </c>
      <c r="E137" s="425">
        <f ca="1">'Material Flows'!N27</f>
        <v>28.8</v>
      </c>
      <c r="F137" s="425"/>
      <c r="G137" s="434"/>
      <c r="H137" s="336"/>
      <c r="I137" s="336"/>
    </row>
    <row r="138" spans="1:19" x14ac:dyDescent="0.2">
      <c r="A138" s="317" t="s">
        <v>288</v>
      </c>
      <c r="B138" s="328"/>
      <c r="C138" s="329">
        <f>'Material Flows'!F28</f>
        <v>60</v>
      </c>
      <c r="D138" s="329">
        <f>'Material Flows'!J28</f>
        <v>60</v>
      </c>
      <c r="E138" s="425">
        <f>'Material Flows'!N28</f>
        <v>60</v>
      </c>
      <c r="F138" s="425"/>
      <c r="G138" s="434"/>
      <c r="H138" s="336"/>
      <c r="I138" s="336"/>
    </row>
    <row r="139" spans="1:19" x14ac:dyDescent="0.2">
      <c r="A139" s="317" t="s">
        <v>14</v>
      </c>
      <c r="B139" s="328"/>
      <c r="C139" s="329">
        <f ca="1">'Material Flows'!F29</f>
        <v>1260</v>
      </c>
      <c r="D139" s="329">
        <f ca="1">'Material Flows'!J29</f>
        <v>1142.9999999999995</v>
      </c>
      <c r="E139" s="425">
        <f ca="1">'Material Flows'!N29</f>
        <v>1105.56</v>
      </c>
      <c r="F139" s="425"/>
      <c r="G139" s="434"/>
      <c r="H139" s="336"/>
      <c r="I139" s="336"/>
    </row>
    <row r="140" spans="1:19" x14ac:dyDescent="0.2">
      <c r="A140" s="1168"/>
      <c r="B140" s="1168"/>
      <c r="C140" s="1168"/>
      <c r="D140" s="1168"/>
      <c r="E140" s="1168"/>
      <c r="F140" s="426"/>
      <c r="G140" s="435"/>
      <c r="H140" s="336"/>
      <c r="I140" s="336"/>
    </row>
    <row r="141" spans="1:19" x14ac:dyDescent="0.2">
      <c r="A141" s="336"/>
      <c r="B141" s="336"/>
      <c r="C141" s="336"/>
      <c r="D141" s="336"/>
      <c r="E141" s="423"/>
      <c r="F141" s="423"/>
      <c r="G141" s="433"/>
      <c r="H141" s="336"/>
      <c r="I141" s="336"/>
    </row>
    <row r="142" spans="1:19" x14ac:dyDescent="0.2">
      <c r="A142" s="336"/>
      <c r="B142" s="336"/>
      <c r="C142" s="336"/>
      <c r="D142" s="336"/>
      <c r="E142" s="423"/>
      <c r="F142" s="423"/>
      <c r="G142" s="433"/>
      <c r="H142" s="336"/>
      <c r="I142" s="336"/>
    </row>
  </sheetData>
  <mergeCells count="8">
    <mergeCell ref="A140:E140"/>
    <mergeCell ref="B16:E16"/>
    <mergeCell ref="H16:K16"/>
    <mergeCell ref="N16:Q16"/>
    <mergeCell ref="B1:E1"/>
    <mergeCell ref="H1:K1"/>
    <mergeCell ref="N1:Q1"/>
    <mergeCell ref="A80:E80"/>
  </mergeCells>
  <dataValidations count="2">
    <dataValidation type="decimal" allowBlank="1" showInputMessage="1" showErrorMessage="1" errorTitle="Valid data range is 0 - 1" error="Alpha and Beta are factors in the range 0 - 1 only." sqref="C34:C48 O34:O48 I34:I48" xr:uid="{00000000-0002-0000-0400-000000000000}">
      <formula1>0</formula1>
      <formula2>1</formula2>
    </dataValidation>
    <dataValidation allowBlank="1" showInputMessage="1" showErrorMessage="1" errorTitle="Valid data range is 0 - 1" error="Alpha and Beta are factors in the range 0 - 1 only." sqref="C98:C112" xr:uid="{00000000-0002-0000-0400-000001000000}"/>
  </dataValidations>
  <pageMargins left="0.7" right="0.7" top="0.75" bottom="0.75" header="0.3" footer="0.3"/>
  <pageSetup orientation="portrait" r:id="rId1"/>
  <ignoredErrors>
    <ignoredError sqref="C94:D94 D99:D112 D98 C95:D97 C92:D92 D93 C88:D91 C93 C98:C112" unlockedFormula="1"/>
  </ignoredError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31">
    <tabColor rgb="FFFFCC99"/>
  </sheetPr>
  <dimension ref="A1:AA126"/>
  <sheetViews>
    <sheetView zoomScaleNormal="100" workbookViewId="0">
      <selection activeCell="S19" sqref="S19"/>
    </sheetView>
  </sheetViews>
  <sheetFormatPr defaultColWidth="8.75" defaultRowHeight="12.75" x14ac:dyDescent="0.2"/>
  <cols>
    <col min="1" max="1" width="2.125" style="65" customWidth="1"/>
    <col min="2" max="2" width="16.875" style="65" customWidth="1"/>
    <col min="3" max="4" width="12.625" style="465" customWidth="1"/>
    <col min="5" max="14" width="10.625" style="465" customWidth="1"/>
    <col min="15" max="15" width="8.625" style="465" customWidth="1"/>
    <col min="16" max="16" width="17.375" style="465" customWidth="1"/>
    <col min="17" max="17" width="10.75" style="465" bestFit="1" customWidth="1"/>
    <col min="18" max="20" width="9.625" style="465" customWidth="1"/>
    <col min="21" max="24" width="8.75" style="465"/>
    <col min="25" max="25" width="18" style="465" bestFit="1" customWidth="1"/>
    <col min="26" max="16384" width="8.75" style="465"/>
  </cols>
  <sheetData>
    <row r="1" spans="1:20" ht="15.75" x14ac:dyDescent="0.25">
      <c r="A1" s="515"/>
      <c r="C1" s="463"/>
      <c r="D1" s="653" t="s">
        <v>51</v>
      </c>
      <c r="E1" s="463"/>
      <c r="F1" s="477"/>
      <c r="G1" s="477"/>
      <c r="H1" s="653" t="s">
        <v>95</v>
      </c>
      <c r="I1" s="477"/>
      <c r="J1" s="477"/>
      <c r="L1" s="653" t="s">
        <v>87</v>
      </c>
      <c r="S1" s="65"/>
      <c r="T1" s="65"/>
    </row>
    <row r="2" spans="1:20" ht="12.75" customHeight="1" thickBot="1" x14ac:dyDescent="0.25">
      <c r="A2" s="515"/>
      <c r="B2" s="449"/>
      <c r="C2" s="624"/>
      <c r="D2" s="624"/>
      <c r="E2" s="467"/>
      <c r="F2" s="477"/>
      <c r="G2" s="477"/>
      <c r="H2" s="65"/>
      <c r="I2" s="478"/>
      <c r="J2" s="477"/>
    </row>
    <row r="3" spans="1:20" ht="12.75" customHeight="1" x14ac:dyDescent="0.2">
      <c r="A3" s="515"/>
      <c r="B3" s="469" t="s">
        <v>389</v>
      </c>
      <c r="C3" s="470"/>
      <c r="D3" s="620" t="s">
        <v>388</v>
      </c>
      <c r="E3" s="620"/>
      <c r="F3" s="625" t="s">
        <v>22</v>
      </c>
      <c r="G3" s="470"/>
      <c r="H3" s="620" t="s">
        <v>388</v>
      </c>
      <c r="I3" s="620"/>
      <c r="J3" s="625" t="s">
        <v>22</v>
      </c>
      <c r="K3" s="470"/>
      <c r="L3" s="620" t="s">
        <v>388</v>
      </c>
      <c r="M3" s="620"/>
      <c r="N3" s="625" t="s">
        <v>22</v>
      </c>
      <c r="S3" s="65"/>
      <c r="T3" s="65"/>
    </row>
    <row r="4" spans="1:20" ht="12.75" customHeight="1" x14ac:dyDescent="0.2">
      <c r="A4" s="515"/>
      <c r="C4" s="576" t="s">
        <v>26</v>
      </c>
      <c r="D4" s="559" t="s">
        <v>387</v>
      </c>
      <c r="E4" s="618" t="s">
        <v>14</v>
      </c>
      <c r="F4" s="507" t="s">
        <v>20</v>
      </c>
      <c r="G4" s="576" t="s">
        <v>26</v>
      </c>
      <c r="H4" s="559" t="s">
        <v>387</v>
      </c>
      <c r="I4" s="618" t="s">
        <v>14</v>
      </c>
      <c r="J4" s="507" t="s">
        <v>20</v>
      </c>
      <c r="K4" s="576" t="s">
        <v>26</v>
      </c>
      <c r="L4" s="559" t="s">
        <v>387</v>
      </c>
      <c r="M4" s="618" t="s">
        <v>14</v>
      </c>
      <c r="N4" s="507" t="s">
        <v>20</v>
      </c>
    </row>
    <row r="5" spans="1:20" ht="12.75" customHeight="1" x14ac:dyDescent="0.2">
      <c r="A5" s="515"/>
      <c r="B5" s="452" t="s">
        <v>70</v>
      </c>
      <c r="C5" s="661">
        <f t="shared" ref="C5:C28" ca="1" si="0">E5*(1-C38)</f>
        <v>809.19272727272721</v>
      </c>
      <c r="D5" s="651">
        <f t="shared" ref="D5:D28" ca="1" si="1">E5*C38</f>
        <v>42.589090909090913</v>
      </c>
      <c r="E5" s="650">
        <f t="shared" ref="E5:E27" ca="1" si="2">$F5/($E38)</f>
        <v>851.78181818181815</v>
      </c>
      <c r="F5" s="648">
        <f ca="1">IF('Data Input'!$F$17="No",'Data Input'!S19,'BOM Entry'!C4)</f>
        <v>468.48</v>
      </c>
      <c r="G5" s="665">
        <f t="shared" ref="G5:G28" ca="1" si="3">I5*(1-C38)</f>
        <v>235.56545454545457</v>
      </c>
      <c r="H5" s="652">
        <f t="shared" ref="H5:H28" ca="1" si="4">I5*C38</f>
        <v>12.39818181818182</v>
      </c>
      <c r="I5" s="650">
        <f t="shared" ref="I5:I27" ca="1" si="5">$J5/(F38)</f>
        <v>247.9636363636364</v>
      </c>
      <c r="J5" s="648">
        <f ca="1">IF('Data Input'!$F$17="No",'Data Input'!V19,'BOM Entry'!F4)</f>
        <v>136.38000000000002</v>
      </c>
      <c r="K5" s="665">
        <f t="shared" ref="K5:K28" ca="1" si="6">M5*(1-C38)</f>
        <v>231.08836363636362</v>
      </c>
      <c r="L5" s="652">
        <f t="shared" ref="L5:L28" ca="1" si="7">M5*C38</f>
        <v>12.162545454545455</v>
      </c>
      <c r="M5" s="650">
        <f t="shared" ref="M5:M27" ca="1" si="8">$N5/($G38)</f>
        <v>243.25090909090909</v>
      </c>
      <c r="N5" s="648">
        <f ca="1">IF('Data Input'!$F$17="No",'Data Input'!Y19,'BOM Entry'!I4)</f>
        <v>133.78800000000001</v>
      </c>
    </row>
    <row r="6" spans="1:20" x14ac:dyDescent="0.2">
      <c r="A6" s="515"/>
      <c r="B6" s="452" t="s">
        <v>33</v>
      </c>
      <c r="C6" s="661">
        <f t="shared" ca="1" si="0"/>
        <v>35.13600000000001</v>
      </c>
      <c r="D6" s="651">
        <f t="shared" ca="1" si="1"/>
        <v>199.10400000000001</v>
      </c>
      <c r="E6" s="650">
        <f t="shared" ca="1" si="2"/>
        <v>234.24</v>
      </c>
      <c r="F6" s="648">
        <f ca="1">IF('Data Input'!$F$17="No",'Data Input'!S20,'BOM Entry'!C5)</f>
        <v>175.68</v>
      </c>
      <c r="G6" s="665">
        <f t="shared" ca="1" si="3"/>
        <v>26.856000000000002</v>
      </c>
      <c r="H6" s="652">
        <f t="shared" ca="1" si="4"/>
        <v>152.184</v>
      </c>
      <c r="I6" s="650">
        <f t="shared" ca="1" si="5"/>
        <v>179.04</v>
      </c>
      <c r="J6" s="648">
        <f ca="1">IF('Data Input'!$F$17="No",'Data Input'!V20,'BOM Entry'!F5)</f>
        <v>134.28</v>
      </c>
      <c r="K6" s="665">
        <f t="shared" ca="1" si="6"/>
        <v>26.510400000000008</v>
      </c>
      <c r="L6" s="652">
        <f t="shared" ca="1" si="7"/>
        <v>150.22560000000001</v>
      </c>
      <c r="M6" s="650">
        <f t="shared" ca="1" si="8"/>
        <v>176.73600000000002</v>
      </c>
      <c r="N6" s="648">
        <f ca="1">IF('Data Input'!$F$17="No",'Data Input'!Y20,'BOM Entry'!I5)</f>
        <v>132.55200000000002</v>
      </c>
    </row>
    <row r="7" spans="1:20" x14ac:dyDescent="0.2">
      <c r="A7" s="515"/>
      <c r="B7" s="453" t="s">
        <v>209</v>
      </c>
      <c r="C7" s="661">
        <f t="shared" ca="1" si="0"/>
        <v>0</v>
      </c>
      <c r="D7" s="651">
        <f t="shared" ca="1" si="1"/>
        <v>146.4</v>
      </c>
      <c r="E7" s="650">
        <f t="shared" ca="1" si="2"/>
        <v>146.4</v>
      </c>
      <c r="F7" s="648">
        <f ca="1">IF('Data Input'!$F$17="No",'Data Input'!S21,'BOM Entry'!C6)</f>
        <v>117.12</v>
      </c>
      <c r="G7" s="665">
        <f t="shared" ca="1" si="3"/>
        <v>0</v>
      </c>
      <c r="H7" s="652">
        <f t="shared" ca="1" si="4"/>
        <v>146.4</v>
      </c>
      <c r="I7" s="650">
        <f t="shared" ca="1" si="5"/>
        <v>146.4</v>
      </c>
      <c r="J7" s="648">
        <f ca="1">IF('Data Input'!$F$17="No",'Data Input'!V21,'BOM Entry'!F6)</f>
        <v>117.12</v>
      </c>
      <c r="K7" s="665">
        <f t="shared" ca="1" si="6"/>
        <v>0</v>
      </c>
      <c r="L7" s="652">
        <f t="shared" ca="1" si="7"/>
        <v>146.4</v>
      </c>
      <c r="M7" s="650">
        <f t="shared" ca="1" si="8"/>
        <v>146.4</v>
      </c>
      <c r="N7" s="648">
        <f ca="1">IF('Data Input'!$F$17="No",'Data Input'!Y21,'BOM Entry'!I6)</f>
        <v>117.12</v>
      </c>
    </row>
    <row r="8" spans="1:20" x14ac:dyDescent="0.2">
      <c r="A8" s="515"/>
      <c r="B8" s="452" t="s">
        <v>206</v>
      </c>
      <c r="C8" s="661">
        <f t="shared" ca="1" si="0"/>
        <v>0</v>
      </c>
      <c r="D8" s="651">
        <f t="shared" ca="1" si="1"/>
        <v>0</v>
      </c>
      <c r="E8" s="650">
        <f t="shared" ca="1" si="2"/>
        <v>0</v>
      </c>
      <c r="F8" s="648">
        <f ca="1">IF('Data Input'!$F$17="No",'Data Input'!S22,'BOM Entry'!C7)</f>
        <v>0</v>
      </c>
      <c r="G8" s="665">
        <f t="shared" ca="1" si="3"/>
        <v>419.72727272727263</v>
      </c>
      <c r="H8" s="652">
        <f t="shared" ca="1" si="4"/>
        <v>22.09090909090909</v>
      </c>
      <c r="I8" s="650">
        <f t="shared" ca="1" si="5"/>
        <v>441.81818181818176</v>
      </c>
      <c r="J8" s="648">
        <f ca="1">IF('Data Input'!$F$17="No",'Data Input'!V22,'BOM Entry'!F7)</f>
        <v>243</v>
      </c>
      <c r="K8" s="665">
        <f t="shared" ca="1" si="6"/>
        <v>0</v>
      </c>
      <c r="L8" s="652">
        <f t="shared" ca="1" si="7"/>
        <v>0</v>
      </c>
      <c r="M8" s="650">
        <f t="shared" ca="1" si="8"/>
        <v>0</v>
      </c>
      <c r="N8" s="648">
        <f ca="1">IF('Data Input'!$F$17="No",'Data Input'!Y22,'BOM Entry'!I7)</f>
        <v>0</v>
      </c>
    </row>
    <row r="9" spans="1:20" x14ac:dyDescent="0.2">
      <c r="A9" s="515"/>
      <c r="B9" s="452" t="s">
        <v>207</v>
      </c>
      <c r="C9" s="661">
        <f t="shared" ca="1" si="0"/>
        <v>0</v>
      </c>
      <c r="D9" s="651">
        <f t="shared" ca="1" si="1"/>
        <v>0</v>
      </c>
      <c r="E9" s="650">
        <f t="shared" ca="1" si="2"/>
        <v>0</v>
      </c>
      <c r="F9" s="648">
        <f ca="1">IF('Data Input'!$F$17="No",'Data Input'!S23,'BOM Entry'!C8)</f>
        <v>0</v>
      </c>
      <c r="G9" s="665">
        <f t="shared" ca="1" si="3"/>
        <v>5.4</v>
      </c>
      <c r="H9" s="652">
        <f t="shared" ca="1" si="4"/>
        <v>30.599999999999998</v>
      </c>
      <c r="I9" s="650">
        <f t="shared" ca="1" si="5"/>
        <v>36</v>
      </c>
      <c r="J9" s="648">
        <f ca="1">IF('Data Input'!$F$17="No",'Data Input'!V23,'BOM Entry'!F8)</f>
        <v>27</v>
      </c>
      <c r="K9" s="665">
        <f t="shared" ca="1" si="6"/>
        <v>0</v>
      </c>
      <c r="L9" s="652">
        <f t="shared" ca="1" si="7"/>
        <v>0</v>
      </c>
      <c r="M9" s="650">
        <f t="shared" ca="1" si="8"/>
        <v>0</v>
      </c>
      <c r="N9" s="648">
        <f ca="1">IF('Data Input'!$F$17="No",'Data Input'!Y23,'BOM Entry'!I8)</f>
        <v>0</v>
      </c>
    </row>
    <row r="10" spans="1:20" x14ac:dyDescent="0.2">
      <c r="A10" s="515"/>
      <c r="B10" s="452" t="s">
        <v>208</v>
      </c>
      <c r="C10" s="661">
        <f t="shared" ca="1" si="0"/>
        <v>0</v>
      </c>
      <c r="D10" s="651">
        <f t="shared" ca="1" si="1"/>
        <v>0</v>
      </c>
      <c r="E10" s="650">
        <f t="shared" ca="1" si="2"/>
        <v>0</v>
      </c>
      <c r="F10" s="648">
        <f ca="1">IF('Data Input'!$F$17="No",'Data Input'!S24,'BOM Entry'!C9)</f>
        <v>0</v>
      </c>
      <c r="G10" s="665">
        <f t="shared" ca="1" si="3"/>
        <v>0</v>
      </c>
      <c r="H10" s="652">
        <f t="shared" ca="1" si="4"/>
        <v>0</v>
      </c>
      <c r="I10" s="650">
        <f t="shared" ca="1" si="5"/>
        <v>0</v>
      </c>
      <c r="J10" s="648">
        <f ca="1">IF('Data Input'!$F$17="No",'Data Input'!V24,'BOM Entry'!F9)</f>
        <v>0</v>
      </c>
      <c r="K10" s="665">
        <f t="shared" ca="1" si="6"/>
        <v>0</v>
      </c>
      <c r="L10" s="652">
        <f t="shared" ca="1" si="7"/>
        <v>0</v>
      </c>
      <c r="M10" s="650">
        <f t="shared" ca="1" si="8"/>
        <v>0</v>
      </c>
      <c r="N10" s="648">
        <f ca="1">IF('Data Input'!$F$17="No",'Data Input'!Y24,'BOM Entry'!I9)</f>
        <v>0</v>
      </c>
    </row>
    <row r="11" spans="1:20" x14ac:dyDescent="0.2">
      <c r="A11" s="515"/>
      <c r="B11" s="452" t="s">
        <v>88</v>
      </c>
      <c r="C11" s="661">
        <f t="shared" ca="1" si="0"/>
        <v>22.523076923076925</v>
      </c>
      <c r="D11" s="651">
        <f t="shared" ca="1" si="1"/>
        <v>0</v>
      </c>
      <c r="E11" s="650">
        <f t="shared" ca="1" si="2"/>
        <v>22.523076923076925</v>
      </c>
      <c r="F11" s="648">
        <f ca="1">IF('Data Input'!$F$17="No",'Data Input'!S25,'BOM Entry'!C10)</f>
        <v>11.712000000000002</v>
      </c>
      <c r="G11" s="665">
        <f t="shared" ca="1" si="3"/>
        <v>17.330769230769231</v>
      </c>
      <c r="H11" s="652">
        <f t="shared" ca="1" si="4"/>
        <v>0</v>
      </c>
      <c r="I11" s="650">
        <f t="shared" ca="1" si="5"/>
        <v>17.330769230769231</v>
      </c>
      <c r="J11" s="648">
        <f ca="1">IF('Data Input'!$F$17="No",'Data Input'!V25,'BOM Entry'!F10)</f>
        <v>9.0120000000000005</v>
      </c>
      <c r="K11" s="665">
        <f t="shared" ca="1" si="6"/>
        <v>340.36153846153843</v>
      </c>
      <c r="L11" s="652">
        <f t="shared" ca="1" si="7"/>
        <v>0</v>
      </c>
      <c r="M11" s="650">
        <f t="shared" ca="1" si="8"/>
        <v>340.36153846153843</v>
      </c>
      <c r="N11" s="648">
        <f ca="1">IF('Data Input'!$F$17="No",'Data Input'!Y25,'BOM Entry'!I10)</f>
        <v>176.988</v>
      </c>
    </row>
    <row r="12" spans="1:20" x14ac:dyDescent="0.2">
      <c r="A12" s="515"/>
      <c r="B12" s="452" t="s">
        <v>98</v>
      </c>
      <c r="C12" s="661">
        <f t="shared" ca="1" si="0"/>
        <v>14.64</v>
      </c>
      <c r="D12" s="651">
        <f t="shared" ca="1" si="1"/>
        <v>0</v>
      </c>
      <c r="E12" s="650">
        <f t="shared" ca="1" si="2"/>
        <v>14.64</v>
      </c>
      <c r="F12" s="648">
        <f ca="1">IF('Data Input'!$F$17="No",'Data Input'!S26,'BOM Entry'!C11)</f>
        <v>11.712000000000002</v>
      </c>
      <c r="G12" s="665">
        <f t="shared" ca="1" si="3"/>
        <v>11.265000000000001</v>
      </c>
      <c r="H12" s="652">
        <f t="shared" ca="1" si="4"/>
        <v>0</v>
      </c>
      <c r="I12" s="650">
        <f t="shared" ca="1" si="5"/>
        <v>11.265000000000001</v>
      </c>
      <c r="J12" s="648">
        <f ca="1">IF('Data Input'!$F$17="No",'Data Input'!V26,'BOM Entry'!F11)</f>
        <v>9.0120000000000005</v>
      </c>
      <c r="K12" s="665">
        <f t="shared" ca="1" si="6"/>
        <v>100.63500000000001</v>
      </c>
      <c r="L12" s="652">
        <f t="shared" ca="1" si="7"/>
        <v>0</v>
      </c>
      <c r="M12" s="650">
        <f t="shared" ca="1" si="8"/>
        <v>100.63500000000001</v>
      </c>
      <c r="N12" s="648">
        <f ca="1">IF('Data Input'!$F$17="No",'Data Input'!Y26,'BOM Entry'!I11)</f>
        <v>80.50800000000001</v>
      </c>
    </row>
    <row r="13" spans="1:20" x14ac:dyDescent="0.2">
      <c r="A13" s="515"/>
      <c r="B13" s="452" t="s">
        <v>99</v>
      </c>
      <c r="C13" s="661">
        <f t="shared" ca="1" si="0"/>
        <v>10.980000000000002</v>
      </c>
      <c r="D13" s="651">
        <f t="shared" ca="1" si="1"/>
        <v>62.22</v>
      </c>
      <c r="E13" s="650">
        <f t="shared" ca="1" si="2"/>
        <v>73.2</v>
      </c>
      <c r="F13" s="648">
        <f ca="1">IF('Data Input'!$F$17="No",'Data Input'!S27,'BOM Entry'!C12)</f>
        <v>58.56</v>
      </c>
      <c r="G13" s="665">
        <f t="shared" ca="1" si="3"/>
        <v>9.4612500000000015</v>
      </c>
      <c r="H13" s="652">
        <f t="shared" ca="1" si="4"/>
        <v>53.613749999999996</v>
      </c>
      <c r="I13" s="650">
        <f t="shared" ca="1" si="5"/>
        <v>63.074999999999996</v>
      </c>
      <c r="J13" s="648">
        <f ca="1">IF('Data Input'!$F$17="No",'Data Input'!V27,'BOM Entry'!F12)</f>
        <v>50.46</v>
      </c>
      <c r="K13" s="665">
        <f t="shared" ca="1" si="6"/>
        <v>8.9752500000000008</v>
      </c>
      <c r="L13" s="652">
        <f t="shared" ca="1" si="7"/>
        <v>50.859749999999998</v>
      </c>
      <c r="M13" s="650">
        <f t="shared" ca="1" si="8"/>
        <v>59.835000000000001</v>
      </c>
      <c r="N13" s="648">
        <f ca="1">IF('Data Input'!$F$17="No",'Data Input'!Y27,'BOM Entry'!I12)</f>
        <v>47.868000000000002</v>
      </c>
    </row>
    <row r="14" spans="1:20" x14ac:dyDescent="0.2">
      <c r="A14" s="515"/>
      <c r="B14" s="453" t="s">
        <v>210</v>
      </c>
      <c r="C14" s="661">
        <f t="shared" ca="1" si="0"/>
        <v>0</v>
      </c>
      <c r="D14" s="651">
        <f t="shared" ca="1" si="1"/>
        <v>0</v>
      </c>
      <c r="E14" s="650">
        <f t="shared" ca="1" si="2"/>
        <v>0</v>
      </c>
      <c r="F14" s="648">
        <f ca="1">IF('Data Input'!$F$17="No",'Data Input'!S28,'BOM Entry'!C13)</f>
        <v>0</v>
      </c>
      <c r="G14" s="665">
        <f t="shared" ca="1" si="3"/>
        <v>0</v>
      </c>
      <c r="H14" s="652">
        <f t="shared" ca="1" si="4"/>
        <v>0</v>
      </c>
      <c r="I14" s="650">
        <f t="shared" ca="1" si="5"/>
        <v>0</v>
      </c>
      <c r="J14" s="648">
        <f ca="1">IF('Data Input'!$F$17="No",'Data Input'!V28,'BOM Entry'!F13)</f>
        <v>0</v>
      </c>
      <c r="K14" s="665">
        <f t="shared" ca="1" si="6"/>
        <v>0</v>
      </c>
      <c r="L14" s="652">
        <f t="shared" ca="1" si="7"/>
        <v>0</v>
      </c>
      <c r="M14" s="650">
        <f t="shared" ca="1" si="8"/>
        <v>0</v>
      </c>
      <c r="N14" s="648">
        <f ca="1">IF('Data Input'!$F$17="No",'Data Input'!Y28,'BOM Entry'!I13)</f>
        <v>0</v>
      </c>
    </row>
    <row r="15" spans="1:20" x14ac:dyDescent="0.2">
      <c r="A15" s="515"/>
      <c r="B15" s="453" t="s">
        <v>211</v>
      </c>
      <c r="C15" s="661">
        <f t="shared" ca="1" si="0"/>
        <v>0</v>
      </c>
      <c r="D15" s="651">
        <f t="shared" ca="1" si="1"/>
        <v>0</v>
      </c>
      <c r="E15" s="650">
        <f t="shared" ca="1" si="2"/>
        <v>0</v>
      </c>
      <c r="F15" s="648">
        <f ca="1">IF('Data Input'!$F$17="No",'Data Input'!S29,'BOM Entry'!C14)</f>
        <v>0</v>
      </c>
      <c r="G15" s="665">
        <f t="shared" ca="1" si="3"/>
        <v>0</v>
      </c>
      <c r="H15" s="652">
        <f t="shared" ca="1" si="4"/>
        <v>0</v>
      </c>
      <c r="I15" s="650">
        <f t="shared" ca="1" si="5"/>
        <v>0</v>
      </c>
      <c r="J15" s="648">
        <f ca="1">IF('Data Input'!$F$17="No",'Data Input'!V29,'BOM Entry'!F14)</f>
        <v>0</v>
      </c>
      <c r="K15" s="665">
        <f t="shared" ca="1" si="6"/>
        <v>0</v>
      </c>
      <c r="L15" s="652">
        <f t="shared" ca="1" si="7"/>
        <v>0</v>
      </c>
      <c r="M15" s="650">
        <f t="shared" ca="1" si="8"/>
        <v>0</v>
      </c>
      <c r="N15" s="648">
        <f ca="1">IF('Data Input'!$F$17="No",'Data Input'!Y29,'BOM Entry'!I14)</f>
        <v>0</v>
      </c>
    </row>
    <row r="16" spans="1:20" x14ac:dyDescent="0.2">
      <c r="A16" s="515"/>
      <c r="B16" s="452" t="s">
        <v>76</v>
      </c>
      <c r="C16" s="661">
        <f t="shared" ca="1" si="0"/>
        <v>0</v>
      </c>
      <c r="D16" s="651">
        <f t="shared" ca="1" si="1"/>
        <v>0</v>
      </c>
      <c r="E16" s="650">
        <f t="shared" ca="1" si="2"/>
        <v>0</v>
      </c>
      <c r="F16" s="648">
        <f ca="1">IF('Data Input'!$F$17="No",'Data Input'!S30,'BOM Entry'!C15)</f>
        <v>0</v>
      </c>
      <c r="G16" s="665">
        <f t="shared" ca="1" si="3"/>
        <v>0</v>
      </c>
      <c r="H16" s="652">
        <f t="shared" ca="1" si="4"/>
        <v>0</v>
      </c>
      <c r="I16" s="650">
        <f t="shared" ca="1" si="5"/>
        <v>0</v>
      </c>
      <c r="J16" s="648">
        <f ca="1">IF('Data Input'!$F$17="No",'Data Input'!V30,'BOM Entry'!F15)</f>
        <v>0</v>
      </c>
      <c r="K16" s="665">
        <f t="shared" ca="1" si="6"/>
        <v>0</v>
      </c>
      <c r="L16" s="652">
        <f t="shared" ca="1" si="7"/>
        <v>0</v>
      </c>
      <c r="M16" s="650">
        <f t="shared" ca="1" si="8"/>
        <v>0</v>
      </c>
      <c r="N16" s="648">
        <f ca="1">IF('Data Input'!$F$17="No",'Data Input'!Y30,'BOM Entry'!I15)</f>
        <v>0</v>
      </c>
    </row>
    <row r="17" spans="1:19" x14ac:dyDescent="0.2">
      <c r="A17" s="515"/>
      <c r="B17" s="452" t="s">
        <v>77</v>
      </c>
      <c r="C17" s="661">
        <f t="shared" ca="1" si="0"/>
        <v>0</v>
      </c>
      <c r="D17" s="651">
        <f t="shared" ca="1" si="1"/>
        <v>0</v>
      </c>
      <c r="E17" s="650">
        <f t="shared" ca="1" si="2"/>
        <v>0</v>
      </c>
      <c r="F17" s="648">
        <f ca="1">IF('Data Input'!$F$17="No",'Data Input'!S31,'BOM Entry'!C16)</f>
        <v>0</v>
      </c>
      <c r="G17" s="665">
        <f t="shared" ca="1" si="3"/>
        <v>0</v>
      </c>
      <c r="H17" s="652">
        <f t="shared" ca="1" si="4"/>
        <v>0</v>
      </c>
      <c r="I17" s="650">
        <f t="shared" ca="1" si="5"/>
        <v>0</v>
      </c>
      <c r="J17" s="648">
        <f ca="1">IF('Data Input'!$F$17="No",'Data Input'!V31,'BOM Entry'!F16)</f>
        <v>0</v>
      </c>
      <c r="K17" s="665">
        <f t="shared" ca="1" si="6"/>
        <v>0</v>
      </c>
      <c r="L17" s="652">
        <f t="shared" ca="1" si="7"/>
        <v>0</v>
      </c>
      <c r="M17" s="650">
        <f t="shared" ca="1" si="8"/>
        <v>0</v>
      </c>
      <c r="N17" s="648">
        <f ca="1">IF('Data Input'!$F$17="No",'Data Input'!Y31,'BOM Entry'!I16)</f>
        <v>0</v>
      </c>
    </row>
    <row r="18" spans="1:19" x14ac:dyDescent="0.2">
      <c r="A18" s="515"/>
      <c r="B18" s="452" t="s">
        <v>78</v>
      </c>
      <c r="C18" s="661">
        <f t="shared" ca="1" si="0"/>
        <v>0</v>
      </c>
      <c r="D18" s="651">
        <f t="shared" ca="1" si="1"/>
        <v>0</v>
      </c>
      <c r="E18" s="650">
        <f t="shared" ca="1" si="2"/>
        <v>0</v>
      </c>
      <c r="F18" s="648">
        <f ca="1">IF('Data Input'!$F$17="No",'Data Input'!S32,'BOM Entry'!C17)</f>
        <v>0</v>
      </c>
      <c r="G18" s="665">
        <f t="shared" ca="1" si="3"/>
        <v>0</v>
      </c>
      <c r="H18" s="652">
        <f t="shared" ca="1" si="4"/>
        <v>0</v>
      </c>
      <c r="I18" s="650">
        <f t="shared" ca="1" si="5"/>
        <v>0</v>
      </c>
      <c r="J18" s="648">
        <f ca="1">IF('Data Input'!$F$17="No",'Data Input'!V32,'BOM Entry'!F17)</f>
        <v>0</v>
      </c>
      <c r="K18" s="665">
        <f t="shared" ca="1" si="6"/>
        <v>0</v>
      </c>
      <c r="L18" s="652">
        <f t="shared" ca="1" si="7"/>
        <v>0</v>
      </c>
      <c r="M18" s="650">
        <f t="shared" ca="1" si="8"/>
        <v>0</v>
      </c>
      <c r="N18" s="648">
        <f ca="1">IF('Data Input'!$F$17="No",'Data Input'!Y32,'BOM Entry'!I17)</f>
        <v>0</v>
      </c>
    </row>
    <row r="19" spans="1:19" x14ac:dyDescent="0.2">
      <c r="A19" s="515"/>
      <c r="B19" s="453" t="s">
        <v>212</v>
      </c>
      <c r="C19" s="661">
        <f t="shared" ca="1" si="0"/>
        <v>146.14870273830141</v>
      </c>
      <c r="D19" s="651">
        <f t="shared" ca="1" si="1"/>
        <v>0</v>
      </c>
      <c r="E19" s="650">
        <f ca="1">$F19/($E52)</f>
        <v>146.14870273830141</v>
      </c>
      <c r="F19" s="648">
        <f ca="1">IF('Data Input'!$F$17="No",'Data Input'!S33,'BOM Entry'!C18)</f>
        <v>140.54400000000001</v>
      </c>
      <c r="G19" s="665">
        <f t="shared" ca="1" si="3"/>
        <v>146.14870273830141</v>
      </c>
      <c r="H19" s="652">
        <f t="shared" ca="1" si="4"/>
        <v>0</v>
      </c>
      <c r="I19" s="650">
        <f t="shared" ca="1" si="5"/>
        <v>146.14870273830141</v>
      </c>
      <c r="J19" s="648">
        <f ca="1">IF('Data Input'!$F$17="No",'Data Input'!V33,'BOM Entry'!F18)</f>
        <v>140.54400000000001</v>
      </c>
      <c r="K19" s="665">
        <f t="shared" ca="1" si="6"/>
        <v>146.14870273830141</v>
      </c>
      <c r="L19" s="652">
        <f t="shared" ca="1" si="7"/>
        <v>0</v>
      </c>
      <c r="M19" s="650">
        <f t="shared" ca="1" si="8"/>
        <v>146.14870273830141</v>
      </c>
      <c r="N19" s="648">
        <f ca="1">IF('Data Input'!$F$17="No",'Data Input'!Y33,'BOM Entry'!I18)</f>
        <v>140.54400000000001</v>
      </c>
    </row>
    <row r="20" spans="1:19" x14ac:dyDescent="0.2">
      <c r="A20" s="515"/>
      <c r="B20" s="453" t="s">
        <v>213</v>
      </c>
      <c r="C20" s="661">
        <f t="shared" ca="1" si="0"/>
        <v>35.136000000000003</v>
      </c>
      <c r="D20" s="651">
        <f t="shared" ca="1" si="1"/>
        <v>0</v>
      </c>
      <c r="E20" s="650">
        <f t="shared" ca="1" si="2"/>
        <v>35.136000000000003</v>
      </c>
      <c r="F20" s="648">
        <f ca="1">IF('Data Input'!$F$17="No",'Data Input'!S34,'BOM Entry'!C19)</f>
        <v>35.136000000000003</v>
      </c>
      <c r="G20" s="665">
        <f t="shared" ca="1" si="3"/>
        <v>35.136000000000003</v>
      </c>
      <c r="H20" s="652">
        <f t="shared" ca="1" si="4"/>
        <v>0</v>
      </c>
      <c r="I20" s="650">
        <f t="shared" ca="1" si="5"/>
        <v>35.136000000000003</v>
      </c>
      <c r="J20" s="648">
        <f ca="1">IF('Data Input'!$F$17="No",'Data Input'!V34,'BOM Entry'!F19)</f>
        <v>35.136000000000003</v>
      </c>
      <c r="K20" s="665">
        <f t="shared" ca="1" si="6"/>
        <v>35.136000000000003</v>
      </c>
      <c r="L20" s="652">
        <f t="shared" ca="1" si="7"/>
        <v>0</v>
      </c>
      <c r="M20" s="650">
        <f t="shared" ca="1" si="8"/>
        <v>35.136000000000003</v>
      </c>
      <c r="N20" s="648">
        <f ca="1">IF('Data Input'!$F$17="No",'Data Input'!Y34,'BOM Entry'!I19)</f>
        <v>35.136000000000003</v>
      </c>
    </row>
    <row r="21" spans="1:19" x14ac:dyDescent="0.2">
      <c r="A21" s="515"/>
      <c r="B21" s="453" t="s">
        <v>214</v>
      </c>
      <c r="C21" s="661">
        <f t="shared" ca="1" si="0"/>
        <v>35.136000000000003</v>
      </c>
      <c r="D21" s="651">
        <f t="shared" ca="1" si="1"/>
        <v>0</v>
      </c>
      <c r="E21" s="650">
        <f t="shared" ca="1" si="2"/>
        <v>35.136000000000003</v>
      </c>
      <c r="F21" s="648">
        <f ca="1">IF('Data Input'!$F$17="No",'Data Input'!S35,'BOM Entry'!C20)</f>
        <v>35.136000000000003</v>
      </c>
      <c r="G21" s="665">
        <f t="shared" ca="1" si="3"/>
        <v>35.136000000000003</v>
      </c>
      <c r="H21" s="652">
        <f t="shared" ca="1" si="4"/>
        <v>0</v>
      </c>
      <c r="I21" s="650">
        <f t="shared" ca="1" si="5"/>
        <v>35.136000000000003</v>
      </c>
      <c r="J21" s="648">
        <f ca="1">IF('Data Input'!$F$17="No",'Data Input'!V35,'BOM Entry'!F20)</f>
        <v>35.136000000000003</v>
      </c>
      <c r="K21" s="665">
        <f t="shared" ca="1" si="6"/>
        <v>35.136000000000003</v>
      </c>
      <c r="L21" s="652">
        <f t="shared" ca="1" si="7"/>
        <v>0</v>
      </c>
      <c r="M21" s="650">
        <f t="shared" ca="1" si="8"/>
        <v>35.136000000000003</v>
      </c>
      <c r="N21" s="648">
        <f ca="1">IF('Data Input'!$F$17="No",'Data Input'!Y35,'BOM Entry'!I20)</f>
        <v>35.136000000000003</v>
      </c>
    </row>
    <row r="22" spans="1:19" x14ac:dyDescent="0.2">
      <c r="A22" s="515"/>
      <c r="B22" s="453" t="s">
        <v>215</v>
      </c>
      <c r="C22" s="661">
        <f t="shared" ca="1" si="0"/>
        <v>23.424000000000003</v>
      </c>
      <c r="D22" s="651">
        <f t="shared" ca="1" si="1"/>
        <v>0</v>
      </c>
      <c r="E22" s="650">
        <f t="shared" ca="1" si="2"/>
        <v>23.424000000000003</v>
      </c>
      <c r="F22" s="648">
        <f ca="1">IF('Data Input'!$F$17="No",'Data Input'!S36,'BOM Entry'!C21)</f>
        <v>23.424000000000003</v>
      </c>
      <c r="G22" s="665">
        <f t="shared" ca="1" si="3"/>
        <v>23.424000000000003</v>
      </c>
      <c r="H22" s="652">
        <f t="shared" ca="1" si="4"/>
        <v>0</v>
      </c>
      <c r="I22" s="650">
        <f t="shared" ca="1" si="5"/>
        <v>23.424000000000003</v>
      </c>
      <c r="J22" s="648">
        <f ca="1">IF('Data Input'!$F$17="No",'Data Input'!V36,'BOM Entry'!F21)</f>
        <v>23.424000000000003</v>
      </c>
      <c r="K22" s="665">
        <f t="shared" ca="1" si="6"/>
        <v>23.424000000000003</v>
      </c>
      <c r="L22" s="652">
        <f t="shared" ca="1" si="7"/>
        <v>0</v>
      </c>
      <c r="M22" s="650">
        <f t="shared" ca="1" si="8"/>
        <v>23.424000000000003</v>
      </c>
      <c r="N22" s="648">
        <f ca="1">IF('Data Input'!$F$17="No",'Data Input'!Y36,'BOM Entry'!I21)</f>
        <v>23.424000000000003</v>
      </c>
    </row>
    <row r="23" spans="1:19" x14ac:dyDescent="0.2">
      <c r="A23" s="515"/>
      <c r="B23" s="453" t="s">
        <v>218</v>
      </c>
      <c r="C23" s="661">
        <f t="shared" ca="1" si="0"/>
        <v>0</v>
      </c>
      <c r="D23" s="651">
        <f t="shared" ca="1" si="1"/>
        <v>0</v>
      </c>
      <c r="E23" s="650">
        <f t="shared" ca="1" si="2"/>
        <v>0</v>
      </c>
      <c r="F23" s="648">
        <f ca="1">IF('Data Input'!$F$17="No",'Data Input'!S37,'BOM Entry'!C22)</f>
        <v>0</v>
      </c>
      <c r="G23" s="665">
        <f t="shared" ca="1" si="3"/>
        <v>0</v>
      </c>
      <c r="H23" s="652">
        <f t="shared" ca="1" si="4"/>
        <v>0</v>
      </c>
      <c r="I23" s="650">
        <f t="shared" ca="1" si="5"/>
        <v>0</v>
      </c>
      <c r="J23" s="648">
        <f ca="1">IF('Data Input'!$F$17="No",'Data Input'!V37,'BOM Entry'!F22)</f>
        <v>0</v>
      </c>
      <c r="K23" s="665">
        <f t="shared" ca="1" si="6"/>
        <v>0</v>
      </c>
      <c r="L23" s="652">
        <f t="shared" ca="1" si="7"/>
        <v>0</v>
      </c>
      <c r="M23" s="650">
        <f t="shared" ca="1" si="8"/>
        <v>0</v>
      </c>
      <c r="N23" s="648">
        <f ca="1">IF('Data Input'!$F$17="No",'Data Input'!Y37,'BOM Entry'!I22)</f>
        <v>0</v>
      </c>
    </row>
    <row r="24" spans="1:19" x14ac:dyDescent="0.2">
      <c r="A24" s="515"/>
      <c r="B24" s="452" t="s">
        <v>50</v>
      </c>
      <c r="C24" s="661">
        <f t="shared" ca="1" si="0"/>
        <v>93.695999999999827</v>
      </c>
      <c r="D24" s="651">
        <f t="shared" ca="1" si="1"/>
        <v>0</v>
      </c>
      <c r="E24" s="650">
        <f t="shared" ca="1" si="2"/>
        <v>93.695999999999827</v>
      </c>
      <c r="F24" s="648">
        <f ca="1">IF('Data Input'!$F$17="No",'Data Input'!S38,'BOM Entry'!C23)</f>
        <v>93.695999999999827</v>
      </c>
      <c r="G24" s="665">
        <f t="shared" ca="1" si="3"/>
        <v>93.695999999999827</v>
      </c>
      <c r="H24" s="652">
        <f t="shared" ca="1" si="4"/>
        <v>0</v>
      </c>
      <c r="I24" s="650">
        <f t="shared" ca="1" si="5"/>
        <v>93.695999999999827</v>
      </c>
      <c r="J24" s="648">
        <f ca="1">IF('Data Input'!$F$17="No",'Data Input'!V38,'BOM Entry'!F23)</f>
        <v>93.695999999999827</v>
      </c>
      <c r="K24" s="665">
        <f t="shared" ca="1" si="6"/>
        <v>93.695999999999827</v>
      </c>
      <c r="L24" s="652">
        <f t="shared" ca="1" si="7"/>
        <v>0</v>
      </c>
      <c r="M24" s="650">
        <f t="shared" ca="1" si="8"/>
        <v>93.695999999999827</v>
      </c>
      <c r="N24" s="648">
        <f ca="1">IF('Data Input'!$F$17="No",'Data Input'!Y38,'BOM Entry'!I23)</f>
        <v>93.695999999999827</v>
      </c>
    </row>
    <row r="25" spans="1:19" x14ac:dyDescent="0.2">
      <c r="A25" s="515"/>
      <c r="B25" s="452" t="s">
        <v>130</v>
      </c>
      <c r="C25" s="661">
        <f t="shared" ca="1" si="0"/>
        <v>0</v>
      </c>
      <c r="D25" s="651">
        <f t="shared" ca="1" si="1"/>
        <v>0</v>
      </c>
      <c r="E25" s="650">
        <f t="shared" ca="1" si="2"/>
        <v>0</v>
      </c>
      <c r="F25" s="648">
        <f ca="1">IF('Data Input'!$F$17="No",'Data Input'!S40,'BOM Entry'!C25)</f>
        <v>0</v>
      </c>
      <c r="G25" s="665">
        <f t="shared" ca="1" si="3"/>
        <v>0</v>
      </c>
      <c r="H25" s="652">
        <f t="shared" ca="1" si="4"/>
        <v>0</v>
      </c>
      <c r="I25" s="650">
        <f t="shared" ca="1" si="5"/>
        <v>0</v>
      </c>
      <c r="J25" s="648">
        <f ca="1">IF('Data Input'!$F$17="No",'Data Input'!V40,'BOM Entry'!F25)</f>
        <v>0</v>
      </c>
      <c r="K25" s="665">
        <f t="shared" ca="1" si="6"/>
        <v>0</v>
      </c>
      <c r="L25" s="652">
        <f t="shared" ca="1" si="7"/>
        <v>0</v>
      </c>
      <c r="M25" s="650">
        <f t="shared" ca="1" si="8"/>
        <v>0</v>
      </c>
      <c r="N25" s="648">
        <f ca="1">IF('Data Input'!$F$17="No",'Data Input'!Y40,'BOM Entry'!I25)</f>
        <v>0</v>
      </c>
    </row>
    <row r="26" spans="1:19" x14ac:dyDescent="0.2">
      <c r="A26" s="515"/>
      <c r="B26" s="453" t="s">
        <v>216</v>
      </c>
      <c r="C26" s="661">
        <f t="shared" si="0"/>
        <v>0</v>
      </c>
      <c r="D26" s="651">
        <f t="shared" si="1"/>
        <v>0</v>
      </c>
      <c r="E26" s="650">
        <f t="shared" si="2"/>
        <v>0</v>
      </c>
      <c r="F26" s="648">
        <f>IF('Data Input'!$F$17="No",'Data Input'!S41,'BOM Entry'!C26)</f>
        <v>0</v>
      </c>
      <c r="G26" s="665">
        <f t="shared" si="3"/>
        <v>0</v>
      </c>
      <c r="H26" s="652">
        <f t="shared" si="4"/>
        <v>0</v>
      </c>
      <c r="I26" s="650">
        <f t="shared" si="5"/>
        <v>0</v>
      </c>
      <c r="J26" s="648">
        <f>IF('Data Input'!$F$17="No",'Data Input'!V41,'BOM Entry'!F26)</f>
        <v>0</v>
      </c>
      <c r="K26" s="665">
        <f t="shared" si="6"/>
        <v>0</v>
      </c>
      <c r="L26" s="652">
        <f t="shared" si="7"/>
        <v>0</v>
      </c>
      <c r="M26" s="650">
        <f t="shared" si="8"/>
        <v>0</v>
      </c>
      <c r="N26" s="648">
        <f>IF('Data Input'!$F$17="No",'Data Input'!Y41,'BOM Entry'!I26)</f>
        <v>0</v>
      </c>
    </row>
    <row r="27" spans="1:19" x14ac:dyDescent="0.2">
      <c r="A27" s="515"/>
      <c r="B27" s="453" t="s">
        <v>217</v>
      </c>
      <c r="C27" s="661">
        <f t="shared" ca="1" si="0"/>
        <v>28.8</v>
      </c>
      <c r="D27" s="651">
        <f t="shared" ca="1" si="1"/>
        <v>0</v>
      </c>
      <c r="E27" s="650">
        <f t="shared" ca="1" si="2"/>
        <v>28.8</v>
      </c>
      <c r="F27" s="648">
        <f ca="1">IF('Data Input'!$F$17="No",'Data Input'!S42,'BOM Entry'!C27)</f>
        <v>28.8</v>
      </c>
      <c r="G27" s="665">
        <f t="shared" ca="1" si="3"/>
        <v>28.8</v>
      </c>
      <c r="H27" s="652">
        <f t="shared" ca="1" si="4"/>
        <v>0</v>
      </c>
      <c r="I27" s="650">
        <f t="shared" ca="1" si="5"/>
        <v>28.8</v>
      </c>
      <c r="J27" s="648">
        <f ca="1">IF('Data Input'!$F$17="No",'Data Input'!V42,'BOM Entry'!F27)</f>
        <v>28.8</v>
      </c>
      <c r="K27" s="665">
        <f t="shared" ca="1" si="6"/>
        <v>28.8</v>
      </c>
      <c r="L27" s="652">
        <f t="shared" ca="1" si="7"/>
        <v>0</v>
      </c>
      <c r="M27" s="650">
        <f t="shared" ca="1" si="8"/>
        <v>28.8</v>
      </c>
      <c r="N27" s="648">
        <f ca="1">IF('Data Input'!$F$17="No",'Data Input'!Y42,'BOM Entry'!I27)</f>
        <v>28.8</v>
      </c>
    </row>
    <row r="28" spans="1:19" x14ac:dyDescent="0.2">
      <c r="A28" s="515"/>
      <c r="B28" s="453" t="s">
        <v>288</v>
      </c>
      <c r="C28" s="661">
        <f t="shared" si="0"/>
        <v>180</v>
      </c>
      <c r="D28" s="651">
        <f t="shared" si="1"/>
        <v>0</v>
      </c>
      <c r="E28" s="650">
        <f>$F28/($E61)</f>
        <v>180</v>
      </c>
      <c r="F28" s="648">
        <f>IF('Data Input'!$F$17="No",'Data Input'!S43,'BOM Entry'!C28)</f>
        <v>60</v>
      </c>
      <c r="G28" s="665">
        <f t="shared" si="3"/>
        <v>180</v>
      </c>
      <c r="H28" s="652">
        <f t="shared" si="4"/>
        <v>0</v>
      </c>
      <c r="I28" s="650">
        <f>$J28/(F61)</f>
        <v>180</v>
      </c>
      <c r="J28" s="648">
        <f>IF('Data Input'!$F$17="No",'Data Input'!V43,'BOM Entry'!F28)</f>
        <v>60</v>
      </c>
      <c r="K28" s="665">
        <f t="shared" si="6"/>
        <v>180</v>
      </c>
      <c r="L28" s="652">
        <f t="shared" si="7"/>
        <v>0</v>
      </c>
      <c r="M28" s="650">
        <f>$N28/($G61)</f>
        <v>180</v>
      </c>
      <c r="N28" s="648">
        <f>IF('Data Input'!$F$17="No",'Data Input'!Y43,'BOM Entry'!I28)</f>
        <v>60</v>
      </c>
    </row>
    <row r="29" spans="1:19" ht="13.5" thickBot="1" x14ac:dyDescent="0.25">
      <c r="A29" s="515"/>
      <c r="B29" s="452" t="s">
        <v>14</v>
      </c>
      <c r="C29" s="662">
        <f t="shared" ref="C29:D29" ca="1" si="9">SUM(C5:C28)</f>
        <v>1434.8125069341054</v>
      </c>
      <c r="D29" s="663">
        <f t="shared" ca="1" si="9"/>
        <v>450.31309090909099</v>
      </c>
      <c r="E29" s="663">
        <f ca="1">SUM(E5:E28)</f>
        <v>1885.1255978431964</v>
      </c>
      <c r="F29" s="664">
        <f ca="1">SUM(F5:F28)</f>
        <v>1260</v>
      </c>
      <c r="G29" s="662">
        <f t="shared" ref="G29:H29" ca="1" si="10">SUM(G5:G28)</f>
        <v>1267.9464492417974</v>
      </c>
      <c r="H29" s="663">
        <f t="shared" ca="1" si="10"/>
        <v>417.28684090909093</v>
      </c>
      <c r="I29" s="663">
        <f ca="1">SUM(I5:I28)</f>
        <v>1685.2332901508885</v>
      </c>
      <c r="J29" s="664">
        <f ca="1">SUM(J5:J28)</f>
        <v>1142.9999999999995</v>
      </c>
      <c r="K29" s="662">
        <f t="shared" ref="K29:L29" ca="1" si="11">SUM(K5:K28)</f>
        <v>1249.9112548362032</v>
      </c>
      <c r="L29" s="663">
        <f t="shared" ca="1" si="11"/>
        <v>359.64789545454551</v>
      </c>
      <c r="M29" s="663">
        <f ca="1">SUM(M5:M28)</f>
        <v>1609.5591502907487</v>
      </c>
      <c r="N29" s="664">
        <f ca="1">SUM(N5:N28)</f>
        <v>1105.56</v>
      </c>
    </row>
    <row r="30" spans="1:19" x14ac:dyDescent="0.2">
      <c r="A30" s="467"/>
      <c r="E30" s="666"/>
      <c r="G30" s="647"/>
      <c r="H30" s="647"/>
      <c r="I30" s="666"/>
      <c r="J30" s="647"/>
      <c r="K30" s="647"/>
      <c r="M30" s="459"/>
      <c r="P30" s="459"/>
    </row>
    <row r="31" spans="1:19" ht="15.75" x14ac:dyDescent="0.25">
      <c r="A31" s="515"/>
      <c r="B31" s="475" t="s">
        <v>89</v>
      </c>
      <c r="C31" s="65"/>
      <c r="D31" s="65"/>
      <c r="E31" s="476"/>
      <c r="F31" s="649"/>
      <c r="G31" s="477"/>
      <c r="H31" s="477"/>
      <c r="I31" s="65"/>
      <c r="J31" s="477"/>
      <c r="K31" s="477"/>
      <c r="L31" s="65"/>
      <c r="M31" s="65"/>
    </row>
    <row r="32" spans="1:19" s="65" customFormat="1" x14ac:dyDescent="0.2">
      <c r="A32" s="515"/>
      <c r="L32" s="40"/>
      <c r="M32" s="40"/>
      <c r="N32" s="40"/>
      <c r="P32" s="469" t="s">
        <v>2</v>
      </c>
      <c r="Q32" s="477"/>
      <c r="S32" s="484"/>
    </row>
    <row r="33" spans="1:22" s="65" customFormat="1" ht="15" thickBot="1" x14ac:dyDescent="0.25">
      <c r="A33" s="515"/>
      <c r="C33" s="558" t="s">
        <v>103</v>
      </c>
      <c r="E33" s="558"/>
      <c r="F33" s="479" t="s">
        <v>80</v>
      </c>
      <c r="G33" s="61"/>
      <c r="I33" s="654" t="s">
        <v>79</v>
      </c>
      <c r="J33" s="61"/>
      <c r="K33" s="558"/>
      <c r="L33" s="541" t="s">
        <v>226</v>
      </c>
      <c r="O33" s="449"/>
      <c r="P33" s="469" t="s">
        <v>7</v>
      </c>
      <c r="Q33" s="469"/>
      <c r="T33" s="40"/>
      <c r="U33" s="484"/>
    </row>
    <row r="34" spans="1:22" s="65" customFormat="1" ht="12.75" customHeight="1" x14ac:dyDescent="0.2">
      <c r="A34" s="515"/>
      <c r="C34" s="671" t="s">
        <v>62</v>
      </c>
      <c r="D34" s="893" t="s">
        <v>81</v>
      </c>
      <c r="E34" s="667"/>
      <c r="F34" s="463"/>
      <c r="G34" s="486"/>
      <c r="H34" s="463"/>
      <c r="I34" s="487"/>
      <c r="J34" s="464"/>
      <c r="K34" s="470"/>
      <c r="L34" s="463"/>
      <c r="M34" s="463"/>
      <c r="N34" s="464"/>
      <c r="O34" s="672" t="s">
        <v>69</v>
      </c>
      <c r="P34" s="673" t="s">
        <v>21</v>
      </c>
      <c r="Q34" s="674" t="s">
        <v>21</v>
      </c>
      <c r="U34" s="655"/>
    </row>
    <row r="35" spans="1:22" s="65" customFormat="1" ht="12.75" customHeight="1" x14ac:dyDescent="0.2">
      <c r="A35" s="515"/>
      <c r="C35" s="473" t="s">
        <v>82</v>
      </c>
      <c r="D35" s="480" t="s">
        <v>84</v>
      </c>
      <c r="E35" s="490" t="s">
        <v>51</v>
      </c>
      <c r="F35" s="491" t="s">
        <v>21</v>
      </c>
      <c r="G35" s="492" t="s">
        <v>21</v>
      </c>
      <c r="H35" s="480" t="s">
        <v>58</v>
      </c>
      <c r="I35" s="491" t="s">
        <v>60</v>
      </c>
      <c r="J35" s="468" t="s">
        <v>107</v>
      </c>
      <c r="K35" s="473" t="s">
        <v>58</v>
      </c>
      <c r="L35" s="489" t="s">
        <v>59</v>
      </c>
      <c r="M35" s="489" t="s">
        <v>67</v>
      </c>
      <c r="N35" s="468" t="s">
        <v>107</v>
      </c>
      <c r="O35" s="490" t="s">
        <v>22</v>
      </c>
      <c r="P35" s="491" t="s">
        <v>23</v>
      </c>
      <c r="Q35" s="468" t="s">
        <v>24</v>
      </c>
      <c r="T35" s="656"/>
    </row>
    <row r="36" spans="1:22" s="65" customFormat="1" ht="14.25" x14ac:dyDescent="0.2">
      <c r="A36" s="515"/>
      <c r="C36" s="485" t="s">
        <v>32</v>
      </c>
      <c r="D36" s="503" t="s">
        <v>100</v>
      </c>
      <c r="E36" s="490" t="s">
        <v>22</v>
      </c>
      <c r="F36" s="491" t="s">
        <v>23</v>
      </c>
      <c r="G36" s="468" t="s">
        <v>24</v>
      </c>
      <c r="H36" s="480"/>
      <c r="I36" s="491" t="s">
        <v>61</v>
      </c>
      <c r="J36" s="565" t="s">
        <v>85</v>
      </c>
      <c r="K36" s="473"/>
      <c r="L36" s="489"/>
      <c r="M36" s="489" t="s">
        <v>61</v>
      </c>
      <c r="N36" s="481" t="s">
        <v>85</v>
      </c>
      <c r="O36" s="472"/>
      <c r="P36" s="508" t="s">
        <v>97</v>
      </c>
      <c r="Q36" s="468"/>
      <c r="T36" s="656"/>
    </row>
    <row r="37" spans="1:22" s="65" customFormat="1" x14ac:dyDescent="0.2">
      <c r="A37" s="515"/>
      <c r="C37" s="494" t="s">
        <v>49</v>
      </c>
      <c r="D37" s="496" t="s">
        <v>83</v>
      </c>
      <c r="E37" s="668" t="s">
        <v>49</v>
      </c>
      <c r="F37" s="497" t="s">
        <v>49</v>
      </c>
      <c r="G37" s="498" t="s">
        <v>49</v>
      </c>
      <c r="H37" s="497" t="s">
        <v>49</v>
      </c>
      <c r="I37" s="497" t="s">
        <v>49</v>
      </c>
      <c r="J37" s="498" t="s">
        <v>49</v>
      </c>
      <c r="K37" s="494" t="s">
        <v>49</v>
      </c>
      <c r="L37" s="496" t="s">
        <v>49</v>
      </c>
      <c r="M37" s="496" t="s">
        <v>49</v>
      </c>
      <c r="N37" s="495" t="s">
        <v>49</v>
      </c>
      <c r="O37" s="472"/>
      <c r="Q37" s="468"/>
      <c r="T37" s="497"/>
      <c r="U37" s="496"/>
      <c r="V37" s="477"/>
    </row>
    <row r="38" spans="1:22" s="65" customFormat="1" x14ac:dyDescent="0.2">
      <c r="A38" s="515"/>
      <c r="B38" s="452" t="s">
        <v>70</v>
      </c>
      <c r="C38" s="78">
        <v>0.05</v>
      </c>
      <c r="D38" s="892">
        <v>0.11899999999999999</v>
      </c>
      <c r="E38" s="78">
        <v>0.55000000000000004</v>
      </c>
      <c r="F38" s="69">
        <v>0.55000000000000004</v>
      </c>
      <c r="G38" s="88">
        <v>0.55000000000000004</v>
      </c>
      <c r="H38" s="69">
        <v>0.99</v>
      </c>
      <c r="I38" s="69">
        <v>0.98</v>
      </c>
      <c r="J38" s="501">
        <f>H38*I38</f>
        <v>0.97019999999999995</v>
      </c>
      <c r="K38" s="78">
        <v>0.97</v>
      </c>
      <c r="L38" s="69">
        <v>0.98</v>
      </c>
      <c r="M38" s="69">
        <v>0.95</v>
      </c>
      <c r="N38" s="501">
        <f>K38*L38*M38</f>
        <v>0.90306999999999993</v>
      </c>
      <c r="O38" s="847">
        <f t="shared" ref="O38:O56" si="12">(1-E38)*$J38+E38*$N38</f>
        <v>0.9332784999999999</v>
      </c>
      <c r="P38" s="514">
        <f t="shared" ref="P38:P56" si="13">(1-F38)*$J38+F38*$N38</f>
        <v>0.9332784999999999</v>
      </c>
      <c r="Q38" s="849">
        <f t="shared" ref="Q38:Q56" si="14">(1-G38)*$J38+G38*$N38</f>
        <v>0.9332784999999999</v>
      </c>
      <c r="T38" s="61"/>
      <c r="V38" s="477"/>
    </row>
    <row r="39" spans="1:22" s="65" customFormat="1" x14ac:dyDescent="0.2">
      <c r="A39" s="515"/>
      <c r="B39" s="452" t="s">
        <v>33</v>
      </c>
      <c r="C39" s="78">
        <v>0.85</v>
      </c>
      <c r="D39" s="892">
        <v>0.11899999999999999</v>
      </c>
      <c r="E39" s="78">
        <v>0.75</v>
      </c>
      <c r="F39" s="69">
        <v>0.75</v>
      </c>
      <c r="G39" s="88">
        <v>0.75</v>
      </c>
      <c r="H39" s="69">
        <v>0.99</v>
      </c>
      <c r="I39" s="69">
        <v>0.98</v>
      </c>
      <c r="J39" s="501">
        <f t="shared" ref="J39:J61" si="15">H39*I39</f>
        <v>0.97019999999999995</v>
      </c>
      <c r="K39" s="78">
        <v>0.97</v>
      </c>
      <c r="L39" s="69">
        <v>0.98</v>
      </c>
      <c r="M39" s="69">
        <v>0.95</v>
      </c>
      <c r="N39" s="501">
        <f t="shared" ref="N39:N61" si="16">K39*L39*M39</f>
        <v>0.90306999999999993</v>
      </c>
      <c r="O39" s="847">
        <f t="shared" si="12"/>
        <v>0.91985249999999996</v>
      </c>
      <c r="P39" s="514">
        <f t="shared" si="13"/>
        <v>0.91985249999999996</v>
      </c>
      <c r="Q39" s="849">
        <f t="shared" si="14"/>
        <v>0.91985249999999996</v>
      </c>
      <c r="T39" s="61"/>
      <c r="V39" s="477"/>
    </row>
    <row r="40" spans="1:22" s="65" customFormat="1" x14ac:dyDescent="0.2">
      <c r="A40" s="515"/>
      <c r="B40" s="453" t="s">
        <v>209</v>
      </c>
      <c r="C40" s="78">
        <v>1</v>
      </c>
      <c r="D40" s="894">
        <v>0.11899999999999999</v>
      </c>
      <c r="E40" s="78">
        <v>0.8</v>
      </c>
      <c r="F40" s="69">
        <v>0.8</v>
      </c>
      <c r="G40" s="88">
        <v>0.8</v>
      </c>
      <c r="H40" s="69">
        <v>0.99</v>
      </c>
      <c r="I40" s="69">
        <v>0.98</v>
      </c>
      <c r="J40" s="501">
        <f t="shared" si="15"/>
        <v>0.97019999999999995</v>
      </c>
      <c r="K40" s="78">
        <v>0.97</v>
      </c>
      <c r="L40" s="69">
        <v>0.98</v>
      </c>
      <c r="M40" s="69">
        <v>0.95</v>
      </c>
      <c r="N40" s="501">
        <f t="shared" si="16"/>
        <v>0.90306999999999993</v>
      </c>
      <c r="O40" s="847">
        <f t="shared" si="12"/>
        <v>0.91649599999999998</v>
      </c>
      <c r="P40" s="514">
        <f t="shared" si="13"/>
        <v>0.91649599999999998</v>
      </c>
      <c r="Q40" s="849">
        <f t="shared" si="14"/>
        <v>0.91649599999999998</v>
      </c>
      <c r="T40" s="61"/>
      <c r="V40" s="477"/>
    </row>
    <row r="41" spans="1:22" s="65" customFormat="1" x14ac:dyDescent="0.2">
      <c r="A41" s="515"/>
      <c r="B41" s="452" t="s">
        <v>206</v>
      </c>
      <c r="C41" s="78">
        <v>0.05</v>
      </c>
      <c r="D41" s="892">
        <v>0.11899999999999999</v>
      </c>
      <c r="E41" s="78">
        <v>0.55000000000000004</v>
      </c>
      <c r="F41" s="69">
        <v>0.55000000000000004</v>
      </c>
      <c r="G41" s="88">
        <v>0.55000000000000004</v>
      </c>
      <c r="H41" s="69">
        <v>0.99</v>
      </c>
      <c r="I41" s="69">
        <v>0.98</v>
      </c>
      <c r="J41" s="501">
        <f t="shared" si="15"/>
        <v>0.97019999999999995</v>
      </c>
      <c r="K41" s="78">
        <v>0.97</v>
      </c>
      <c r="L41" s="69">
        <v>0.98</v>
      </c>
      <c r="M41" s="69">
        <v>0.95</v>
      </c>
      <c r="N41" s="501">
        <f t="shared" si="16"/>
        <v>0.90306999999999993</v>
      </c>
      <c r="O41" s="847">
        <f t="shared" si="12"/>
        <v>0.9332784999999999</v>
      </c>
      <c r="P41" s="514">
        <f t="shared" si="13"/>
        <v>0.9332784999999999</v>
      </c>
      <c r="Q41" s="849">
        <f t="shared" si="14"/>
        <v>0.9332784999999999</v>
      </c>
    </row>
    <row r="42" spans="1:22" s="65" customFormat="1" x14ac:dyDescent="0.2">
      <c r="A42" s="515"/>
      <c r="B42" s="452" t="s">
        <v>207</v>
      </c>
      <c r="C42" s="78">
        <v>0.85</v>
      </c>
      <c r="D42" s="892">
        <v>0.11899999999999999</v>
      </c>
      <c r="E42" s="78">
        <v>0.75</v>
      </c>
      <c r="F42" s="69">
        <v>0.75</v>
      </c>
      <c r="G42" s="88">
        <v>0.75</v>
      </c>
      <c r="H42" s="69">
        <v>0.99</v>
      </c>
      <c r="I42" s="69">
        <v>0.98</v>
      </c>
      <c r="J42" s="501">
        <f t="shared" si="15"/>
        <v>0.97019999999999995</v>
      </c>
      <c r="K42" s="78">
        <v>0.97</v>
      </c>
      <c r="L42" s="69">
        <v>0.98</v>
      </c>
      <c r="M42" s="69">
        <v>0.95</v>
      </c>
      <c r="N42" s="501">
        <f t="shared" si="16"/>
        <v>0.90306999999999993</v>
      </c>
      <c r="O42" s="847">
        <f t="shared" si="12"/>
        <v>0.91985249999999996</v>
      </c>
      <c r="P42" s="514">
        <f t="shared" si="13"/>
        <v>0.91985249999999996</v>
      </c>
      <c r="Q42" s="849">
        <f t="shared" si="14"/>
        <v>0.91985249999999996</v>
      </c>
      <c r="T42" s="61"/>
    </row>
    <row r="43" spans="1:22" s="65" customFormat="1" x14ac:dyDescent="0.2">
      <c r="A43" s="515"/>
      <c r="B43" s="452" t="s">
        <v>208</v>
      </c>
      <c r="C43" s="78">
        <v>1</v>
      </c>
      <c r="D43" s="892">
        <v>0.11899999999999999</v>
      </c>
      <c r="E43" s="78">
        <v>0.8</v>
      </c>
      <c r="F43" s="69">
        <v>0.8</v>
      </c>
      <c r="G43" s="88">
        <v>0.8</v>
      </c>
      <c r="H43" s="69">
        <v>0.99</v>
      </c>
      <c r="I43" s="69">
        <v>0.98</v>
      </c>
      <c r="J43" s="501">
        <f t="shared" si="15"/>
        <v>0.97019999999999995</v>
      </c>
      <c r="K43" s="78">
        <v>0.97</v>
      </c>
      <c r="L43" s="69">
        <v>0.98</v>
      </c>
      <c r="M43" s="69">
        <v>0.95</v>
      </c>
      <c r="N43" s="501">
        <f t="shared" si="16"/>
        <v>0.90306999999999993</v>
      </c>
      <c r="O43" s="847">
        <f t="shared" si="12"/>
        <v>0.91649599999999998</v>
      </c>
      <c r="P43" s="514">
        <f t="shared" si="13"/>
        <v>0.91649599999999998</v>
      </c>
      <c r="Q43" s="849">
        <f t="shared" si="14"/>
        <v>0.91649599999999998</v>
      </c>
      <c r="T43" s="61"/>
    </row>
    <row r="44" spans="1:22" s="65" customFormat="1" x14ac:dyDescent="0.2">
      <c r="A44" s="515"/>
      <c r="B44" s="452" t="s">
        <v>88</v>
      </c>
      <c r="C44" s="78">
        <v>0</v>
      </c>
      <c r="D44" s="892">
        <v>0</v>
      </c>
      <c r="E44" s="78">
        <v>0.52</v>
      </c>
      <c r="F44" s="69">
        <v>0.52</v>
      </c>
      <c r="G44" s="88">
        <v>0.52</v>
      </c>
      <c r="H44" s="69">
        <v>0.99</v>
      </c>
      <c r="I44" s="69">
        <v>0.93</v>
      </c>
      <c r="J44" s="501">
        <f t="shared" si="15"/>
        <v>0.92070000000000007</v>
      </c>
      <c r="K44" s="78">
        <v>0.97</v>
      </c>
      <c r="L44" s="69">
        <v>0.9</v>
      </c>
      <c r="M44" s="69">
        <v>0.9</v>
      </c>
      <c r="N44" s="501">
        <f t="shared" si="16"/>
        <v>0.78570000000000007</v>
      </c>
      <c r="O44" s="847">
        <f t="shared" si="12"/>
        <v>0.85050000000000003</v>
      </c>
      <c r="P44" s="514">
        <f t="shared" si="13"/>
        <v>0.85050000000000003</v>
      </c>
      <c r="Q44" s="849">
        <f t="shared" si="14"/>
        <v>0.85050000000000003</v>
      </c>
      <c r="T44" s="61"/>
    </row>
    <row r="45" spans="1:22" s="65" customFormat="1" x14ac:dyDescent="0.2">
      <c r="A45" s="515"/>
      <c r="B45" s="452" t="s">
        <v>98</v>
      </c>
      <c r="C45" s="78">
        <v>0</v>
      </c>
      <c r="D45" s="892">
        <v>0</v>
      </c>
      <c r="E45" s="78">
        <v>0.8</v>
      </c>
      <c r="F45" s="69">
        <v>0.8</v>
      </c>
      <c r="G45" s="88">
        <v>0.8</v>
      </c>
      <c r="H45" s="69">
        <v>0.99</v>
      </c>
      <c r="I45" s="69">
        <v>0.93</v>
      </c>
      <c r="J45" s="501">
        <f t="shared" si="15"/>
        <v>0.92070000000000007</v>
      </c>
      <c r="K45" s="78">
        <v>0.97</v>
      </c>
      <c r="L45" s="69">
        <v>0.9</v>
      </c>
      <c r="M45" s="69">
        <v>0.9</v>
      </c>
      <c r="N45" s="501">
        <f t="shared" si="16"/>
        <v>0.78570000000000007</v>
      </c>
      <c r="O45" s="847">
        <f t="shared" si="12"/>
        <v>0.81270000000000009</v>
      </c>
      <c r="P45" s="514">
        <f t="shared" si="13"/>
        <v>0.81270000000000009</v>
      </c>
      <c r="Q45" s="849">
        <f t="shared" si="14"/>
        <v>0.81270000000000009</v>
      </c>
      <c r="T45" s="61"/>
    </row>
    <row r="46" spans="1:22" s="65" customFormat="1" x14ac:dyDescent="0.2">
      <c r="A46" s="515"/>
      <c r="B46" s="452" t="s">
        <v>99</v>
      </c>
      <c r="C46" s="78">
        <v>0.85</v>
      </c>
      <c r="D46" s="892">
        <v>0</v>
      </c>
      <c r="E46" s="78">
        <v>0.8</v>
      </c>
      <c r="F46" s="69">
        <v>0.8</v>
      </c>
      <c r="G46" s="88">
        <v>0.8</v>
      </c>
      <c r="H46" s="69">
        <v>0.99</v>
      </c>
      <c r="I46" s="69">
        <v>0.93</v>
      </c>
      <c r="J46" s="501">
        <f t="shared" si="15"/>
        <v>0.92070000000000007</v>
      </c>
      <c r="K46" s="78">
        <v>0.97</v>
      </c>
      <c r="L46" s="69">
        <v>0.9</v>
      </c>
      <c r="M46" s="69">
        <v>0.9</v>
      </c>
      <c r="N46" s="501">
        <f t="shared" si="16"/>
        <v>0.78570000000000007</v>
      </c>
      <c r="O46" s="847">
        <f t="shared" si="12"/>
        <v>0.81270000000000009</v>
      </c>
      <c r="P46" s="514">
        <f t="shared" si="13"/>
        <v>0.81270000000000009</v>
      </c>
      <c r="Q46" s="849">
        <f t="shared" si="14"/>
        <v>0.81270000000000009</v>
      </c>
      <c r="T46" s="61"/>
    </row>
    <row r="47" spans="1:22" s="65" customFormat="1" x14ac:dyDescent="0.2">
      <c r="A47" s="515"/>
      <c r="B47" s="453" t="s">
        <v>210</v>
      </c>
      <c r="C47" s="78">
        <v>0</v>
      </c>
      <c r="D47" s="892">
        <v>0</v>
      </c>
      <c r="E47" s="78">
        <v>0.96</v>
      </c>
      <c r="F47" s="69">
        <v>0.96</v>
      </c>
      <c r="G47" s="88">
        <v>0.96</v>
      </c>
      <c r="H47" s="69">
        <v>0.99</v>
      </c>
      <c r="I47" s="69">
        <v>0.93</v>
      </c>
      <c r="J47" s="501">
        <f t="shared" si="15"/>
        <v>0.92070000000000007</v>
      </c>
      <c r="K47" s="78">
        <v>0.97</v>
      </c>
      <c r="L47" s="69">
        <v>0.9</v>
      </c>
      <c r="M47" s="69">
        <v>0.9</v>
      </c>
      <c r="N47" s="501">
        <f t="shared" si="16"/>
        <v>0.78570000000000007</v>
      </c>
      <c r="O47" s="847">
        <f t="shared" si="12"/>
        <v>0.79110000000000014</v>
      </c>
      <c r="P47" s="514">
        <f t="shared" si="13"/>
        <v>0.79110000000000014</v>
      </c>
      <c r="Q47" s="849">
        <f t="shared" si="14"/>
        <v>0.79110000000000014</v>
      </c>
      <c r="T47" s="61"/>
    </row>
    <row r="48" spans="1:22" s="65" customFormat="1" x14ac:dyDescent="0.2">
      <c r="A48" s="515"/>
      <c r="B48" s="453" t="s">
        <v>211</v>
      </c>
      <c r="C48" s="78">
        <v>0</v>
      </c>
      <c r="D48" s="892">
        <v>0</v>
      </c>
      <c r="E48" s="78">
        <v>0.55000000000000004</v>
      </c>
      <c r="F48" s="69">
        <v>0.55000000000000004</v>
      </c>
      <c r="G48" s="88">
        <v>0.55000000000000004</v>
      </c>
      <c r="H48" s="69">
        <v>0.99</v>
      </c>
      <c r="I48" s="69">
        <v>0.93</v>
      </c>
      <c r="J48" s="501">
        <f t="shared" si="15"/>
        <v>0.92070000000000007</v>
      </c>
      <c r="K48" s="78">
        <v>0.97</v>
      </c>
      <c r="L48" s="69">
        <v>0.9</v>
      </c>
      <c r="M48" s="69">
        <v>0.9</v>
      </c>
      <c r="N48" s="501">
        <f t="shared" si="16"/>
        <v>0.78570000000000007</v>
      </c>
      <c r="O48" s="847">
        <f t="shared" si="12"/>
        <v>0.84645000000000004</v>
      </c>
      <c r="P48" s="514">
        <f t="shared" si="13"/>
        <v>0.84645000000000004</v>
      </c>
      <c r="Q48" s="849">
        <f t="shared" si="14"/>
        <v>0.84645000000000004</v>
      </c>
      <c r="T48" s="61"/>
    </row>
    <row r="49" spans="1:20" s="65" customFormat="1" x14ac:dyDescent="0.2">
      <c r="A49" s="515"/>
      <c r="B49" s="452" t="s">
        <v>76</v>
      </c>
      <c r="C49" s="78">
        <v>0</v>
      </c>
      <c r="D49" s="892">
        <v>0</v>
      </c>
      <c r="E49" s="78">
        <v>0.5</v>
      </c>
      <c r="F49" s="69">
        <v>0.5</v>
      </c>
      <c r="G49" s="88">
        <v>0.5</v>
      </c>
      <c r="H49" s="69">
        <v>0</v>
      </c>
      <c r="I49" s="69">
        <v>0</v>
      </c>
      <c r="J49" s="501">
        <f t="shared" si="15"/>
        <v>0</v>
      </c>
      <c r="K49" s="78"/>
      <c r="L49" s="69"/>
      <c r="M49" s="69"/>
      <c r="N49" s="501">
        <f t="shared" si="16"/>
        <v>0</v>
      </c>
      <c r="O49" s="847">
        <f t="shared" si="12"/>
        <v>0</v>
      </c>
      <c r="P49" s="514">
        <f t="shared" si="13"/>
        <v>0</v>
      </c>
      <c r="Q49" s="849">
        <f t="shared" si="14"/>
        <v>0</v>
      </c>
      <c r="T49" s="61"/>
    </row>
    <row r="50" spans="1:20" s="65" customFormat="1" x14ac:dyDescent="0.2">
      <c r="A50" s="515"/>
      <c r="B50" s="452" t="s">
        <v>77</v>
      </c>
      <c r="C50" s="78">
        <v>0</v>
      </c>
      <c r="D50" s="892">
        <v>0</v>
      </c>
      <c r="E50" s="78">
        <v>0.5</v>
      </c>
      <c r="F50" s="69">
        <v>0.5</v>
      </c>
      <c r="G50" s="88">
        <v>0.5</v>
      </c>
      <c r="H50" s="69">
        <v>0</v>
      </c>
      <c r="I50" s="69">
        <v>0</v>
      </c>
      <c r="J50" s="501">
        <f t="shared" si="15"/>
        <v>0</v>
      </c>
      <c r="K50" s="78"/>
      <c r="L50" s="69"/>
      <c r="M50" s="69"/>
      <c r="N50" s="501">
        <f t="shared" si="16"/>
        <v>0</v>
      </c>
      <c r="O50" s="847">
        <f t="shared" si="12"/>
        <v>0</v>
      </c>
      <c r="P50" s="514">
        <f t="shared" si="13"/>
        <v>0</v>
      </c>
      <c r="Q50" s="849">
        <f t="shared" si="14"/>
        <v>0</v>
      </c>
      <c r="T50" s="61"/>
    </row>
    <row r="51" spans="1:20" s="65" customFormat="1" x14ac:dyDescent="0.2">
      <c r="A51" s="515"/>
      <c r="B51" s="452" t="s">
        <v>78</v>
      </c>
      <c r="C51" s="78">
        <v>0</v>
      </c>
      <c r="D51" s="892">
        <v>0</v>
      </c>
      <c r="E51" s="78">
        <v>0.5</v>
      </c>
      <c r="F51" s="69">
        <v>0.5</v>
      </c>
      <c r="G51" s="88">
        <v>0.5</v>
      </c>
      <c r="H51" s="69">
        <v>0</v>
      </c>
      <c r="I51" s="69">
        <v>0</v>
      </c>
      <c r="J51" s="501">
        <f t="shared" si="15"/>
        <v>0</v>
      </c>
      <c r="K51" s="78"/>
      <c r="L51" s="69"/>
      <c r="M51" s="69"/>
      <c r="N51" s="501">
        <f t="shared" si="16"/>
        <v>0</v>
      </c>
      <c r="O51" s="847">
        <f t="shared" si="12"/>
        <v>0</v>
      </c>
      <c r="P51" s="514">
        <f t="shared" si="13"/>
        <v>0</v>
      </c>
      <c r="Q51" s="849">
        <f t="shared" si="14"/>
        <v>0</v>
      </c>
      <c r="T51" s="61"/>
    </row>
    <row r="52" spans="1:20" s="65" customFormat="1" x14ac:dyDescent="0.2">
      <c r="A52" s="515"/>
      <c r="B52" s="453" t="s">
        <v>212</v>
      </c>
      <c r="C52" s="78">
        <v>0</v>
      </c>
      <c r="D52" s="892">
        <v>0</v>
      </c>
      <c r="E52" s="890">
        <f>1/'Expert Data Input'!D64</f>
        <v>0.96165068431474643</v>
      </c>
      <c r="F52" s="730">
        <f>1/'Expert Data Input'!D64</f>
        <v>0.96165068431474643</v>
      </c>
      <c r="G52" s="891">
        <f>1/'Expert Data Input'!D64</f>
        <v>0.96165068431474643</v>
      </c>
      <c r="H52" s="69">
        <v>0</v>
      </c>
      <c r="I52" s="69">
        <v>0</v>
      </c>
      <c r="J52" s="501">
        <f t="shared" si="15"/>
        <v>0</v>
      </c>
      <c r="K52" s="78"/>
      <c r="L52" s="69"/>
      <c r="M52" s="69"/>
      <c r="N52" s="501">
        <f t="shared" si="16"/>
        <v>0</v>
      </c>
      <c r="O52" s="847">
        <f t="shared" si="12"/>
        <v>0</v>
      </c>
      <c r="P52" s="514">
        <f t="shared" si="13"/>
        <v>0</v>
      </c>
      <c r="Q52" s="849">
        <f t="shared" si="14"/>
        <v>0</v>
      </c>
      <c r="T52" s="61"/>
    </row>
    <row r="53" spans="1:20" s="65" customFormat="1" x14ac:dyDescent="0.2">
      <c r="A53" s="515"/>
      <c r="B53" s="453" t="s">
        <v>213</v>
      </c>
      <c r="C53" s="78">
        <v>0</v>
      </c>
      <c r="D53" s="892">
        <v>0</v>
      </c>
      <c r="E53" s="890">
        <v>1</v>
      </c>
      <c r="F53" s="730">
        <v>1</v>
      </c>
      <c r="G53" s="891">
        <v>1</v>
      </c>
      <c r="H53" s="69">
        <v>0</v>
      </c>
      <c r="I53" s="69">
        <v>0</v>
      </c>
      <c r="J53" s="501">
        <f t="shared" si="15"/>
        <v>0</v>
      </c>
      <c r="K53" s="78"/>
      <c r="L53" s="69"/>
      <c r="M53" s="69"/>
      <c r="N53" s="501">
        <f t="shared" si="16"/>
        <v>0</v>
      </c>
      <c r="O53" s="847">
        <f t="shared" si="12"/>
        <v>0</v>
      </c>
      <c r="P53" s="514">
        <f t="shared" si="13"/>
        <v>0</v>
      </c>
      <c r="Q53" s="849">
        <f t="shared" si="14"/>
        <v>0</v>
      </c>
      <c r="T53" s="61"/>
    </row>
    <row r="54" spans="1:20" s="65" customFormat="1" x14ac:dyDescent="0.2">
      <c r="A54" s="515"/>
      <c r="B54" s="453" t="s">
        <v>214</v>
      </c>
      <c r="C54" s="78">
        <v>0</v>
      </c>
      <c r="D54" s="892">
        <v>0</v>
      </c>
      <c r="E54" s="890">
        <v>1</v>
      </c>
      <c r="F54" s="730">
        <v>1</v>
      </c>
      <c r="G54" s="891">
        <v>1</v>
      </c>
      <c r="H54" s="69">
        <v>0</v>
      </c>
      <c r="I54" s="69">
        <v>0</v>
      </c>
      <c r="J54" s="501">
        <f t="shared" si="15"/>
        <v>0</v>
      </c>
      <c r="K54" s="78"/>
      <c r="L54" s="69"/>
      <c r="M54" s="69"/>
      <c r="N54" s="501">
        <f t="shared" si="16"/>
        <v>0</v>
      </c>
      <c r="O54" s="847">
        <f t="shared" si="12"/>
        <v>0</v>
      </c>
      <c r="P54" s="514">
        <f t="shared" si="13"/>
        <v>0</v>
      </c>
      <c r="Q54" s="849">
        <f t="shared" si="14"/>
        <v>0</v>
      </c>
      <c r="T54" s="61"/>
    </row>
    <row r="55" spans="1:20" s="65" customFormat="1" x14ac:dyDescent="0.2">
      <c r="A55" s="515"/>
      <c r="B55" s="453" t="s">
        <v>215</v>
      </c>
      <c r="C55" s="78">
        <v>0</v>
      </c>
      <c r="D55" s="892">
        <v>0</v>
      </c>
      <c r="E55" s="890">
        <v>1</v>
      </c>
      <c r="F55" s="730">
        <v>1</v>
      </c>
      <c r="G55" s="891">
        <v>1</v>
      </c>
      <c r="H55" s="69">
        <v>0</v>
      </c>
      <c r="I55" s="69">
        <v>0</v>
      </c>
      <c r="J55" s="501">
        <f t="shared" si="15"/>
        <v>0</v>
      </c>
      <c r="K55" s="78"/>
      <c r="L55" s="69"/>
      <c r="M55" s="69"/>
      <c r="N55" s="501">
        <f t="shared" si="16"/>
        <v>0</v>
      </c>
      <c r="O55" s="847">
        <f t="shared" si="12"/>
        <v>0</v>
      </c>
      <c r="P55" s="514">
        <f t="shared" si="13"/>
        <v>0</v>
      </c>
      <c r="Q55" s="849">
        <f t="shared" si="14"/>
        <v>0</v>
      </c>
      <c r="T55" s="61"/>
    </row>
    <row r="56" spans="1:20" s="65" customFormat="1" x14ac:dyDescent="0.2">
      <c r="A56" s="515"/>
      <c r="B56" s="453" t="s">
        <v>218</v>
      </c>
      <c r="C56" s="78">
        <v>0</v>
      </c>
      <c r="D56" s="894">
        <v>1.7999999999999999E-2</v>
      </c>
      <c r="E56" s="78">
        <v>0.62</v>
      </c>
      <c r="F56" s="69">
        <v>0.62</v>
      </c>
      <c r="G56" s="88">
        <v>0.62</v>
      </c>
      <c r="H56" s="69">
        <v>0.99</v>
      </c>
      <c r="I56" s="69">
        <v>0.98</v>
      </c>
      <c r="J56" s="501">
        <f t="shared" si="15"/>
        <v>0.97019999999999995</v>
      </c>
      <c r="K56" s="78">
        <v>0.97</v>
      </c>
      <c r="L56" s="69">
        <v>0.98</v>
      </c>
      <c r="M56" s="69">
        <v>0.95</v>
      </c>
      <c r="N56" s="501">
        <f t="shared" si="16"/>
        <v>0.90306999999999993</v>
      </c>
      <c r="O56" s="847">
        <f t="shared" si="12"/>
        <v>0.92857939999999994</v>
      </c>
      <c r="P56" s="514">
        <f t="shared" si="13"/>
        <v>0.92857939999999994</v>
      </c>
      <c r="Q56" s="849">
        <f t="shared" si="14"/>
        <v>0.92857939999999994</v>
      </c>
      <c r="T56" s="61"/>
    </row>
    <row r="57" spans="1:20" s="65" customFormat="1" x14ac:dyDescent="0.2">
      <c r="A57" s="515"/>
      <c r="B57" s="452" t="s">
        <v>50</v>
      </c>
      <c r="C57" s="79"/>
      <c r="D57" s="215"/>
      <c r="E57" s="79">
        <v>1</v>
      </c>
      <c r="F57" s="215">
        <v>1</v>
      </c>
      <c r="G57" s="188">
        <v>1</v>
      </c>
      <c r="H57" s="215">
        <v>0</v>
      </c>
      <c r="I57" s="215">
        <v>0</v>
      </c>
      <c r="J57" s="504">
        <f t="shared" si="15"/>
        <v>0</v>
      </c>
      <c r="K57" s="79"/>
      <c r="L57" s="215"/>
      <c r="M57" s="215"/>
      <c r="N57" s="504">
        <f t="shared" si="16"/>
        <v>0</v>
      </c>
      <c r="O57" s="840"/>
      <c r="P57" s="519"/>
      <c r="Q57" s="841"/>
      <c r="T57" s="505"/>
    </row>
    <row r="58" spans="1:20" s="65" customFormat="1" x14ac:dyDescent="0.2">
      <c r="A58" s="515"/>
      <c r="B58" s="452" t="s">
        <v>130</v>
      </c>
      <c r="C58" s="78">
        <v>0</v>
      </c>
      <c r="D58" s="892">
        <v>0</v>
      </c>
      <c r="E58" s="669">
        <f>1/'Expert Data Input'!B31</f>
        <v>0.5</v>
      </c>
      <c r="F58" s="537">
        <f>1/'Expert Data Input'!B31</f>
        <v>0.5</v>
      </c>
      <c r="G58" s="538">
        <f>1/'Expert Data Input'!B31</f>
        <v>0.5</v>
      </c>
      <c r="H58" s="69">
        <v>0</v>
      </c>
      <c r="I58" s="69">
        <v>0</v>
      </c>
      <c r="J58" s="501">
        <f t="shared" si="15"/>
        <v>0</v>
      </c>
      <c r="K58" s="78"/>
      <c r="L58" s="69"/>
      <c r="M58" s="69"/>
      <c r="N58" s="501">
        <f t="shared" si="16"/>
        <v>0</v>
      </c>
      <c r="O58" s="854"/>
      <c r="P58" s="524"/>
      <c r="Q58" s="850"/>
      <c r="T58" s="61"/>
    </row>
    <row r="59" spans="1:20" s="65" customFormat="1" x14ac:dyDescent="0.2">
      <c r="A59" s="520"/>
      <c r="B59" s="453" t="s">
        <v>216</v>
      </c>
      <c r="C59" s="78">
        <v>0</v>
      </c>
      <c r="D59" s="892">
        <v>0</v>
      </c>
      <c r="E59" s="78">
        <v>1</v>
      </c>
      <c r="F59" s="69">
        <v>1</v>
      </c>
      <c r="G59" s="88">
        <v>1</v>
      </c>
      <c r="H59" s="69">
        <v>0</v>
      </c>
      <c r="I59" s="69">
        <v>0</v>
      </c>
      <c r="J59" s="501">
        <f t="shared" si="15"/>
        <v>0</v>
      </c>
      <c r="K59" s="78"/>
      <c r="L59" s="69"/>
      <c r="M59" s="69"/>
      <c r="N59" s="501">
        <f t="shared" si="16"/>
        <v>0</v>
      </c>
      <c r="O59" s="840"/>
      <c r="P59" s="519"/>
      <c r="Q59" s="841"/>
      <c r="T59" s="61"/>
    </row>
    <row r="60" spans="1:20" s="65" customFormat="1" x14ac:dyDescent="0.2">
      <c r="A60" s="515"/>
      <c r="B60" s="453" t="s">
        <v>217</v>
      </c>
      <c r="C60" s="78">
        <v>0</v>
      </c>
      <c r="D60" s="892">
        <v>0</v>
      </c>
      <c r="E60" s="78">
        <v>1</v>
      </c>
      <c r="F60" s="69">
        <v>1</v>
      </c>
      <c r="G60" s="88">
        <v>1</v>
      </c>
      <c r="H60" s="69">
        <v>0</v>
      </c>
      <c r="I60" s="69">
        <v>0</v>
      </c>
      <c r="J60" s="501">
        <f t="shared" si="15"/>
        <v>0</v>
      </c>
      <c r="K60" s="78"/>
      <c r="L60" s="69"/>
      <c r="M60" s="69"/>
      <c r="N60" s="501">
        <f t="shared" si="16"/>
        <v>0</v>
      </c>
      <c r="O60" s="847">
        <f>(1-E60)*$J60+E60*$N60</f>
        <v>0</v>
      </c>
      <c r="P60" s="514">
        <f>(1-F60)*$J60+F60*$N60</f>
        <v>0</v>
      </c>
      <c r="Q60" s="849">
        <f>(1-G60)*$J60+G60*$N60</f>
        <v>0</v>
      </c>
      <c r="T60" s="61"/>
    </row>
    <row r="61" spans="1:20" s="65" customFormat="1" ht="13.5" thickBot="1" x14ac:dyDescent="0.25">
      <c r="A61" s="520"/>
      <c r="B61" s="453" t="s">
        <v>288</v>
      </c>
      <c r="C61" s="535">
        <v>0</v>
      </c>
      <c r="D61" s="895">
        <v>0</v>
      </c>
      <c r="E61" s="670">
        <f>1/'Expert Data Input'!D22</f>
        <v>0.33333333333333331</v>
      </c>
      <c r="F61" s="670">
        <f>1/'Expert Data Input'!D22</f>
        <v>0.33333333333333331</v>
      </c>
      <c r="G61" s="539">
        <f>1/'Expert Data Input'!D22</f>
        <v>0.33333333333333331</v>
      </c>
      <c r="H61" s="536">
        <v>0</v>
      </c>
      <c r="I61" s="536">
        <v>0</v>
      </c>
      <c r="J61" s="506">
        <f t="shared" si="15"/>
        <v>0</v>
      </c>
      <c r="K61" s="535"/>
      <c r="L61" s="536"/>
      <c r="M61" s="536"/>
      <c r="N61" s="506">
        <f t="shared" si="16"/>
        <v>0</v>
      </c>
      <c r="O61" s="844"/>
      <c r="P61" s="845"/>
      <c r="Q61" s="846"/>
      <c r="T61" s="61"/>
    </row>
    <row r="62" spans="1:20" s="65" customFormat="1" x14ac:dyDescent="0.2">
      <c r="A62" s="515"/>
      <c r="B62" s="452"/>
      <c r="C62" s="503"/>
      <c r="D62" s="477"/>
      <c r="E62" s="477"/>
      <c r="H62" s="477"/>
      <c r="I62" s="477"/>
      <c r="J62" s="477"/>
      <c r="K62" s="61"/>
      <c r="M62" s="61"/>
      <c r="N62" s="40"/>
    </row>
    <row r="63" spans="1:20" s="676" customFormat="1" ht="16.5" customHeight="1" x14ac:dyDescent="0.2">
      <c r="A63" s="675"/>
      <c r="C63" s="677"/>
      <c r="D63" s="678" t="s">
        <v>220</v>
      </c>
      <c r="F63" s="677"/>
      <c r="G63" s="678" t="s">
        <v>221</v>
      </c>
      <c r="I63" s="677"/>
      <c r="J63" s="678" t="s">
        <v>224</v>
      </c>
      <c r="M63" s="678" t="s">
        <v>227</v>
      </c>
      <c r="P63" s="678" t="s">
        <v>79</v>
      </c>
      <c r="S63" s="678" t="s">
        <v>226</v>
      </c>
    </row>
    <row r="64" spans="1:20" s="676" customFormat="1" ht="15" customHeight="1" thickBot="1" x14ac:dyDescent="0.25">
      <c r="A64" s="675"/>
      <c r="D64" s="678" t="s">
        <v>222</v>
      </c>
      <c r="E64" s="678"/>
      <c r="G64" s="678" t="s">
        <v>223</v>
      </c>
      <c r="H64" s="678"/>
      <c r="J64" s="678" t="s">
        <v>225</v>
      </c>
      <c r="K64" s="678"/>
      <c r="M64" s="679" t="s">
        <v>228</v>
      </c>
      <c r="P64" s="678" t="s">
        <v>231</v>
      </c>
      <c r="S64" s="678" t="s">
        <v>232</v>
      </c>
    </row>
    <row r="65" spans="1:27" s="65" customFormat="1" ht="12.75" customHeight="1" x14ac:dyDescent="0.2">
      <c r="A65" s="515"/>
      <c r="C65" s="672" t="s">
        <v>69</v>
      </c>
      <c r="D65" s="673" t="s">
        <v>21</v>
      </c>
      <c r="E65" s="674" t="s">
        <v>21</v>
      </c>
      <c r="F65" s="672" t="s">
        <v>69</v>
      </c>
      <c r="G65" s="673" t="s">
        <v>21</v>
      </c>
      <c r="H65" s="674" t="s">
        <v>21</v>
      </c>
      <c r="I65" s="672" t="s">
        <v>69</v>
      </c>
      <c r="J65" s="673" t="s">
        <v>21</v>
      </c>
      <c r="K65" s="674" t="s">
        <v>21</v>
      </c>
      <c r="L65" s="672" t="s">
        <v>69</v>
      </c>
      <c r="M65" s="673" t="s">
        <v>21</v>
      </c>
      <c r="N65" s="674" t="s">
        <v>21</v>
      </c>
      <c r="O65" s="672" t="s">
        <v>69</v>
      </c>
      <c r="P65" s="673" t="s">
        <v>21</v>
      </c>
      <c r="Q65" s="673" t="s">
        <v>21</v>
      </c>
      <c r="R65" s="673" t="s">
        <v>69</v>
      </c>
      <c r="S65" s="673" t="s">
        <v>21</v>
      </c>
      <c r="T65" s="674" t="s">
        <v>21</v>
      </c>
    </row>
    <row r="66" spans="1:27" s="65" customFormat="1" ht="12.75" customHeight="1" x14ac:dyDescent="0.2">
      <c r="A66" s="515"/>
      <c r="C66" s="490" t="s">
        <v>22</v>
      </c>
      <c r="D66" s="491" t="s">
        <v>23</v>
      </c>
      <c r="E66" s="468" t="s">
        <v>24</v>
      </c>
      <c r="F66" s="490" t="s">
        <v>22</v>
      </c>
      <c r="G66" s="491" t="s">
        <v>23</v>
      </c>
      <c r="H66" s="468" t="s">
        <v>24</v>
      </c>
      <c r="I66" s="490" t="s">
        <v>22</v>
      </c>
      <c r="J66" s="491" t="s">
        <v>23</v>
      </c>
      <c r="K66" s="468" t="s">
        <v>24</v>
      </c>
      <c r="L66" s="490" t="s">
        <v>22</v>
      </c>
      <c r="M66" s="491" t="s">
        <v>23</v>
      </c>
      <c r="N66" s="468" t="s">
        <v>24</v>
      </c>
      <c r="O66" s="490" t="s">
        <v>22</v>
      </c>
      <c r="P66" s="491" t="s">
        <v>23</v>
      </c>
      <c r="Q66" s="65" t="s">
        <v>24</v>
      </c>
      <c r="R66" s="491" t="s">
        <v>22</v>
      </c>
      <c r="S66" s="491" t="s">
        <v>23</v>
      </c>
      <c r="T66" s="468" t="s">
        <v>24</v>
      </c>
    </row>
    <row r="67" spans="1:27" s="65" customFormat="1" ht="12.75" customHeight="1" x14ac:dyDescent="0.2">
      <c r="A67" s="515"/>
      <c r="C67" s="472"/>
      <c r="D67" s="508" t="s">
        <v>97</v>
      </c>
      <c r="E67" s="468"/>
      <c r="F67" s="472"/>
      <c r="G67" s="508" t="s">
        <v>97</v>
      </c>
      <c r="H67" s="468"/>
      <c r="I67" s="472"/>
      <c r="J67" s="508" t="s">
        <v>97</v>
      </c>
      <c r="K67" s="468"/>
      <c r="L67" s="472"/>
      <c r="M67" s="496" t="s">
        <v>83</v>
      </c>
      <c r="N67" s="468"/>
      <c r="O67" s="472"/>
      <c r="P67" s="508" t="s">
        <v>97</v>
      </c>
      <c r="S67" s="508" t="s">
        <v>97</v>
      </c>
      <c r="T67" s="468"/>
    </row>
    <row r="68" spans="1:27" s="65" customFormat="1" x14ac:dyDescent="0.2">
      <c r="A68" s="520"/>
      <c r="C68" s="472"/>
      <c r="E68" s="468"/>
      <c r="F68" s="472"/>
      <c r="H68" s="468"/>
      <c r="I68" s="472"/>
      <c r="K68" s="468"/>
      <c r="L68" s="472"/>
      <c r="N68" s="468"/>
      <c r="O68" s="472"/>
      <c r="T68" s="468"/>
    </row>
    <row r="69" spans="1:27" s="65" customFormat="1" x14ac:dyDescent="0.2">
      <c r="A69" s="515"/>
      <c r="B69" s="452" t="s">
        <v>70</v>
      </c>
      <c r="C69" s="509">
        <f t="shared" ref="C69:E70" si="17">(1-E38)*$H38</f>
        <v>0.44549999999999995</v>
      </c>
      <c r="D69" s="510">
        <f t="shared" si="17"/>
        <v>0.44549999999999995</v>
      </c>
      <c r="E69" s="511">
        <f t="shared" si="17"/>
        <v>0.44549999999999995</v>
      </c>
      <c r="F69" s="509">
        <f>E38*$K38*$L38</f>
        <v>0.52283000000000002</v>
      </c>
      <c r="G69" s="510">
        <f>F38*$K38*$L38</f>
        <v>0.52283000000000002</v>
      </c>
      <c r="H69" s="511">
        <f>G38*$K38*$L38</f>
        <v>0.52283000000000002</v>
      </c>
      <c r="I69" s="838">
        <f t="shared" ref="I69:I87" si="18">$D38*(1-$C38)+IF(O38=0,0,$C38*(C69+F69)/O38)</f>
        <v>0.16492786925339006</v>
      </c>
      <c r="J69" s="512">
        <f t="shared" ref="J69:J87" si="19">$D38*(1-$C38)+IF(P38=0,0,$C38*(D69+G69)/P38)</f>
        <v>0.16492786925339006</v>
      </c>
      <c r="K69" s="839">
        <f t="shared" ref="K69:K87" si="20">$D38*(1-$C38)+IF(Q38=0,0,$C38*(E69+H69)/Q38)</f>
        <v>0.16492786925339006</v>
      </c>
      <c r="L69" s="842">
        <f t="shared" ref="L69:L87" si="21">IF(O38=0,0,(C69+F69)/O38)</f>
        <v>1.0375573850678013</v>
      </c>
      <c r="M69" s="513">
        <f t="shared" ref="M69:M87" si="22">IF(P38=0,0,(D69+G69)/P38)</f>
        <v>1.0375573850678013</v>
      </c>
      <c r="N69" s="843">
        <f t="shared" ref="N69:N87" si="23">IF(Q38=0,0,(E69+H69)/Q38)</f>
        <v>1.0375573850678013</v>
      </c>
      <c r="O69" s="847">
        <f>IF(L69-$D38=0,0,'Expert Data Input'!G6*(C69-I69)/(L69-$D38))</f>
        <v>0.27490380217596327</v>
      </c>
      <c r="P69" s="514">
        <f>IF(M69-$D38=0,0,'Expert Data Input'!G6*(D69-J69)/(M69-$D38))</f>
        <v>0.27490380217596327</v>
      </c>
      <c r="Q69" s="514">
        <f>IF(N69-$D38=0,0,'Expert Data Input'!G6*(E69-K69)/(N69-$D38))</f>
        <v>0.27490380217596327</v>
      </c>
      <c r="R69" s="716">
        <f>IF(L69-$D38=0,0,'Expert Data Input'!G6*F69/(L69-$D38))</f>
        <v>0.51226739629910834</v>
      </c>
      <c r="S69" s="716">
        <f>IF(M69-$D38=0,0,'Expert Data Input'!G6*G69/(M69-$D38))</f>
        <v>0.51226739629910834</v>
      </c>
      <c r="T69" s="848">
        <f>IF(N69-$D38=0,0,'Expert Data Input'!G6*H69/(N69-$D38))</f>
        <v>0.51226739629910834</v>
      </c>
      <c r="Y69" s="483"/>
      <c r="Z69" s="483"/>
      <c r="AA69" s="483"/>
    </row>
    <row r="70" spans="1:27" s="65" customFormat="1" x14ac:dyDescent="0.2">
      <c r="A70" s="515"/>
      <c r="B70" s="452" t="s">
        <v>33</v>
      </c>
      <c r="C70" s="509">
        <f t="shared" si="17"/>
        <v>0.2475</v>
      </c>
      <c r="D70" s="510">
        <f t="shared" si="17"/>
        <v>0.2475</v>
      </c>
      <c r="E70" s="511">
        <f t="shared" si="17"/>
        <v>0.2475</v>
      </c>
      <c r="F70" s="509">
        <f>E39*$K39*$L39</f>
        <v>0.71294999999999997</v>
      </c>
      <c r="G70" s="510">
        <f t="shared" ref="G70:H71" si="24">F39*$K39*$L39</f>
        <v>0.71294999999999997</v>
      </c>
      <c r="H70" s="511">
        <f t="shared" si="24"/>
        <v>0.71294999999999997</v>
      </c>
      <c r="I70" s="838">
        <f t="shared" si="18"/>
        <v>0.90536457434751771</v>
      </c>
      <c r="J70" s="512">
        <f t="shared" si="19"/>
        <v>0.90536457434751771</v>
      </c>
      <c r="K70" s="839">
        <f t="shared" si="20"/>
        <v>0.90536457434751771</v>
      </c>
      <c r="L70" s="842">
        <f t="shared" si="21"/>
        <v>1.0441347933500209</v>
      </c>
      <c r="M70" s="513">
        <f t="shared" si="22"/>
        <v>1.0441347933500209</v>
      </c>
      <c r="N70" s="843">
        <f t="shared" si="23"/>
        <v>1.0441347933500209</v>
      </c>
      <c r="O70" s="847">
        <f>IF(L70-$D39=0,0,'Expert Data Input'!G7*(C70-I70)/(L70-$D39))</f>
        <v>-0.63999118957442103</v>
      </c>
      <c r="P70" s="514">
        <f>IF(M70-$D39=0,0,'Expert Data Input'!G7*(D70-J70)/(M70-$D39))</f>
        <v>-0.63999118957442103</v>
      </c>
      <c r="Q70" s="514">
        <f>IF(N70-$D39=0,0,'Expert Data Input'!G7*(E70-K70)/(N70-$D39))</f>
        <v>-0.63999118957442103</v>
      </c>
      <c r="R70" s="716">
        <f>IF(L70-$D39=0,0,'Expert Data Input'!G7*F70/(L70-$D39))</f>
        <v>0.69358001083981768</v>
      </c>
      <c r="S70" s="716">
        <f>IF(M70-$D39=0,0,'Expert Data Input'!G7*G70/(M70-$D39))</f>
        <v>0.69358001083981768</v>
      </c>
      <c r="T70" s="848">
        <f>IF(N70-$D39=0,0,'Expert Data Input'!G7*H70/(N70-$D39))</f>
        <v>0.69358001083981768</v>
      </c>
      <c r="Y70" s="483"/>
      <c r="Z70" s="483"/>
      <c r="AA70" s="483"/>
    </row>
    <row r="71" spans="1:27" s="65" customFormat="1" x14ac:dyDescent="0.2">
      <c r="A71" s="515"/>
      <c r="B71" s="453" t="s">
        <v>209</v>
      </c>
      <c r="C71" s="509">
        <f t="shared" ref="C71" si="25">(1-E40)*$H40</f>
        <v>0.19799999999999995</v>
      </c>
      <c r="D71" s="510">
        <f>(1-F40)*$H40</f>
        <v>0.19799999999999995</v>
      </c>
      <c r="E71" s="511">
        <f>(1-G40)*$H40</f>
        <v>0.19799999999999995</v>
      </c>
      <c r="F71" s="509">
        <f>E40*$K40*$L40</f>
        <v>0.76048000000000004</v>
      </c>
      <c r="G71" s="510">
        <f t="shared" si="24"/>
        <v>0.76048000000000004</v>
      </c>
      <c r="H71" s="511">
        <f t="shared" si="24"/>
        <v>0.76048000000000004</v>
      </c>
      <c r="I71" s="838">
        <f t="shared" si="18"/>
        <v>1.0458092561233219</v>
      </c>
      <c r="J71" s="512">
        <f t="shared" si="19"/>
        <v>1.0458092561233219</v>
      </c>
      <c r="K71" s="839">
        <f t="shared" si="20"/>
        <v>1.0458092561233219</v>
      </c>
      <c r="L71" s="842">
        <f t="shared" si="21"/>
        <v>1.0458092561233219</v>
      </c>
      <c r="M71" s="513">
        <f t="shared" si="22"/>
        <v>1.0458092561233219</v>
      </c>
      <c r="N71" s="843">
        <f t="shared" si="23"/>
        <v>1.0458092561233219</v>
      </c>
      <c r="O71" s="847">
        <f>IF(L71-$D40=0,0,'Expert Data Input'!G8*(C71-I71)/(L71-$D40))</f>
        <v>-0.82328518567304931</v>
      </c>
      <c r="P71" s="514">
        <f>IF(M71-$D40=0,0,'Expert Data Input'!G8*(D71-J71)/(M71-$D40))</f>
        <v>-0.82328518567304931</v>
      </c>
      <c r="Q71" s="514">
        <f>IF(N71-$D40=0,0,'Expert Data Input'!G8*(E71-K71)/(N71-$D40))</f>
        <v>-0.82328518567304931</v>
      </c>
      <c r="R71" s="716">
        <f>IF(L71-$D40=0,0,'Expert Data Input'!G8*F71/(L71-$D40))</f>
        <v>0.7384820506248041</v>
      </c>
      <c r="S71" s="716">
        <f>IF(M71-$D40=0,0,'Expert Data Input'!G8*G71/(M71-$D40))</f>
        <v>0.7384820506248041</v>
      </c>
      <c r="T71" s="848">
        <f>IF(N71-$D40=0,0,'Expert Data Input'!G8*H71/(N71-$D40))</f>
        <v>0.7384820506248041</v>
      </c>
      <c r="Y71" s="483"/>
      <c r="Z71" s="483"/>
      <c r="AA71" s="483"/>
    </row>
    <row r="72" spans="1:27" s="65" customFormat="1" x14ac:dyDescent="0.2">
      <c r="A72" s="515"/>
      <c r="B72" s="452" t="s">
        <v>206</v>
      </c>
      <c r="C72" s="509">
        <f t="shared" ref="C72:C87" si="26">(1-E41)*$H41</f>
        <v>0.44549999999999995</v>
      </c>
      <c r="D72" s="510">
        <f>(1-F41)*$H41</f>
        <v>0.44549999999999995</v>
      </c>
      <c r="E72" s="511">
        <f t="shared" ref="E72:E87" si="27">(1-G41)*$H41</f>
        <v>0.44549999999999995</v>
      </c>
      <c r="F72" s="509">
        <f t="shared" ref="F72:H87" si="28">E41*$K41*$L41</f>
        <v>0.52283000000000002</v>
      </c>
      <c r="G72" s="510">
        <f>F41*$K41*$L41</f>
        <v>0.52283000000000002</v>
      </c>
      <c r="H72" s="511">
        <f>G41*$K41*$L41</f>
        <v>0.52283000000000002</v>
      </c>
      <c r="I72" s="838">
        <f t="shared" si="18"/>
        <v>0.16492786925339006</v>
      </c>
      <c r="J72" s="512">
        <f t="shared" si="19"/>
        <v>0.16492786925339006</v>
      </c>
      <c r="K72" s="839">
        <f t="shared" si="20"/>
        <v>0.16492786925339006</v>
      </c>
      <c r="L72" s="842">
        <f t="shared" si="21"/>
        <v>1.0375573850678013</v>
      </c>
      <c r="M72" s="513">
        <f t="shared" si="22"/>
        <v>1.0375573850678013</v>
      </c>
      <c r="N72" s="843">
        <f t="shared" si="23"/>
        <v>1.0375573850678013</v>
      </c>
      <c r="O72" s="847">
        <f>IF(L72-$D41=0,0,'Expert Data Input'!G9*(C72-I72)/(L72-$D41))</f>
        <v>0.27490380217596327</v>
      </c>
      <c r="P72" s="514">
        <f>IF(M72-$D41=0,0,'Expert Data Input'!G9*(D72-J72)/(M72-$D41))</f>
        <v>0.27490380217596327</v>
      </c>
      <c r="Q72" s="514">
        <f>IF(N72-$D41=0,0,'Expert Data Input'!G9*(E72-K72)/(N72-$D41))</f>
        <v>0.27490380217596327</v>
      </c>
      <c r="R72" s="716">
        <f>IF(L72-$D41=0,0,'Expert Data Input'!G9*F72/(L72-$D41))</f>
        <v>0.51226739629910834</v>
      </c>
      <c r="S72" s="716">
        <f>IF(M72-$D41=0,0,'Expert Data Input'!G9*G72/(M72-$D41))</f>
        <v>0.51226739629910834</v>
      </c>
      <c r="T72" s="848">
        <f>IF(N72-$D41=0,0,'Expert Data Input'!G9*H72/(N72-$D41))</f>
        <v>0.51226739629910834</v>
      </c>
      <c r="Y72" s="483"/>
      <c r="Z72" s="483"/>
      <c r="AA72" s="483"/>
    </row>
    <row r="73" spans="1:27" s="65" customFormat="1" x14ac:dyDescent="0.2">
      <c r="A73" s="515"/>
      <c r="B73" s="452" t="s">
        <v>207</v>
      </c>
      <c r="C73" s="509">
        <f t="shared" si="26"/>
        <v>0.2475</v>
      </c>
      <c r="D73" s="510">
        <f t="shared" ref="D73:D87" si="29">(1-F42)*$H42</f>
        <v>0.2475</v>
      </c>
      <c r="E73" s="511">
        <f t="shared" si="27"/>
        <v>0.2475</v>
      </c>
      <c r="F73" s="509">
        <f t="shared" si="28"/>
        <v>0.71294999999999997</v>
      </c>
      <c r="G73" s="510">
        <f t="shared" si="28"/>
        <v>0.71294999999999997</v>
      </c>
      <c r="H73" s="511">
        <f t="shared" si="28"/>
        <v>0.71294999999999997</v>
      </c>
      <c r="I73" s="838">
        <f t="shared" si="18"/>
        <v>0.90536457434751771</v>
      </c>
      <c r="J73" s="512">
        <f t="shared" si="19"/>
        <v>0.90536457434751771</v>
      </c>
      <c r="K73" s="839">
        <f t="shared" si="20"/>
        <v>0.90536457434751771</v>
      </c>
      <c r="L73" s="842">
        <f t="shared" si="21"/>
        <v>1.0441347933500209</v>
      </c>
      <c r="M73" s="513">
        <f t="shared" si="22"/>
        <v>1.0441347933500209</v>
      </c>
      <c r="N73" s="843">
        <f t="shared" si="23"/>
        <v>1.0441347933500209</v>
      </c>
      <c r="O73" s="847">
        <f>IF(L73-$D42=0,0,'Expert Data Input'!G10*(C73-I73)/(L73-$D42))</f>
        <v>-0.63999118957442103</v>
      </c>
      <c r="P73" s="514">
        <f>IF(M73-$D42=0,0,'Expert Data Input'!G10*(D73-J73)/(M73-$D42))</f>
        <v>-0.63999118957442103</v>
      </c>
      <c r="Q73" s="514">
        <f>IF(N73-$D42=0,0,'Expert Data Input'!G10*(E73-K73)/(N73-$D42))</f>
        <v>-0.63999118957442103</v>
      </c>
      <c r="R73" s="716">
        <f>IF(L73-$D42=0,0,'Expert Data Input'!G10*F73/(L73-$D42))</f>
        <v>0.69358001083981768</v>
      </c>
      <c r="S73" s="716">
        <f>IF(M73-$D42=0,0,'Expert Data Input'!G10*G73/(M73-$D42))</f>
        <v>0.69358001083981768</v>
      </c>
      <c r="T73" s="848">
        <f>IF(N73-$D42=0,0,'Expert Data Input'!G10*H73/(N73-$D42))</f>
        <v>0.69358001083981768</v>
      </c>
      <c r="Y73" s="483"/>
      <c r="Z73" s="483"/>
      <c r="AA73" s="483"/>
    </row>
    <row r="74" spans="1:27" s="65" customFormat="1" x14ac:dyDescent="0.2">
      <c r="A74" s="515"/>
      <c r="B74" s="452" t="s">
        <v>208</v>
      </c>
      <c r="C74" s="509">
        <f t="shared" si="26"/>
        <v>0.19799999999999995</v>
      </c>
      <c r="D74" s="510">
        <f t="shared" si="29"/>
        <v>0.19799999999999995</v>
      </c>
      <c r="E74" s="511">
        <f t="shared" si="27"/>
        <v>0.19799999999999995</v>
      </c>
      <c r="F74" s="509">
        <f t="shared" si="28"/>
        <v>0.76048000000000004</v>
      </c>
      <c r="G74" s="510">
        <f t="shared" si="28"/>
        <v>0.76048000000000004</v>
      </c>
      <c r="H74" s="511">
        <f t="shared" si="28"/>
        <v>0.76048000000000004</v>
      </c>
      <c r="I74" s="838">
        <f t="shared" si="18"/>
        <v>1.0458092561233219</v>
      </c>
      <c r="J74" s="512">
        <f t="shared" si="19"/>
        <v>1.0458092561233219</v>
      </c>
      <c r="K74" s="839">
        <f t="shared" si="20"/>
        <v>1.0458092561233219</v>
      </c>
      <c r="L74" s="842">
        <f t="shared" si="21"/>
        <v>1.0458092561233219</v>
      </c>
      <c r="M74" s="513">
        <f t="shared" si="22"/>
        <v>1.0458092561233219</v>
      </c>
      <c r="N74" s="843">
        <f t="shared" si="23"/>
        <v>1.0458092561233219</v>
      </c>
      <c r="O74" s="847">
        <f>IF(L74-$D43=0,0,'Expert Data Input'!G11*(C74-I74)/(L74-$D43))</f>
        <v>-0.82328518567304931</v>
      </c>
      <c r="P74" s="514">
        <f>IF(M74-$D43=0,0,'Expert Data Input'!G11*(D74-J74)/(M74-$D43))</f>
        <v>-0.82328518567304931</v>
      </c>
      <c r="Q74" s="514">
        <f>IF(N74-$D43=0,0,'Expert Data Input'!G11*(E74-K74)/(N74-$D43))</f>
        <v>-0.82328518567304931</v>
      </c>
      <c r="R74" s="716">
        <f>IF(L74-$D43=0,0,'Expert Data Input'!G11*F74/(L74-$D43))</f>
        <v>0.7384820506248041</v>
      </c>
      <c r="S74" s="716">
        <f>IF(M74-$D43=0,0,'Expert Data Input'!G11*G74/(M74-$D43))</f>
        <v>0.7384820506248041</v>
      </c>
      <c r="T74" s="848">
        <f>IF(N74-$D43=0,0,'Expert Data Input'!G11*H74/(N74-$D43))</f>
        <v>0.7384820506248041</v>
      </c>
      <c r="Y74" s="483"/>
      <c r="Z74" s="483"/>
      <c r="AA74" s="483"/>
    </row>
    <row r="75" spans="1:27" s="65" customFormat="1" x14ac:dyDescent="0.2">
      <c r="A75" s="515"/>
      <c r="B75" s="452" t="s">
        <v>88</v>
      </c>
      <c r="C75" s="509">
        <f t="shared" si="26"/>
        <v>0.47519999999999996</v>
      </c>
      <c r="D75" s="510">
        <f t="shared" si="29"/>
        <v>0.47519999999999996</v>
      </c>
      <c r="E75" s="511">
        <f t="shared" si="27"/>
        <v>0.47519999999999996</v>
      </c>
      <c r="F75" s="509">
        <f t="shared" si="28"/>
        <v>0.45395999999999997</v>
      </c>
      <c r="G75" s="510">
        <f t="shared" si="28"/>
        <v>0.45395999999999997</v>
      </c>
      <c r="H75" s="511">
        <f t="shared" si="28"/>
        <v>0.45395999999999997</v>
      </c>
      <c r="I75" s="838">
        <f t="shared" si="18"/>
        <v>0</v>
      </c>
      <c r="J75" s="512">
        <f t="shared" si="19"/>
        <v>0</v>
      </c>
      <c r="K75" s="839">
        <f t="shared" si="20"/>
        <v>0</v>
      </c>
      <c r="L75" s="842">
        <f t="shared" si="21"/>
        <v>1.0924867724867724</v>
      </c>
      <c r="M75" s="513">
        <f t="shared" si="22"/>
        <v>1.0924867724867724</v>
      </c>
      <c r="N75" s="843">
        <f t="shared" si="23"/>
        <v>1.0924867724867724</v>
      </c>
      <c r="O75" s="847">
        <f>IF(L75-$D44=0,0,'Expert Data Input'!G12*(C75-I75)/(L75-$D44))</f>
        <v>0.39147384734598989</v>
      </c>
      <c r="P75" s="514">
        <f>IF(M75-$D44=0,0,'Expert Data Input'!G12*(D75-J75)/(M75-$D44))</f>
        <v>0.39147384734598989</v>
      </c>
      <c r="Q75" s="514">
        <f>IF(N75-$D44=0,0,'Expert Data Input'!G12*(E75-K75)/(N75-$D44))</f>
        <v>0.39147384734598989</v>
      </c>
      <c r="R75" s="716">
        <f>IF(L75-$D44=0,0,'Expert Data Input'!G12*F75/(L75-$D44))</f>
        <v>0.37397615265401007</v>
      </c>
      <c r="S75" s="716">
        <f>IF(M75-$D44=0,0,'Expert Data Input'!G12*G75/(M75-$D44))</f>
        <v>0.37397615265401007</v>
      </c>
      <c r="T75" s="848">
        <f>IF(N75-$D44=0,0,'Expert Data Input'!G12*H75/(N75-$D44))</f>
        <v>0.37397615265401007</v>
      </c>
      <c r="Y75" s="483"/>
      <c r="Z75" s="483"/>
      <c r="AA75" s="483"/>
    </row>
    <row r="76" spans="1:27" s="65" customFormat="1" x14ac:dyDescent="0.2">
      <c r="A76" s="515"/>
      <c r="B76" s="452" t="s">
        <v>98</v>
      </c>
      <c r="C76" s="509">
        <f t="shared" si="26"/>
        <v>0.19799999999999995</v>
      </c>
      <c r="D76" s="510">
        <f t="shared" si="29"/>
        <v>0.19799999999999995</v>
      </c>
      <c r="E76" s="511">
        <f t="shared" si="27"/>
        <v>0.19799999999999995</v>
      </c>
      <c r="F76" s="509">
        <f t="shared" si="28"/>
        <v>0.69840000000000002</v>
      </c>
      <c r="G76" s="510">
        <f t="shared" si="28"/>
        <v>0.69840000000000002</v>
      </c>
      <c r="H76" s="511">
        <f t="shared" si="28"/>
        <v>0.69840000000000002</v>
      </c>
      <c r="I76" s="838">
        <f t="shared" si="18"/>
        <v>0</v>
      </c>
      <c r="J76" s="512">
        <f t="shared" si="19"/>
        <v>0</v>
      </c>
      <c r="K76" s="839">
        <f t="shared" si="20"/>
        <v>0</v>
      </c>
      <c r="L76" s="842">
        <f t="shared" si="21"/>
        <v>1.1029900332225913</v>
      </c>
      <c r="M76" s="513">
        <f t="shared" si="22"/>
        <v>1.1029900332225913</v>
      </c>
      <c r="N76" s="843">
        <f t="shared" si="23"/>
        <v>1.1029900332225913</v>
      </c>
      <c r="O76" s="847">
        <f>IF(L76-$D45=0,0,'Expert Data Input'!G13*(C76-I76)/(L76-$D45))</f>
        <v>0.16156084337349397</v>
      </c>
      <c r="P76" s="514">
        <f>IF(M76-$D45=0,0,'Expert Data Input'!G13*(D76-J76)/(M76-$D45))</f>
        <v>0.16156084337349397</v>
      </c>
      <c r="Q76" s="514">
        <f>IF(N76-$D45=0,0,'Expert Data Input'!G13*(E76-K76)/(N76-$D45))</f>
        <v>0.16156084337349397</v>
      </c>
      <c r="R76" s="716">
        <f>IF(L76-$D45=0,0,'Expert Data Input'!G13*F76/(L76-$D45))</f>
        <v>0.56986915662650606</v>
      </c>
      <c r="S76" s="716">
        <f>IF(M76-$D45=0,0,'Expert Data Input'!G13*G76/(M76-$D45))</f>
        <v>0.56986915662650606</v>
      </c>
      <c r="T76" s="848">
        <f>IF(N76-$D45=0,0,'Expert Data Input'!G13*H76/(N76-$D45))</f>
        <v>0.56986915662650606</v>
      </c>
      <c r="Y76" s="483"/>
      <c r="Z76" s="483"/>
      <c r="AA76" s="483"/>
    </row>
    <row r="77" spans="1:27" s="65" customFormat="1" x14ac:dyDescent="0.2">
      <c r="A77" s="515"/>
      <c r="B77" s="452" t="s">
        <v>99</v>
      </c>
      <c r="C77" s="509">
        <f t="shared" si="26"/>
        <v>0.19799999999999995</v>
      </c>
      <c r="D77" s="510">
        <f t="shared" si="29"/>
        <v>0.19799999999999995</v>
      </c>
      <c r="E77" s="511">
        <f t="shared" si="27"/>
        <v>0.19799999999999995</v>
      </c>
      <c r="F77" s="509">
        <f t="shared" si="28"/>
        <v>0.69840000000000002</v>
      </c>
      <c r="G77" s="510">
        <f t="shared" si="28"/>
        <v>0.69840000000000002</v>
      </c>
      <c r="H77" s="511">
        <f t="shared" si="28"/>
        <v>0.69840000000000002</v>
      </c>
      <c r="I77" s="838">
        <f t="shared" si="18"/>
        <v>0.93754152823920245</v>
      </c>
      <c r="J77" s="512">
        <f t="shared" si="19"/>
        <v>0.93754152823920245</v>
      </c>
      <c r="K77" s="839">
        <f t="shared" si="20"/>
        <v>0.93754152823920245</v>
      </c>
      <c r="L77" s="842">
        <f t="shared" si="21"/>
        <v>1.1029900332225913</v>
      </c>
      <c r="M77" s="513">
        <f t="shared" si="22"/>
        <v>1.1029900332225913</v>
      </c>
      <c r="N77" s="843">
        <f t="shared" si="23"/>
        <v>1.1029900332225913</v>
      </c>
      <c r="O77" s="847">
        <f>IF(L77-$D46=0,0,'Expert Data Input'!G14*(C77-I77)/(L77-$D46))</f>
        <v>-0.60343915662650593</v>
      </c>
      <c r="P77" s="514">
        <f>IF(M77-$D46=0,0,'Expert Data Input'!G14*(D77-J77)/(M77-$D46))</f>
        <v>-0.60343915662650593</v>
      </c>
      <c r="Q77" s="514">
        <f>IF(N77-$D46=0,0,'Expert Data Input'!G14*(E77-K77)/(N77-$D46))</f>
        <v>-0.60343915662650593</v>
      </c>
      <c r="R77" s="716">
        <f>IF(L77-$D46=0,0,'Expert Data Input'!G14*F77/(L77-$D46))</f>
        <v>0.56986915662650606</v>
      </c>
      <c r="S77" s="716">
        <f>IF(M77-$D46=0,0,'Expert Data Input'!G14*G77/(M77-$D46))</f>
        <v>0.56986915662650606</v>
      </c>
      <c r="T77" s="848">
        <f>IF(N77-$D46=0,0,'Expert Data Input'!G14*H77/(N77-$D46))</f>
        <v>0.56986915662650606</v>
      </c>
      <c r="Y77" s="483"/>
      <c r="Z77" s="483"/>
      <c r="AA77" s="483"/>
    </row>
    <row r="78" spans="1:27" s="65" customFormat="1" x14ac:dyDescent="0.2">
      <c r="A78" s="515"/>
      <c r="B78" s="453" t="s">
        <v>210</v>
      </c>
      <c r="C78" s="509">
        <f t="shared" si="26"/>
        <v>3.9600000000000038E-2</v>
      </c>
      <c r="D78" s="510">
        <f t="shared" si="29"/>
        <v>3.9600000000000038E-2</v>
      </c>
      <c r="E78" s="511">
        <f t="shared" si="27"/>
        <v>3.9600000000000038E-2</v>
      </c>
      <c r="F78" s="509">
        <f t="shared" si="28"/>
        <v>0.83807999999999994</v>
      </c>
      <c r="G78" s="510">
        <f t="shared" si="28"/>
        <v>0.83807999999999994</v>
      </c>
      <c r="H78" s="511">
        <f t="shared" si="28"/>
        <v>0.83807999999999994</v>
      </c>
      <c r="I78" s="838">
        <f t="shared" si="18"/>
        <v>0</v>
      </c>
      <c r="J78" s="512">
        <f t="shared" si="19"/>
        <v>0</v>
      </c>
      <c r="K78" s="839">
        <f t="shared" si="20"/>
        <v>0</v>
      </c>
      <c r="L78" s="842">
        <f t="shared" si="21"/>
        <v>1.109442548350398</v>
      </c>
      <c r="M78" s="513">
        <f t="shared" si="22"/>
        <v>1.109442548350398</v>
      </c>
      <c r="N78" s="843">
        <f t="shared" si="23"/>
        <v>1.109442548350398</v>
      </c>
      <c r="O78" s="847">
        <f>IF(L78-$D47=0,0,'Expert Data Input'!G15*(C78-I78)/(L78-$D47))</f>
        <v>3.2124241181296177E-2</v>
      </c>
      <c r="P78" s="514">
        <f>IF(M78-$D47=0,0,'Expert Data Input'!G15*(D78-J78)/(M78-$D47))</f>
        <v>3.2124241181296177E-2</v>
      </c>
      <c r="Q78" s="514">
        <f>IF(N78-$D47=0,0,'Expert Data Input'!G15*(E78-K78)/(N78-$D47))</f>
        <v>3.2124241181296177E-2</v>
      </c>
      <c r="R78" s="716">
        <f>IF(L78-$D47=0,0,'Expert Data Input'!G15*F78/(L78-$D47))</f>
        <v>0.67986575881870392</v>
      </c>
      <c r="S78" s="716">
        <f>IF(M78-$D47=0,0,'Expert Data Input'!G15*G78/(M78-$D47))</f>
        <v>0.67986575881870392</v>
      </c>
      <c r="T78" s="848">
        <f>IF(N78-$D47=0,0,'Expert Data Input'!G15*H78/(N78-$D47))</f>
        <v>0.67986575881870392</v>
      </c>
      <c r="Y78" s="483"/>
      <c r="Z78" s="483"/>
      <c r="AA78" s="483"/>
    </row>
    <row r="79" spans="1:27" s="65" customFormat="1" x14ac:dyDescent="0.2">
      <c r="A79" s="515"/>
      <c r="B79" s="453" t="s">
        <v>211</v>
      </c>
      <c r="C79" s="509">
        <f t="shared" si="26"/>
        <v>0.44549999999999995</v>
      </c>
      <c r="D79" s="510">
        <f t="shared" si="29"/>
        <v>0.44549999999999995</v>
      </c>
      <c r="E79" s="511">
        <f t="shared" si="27"/>
        <v>0.44549999999999995</v>
      </c>
      <c r="F79" s="509">
        <f t="shared" si="28"/>
        <v>0.48014999999999997</v>
      </c>
      <c r="G79" s="510">
        <f t="shared" si="28"/>
        <v>0.48014999999999997</v>
      </c>
      <c r="H79" s="511">
        <f t="shared" si="28"/>
        <v>0.48014999999999997</v>
      </c>
      <c r="I79" s="838">
        <f t="shared" si="18"/>
        <v>0</v>
      </c>
      <c r="J79" s="512">
        <f t="shared" si="19"/>
        <v>0</v>
      </c>
      <c r="K79" s="839">
        <f t="shared" si="20"/>
        <v>0</v>
      </c>
      <c r="L79" s="842">
        <f t="shared" si="21"/>
        <v>1.0935672514619881</v>
      </c>
      <c r="M79" s="513">
        <f t="shared" si="22"/>
        <v>1.0935672514619881</v>
      </c>
      <c r="N79" s="843">
        <f t="shared" si="23"/>
        <v>1.0935672514619881</v>
      </c>
      <c r="O79" s="847">
        <f>IF(L79-$D48=0,0,'Expert Data Input'!G16*(C79-I79)/(L79-$D48))</f>
        <v>0.3666441176470589</v>
      </c>
      <c r="P79" s="514">
        <f>IF(M79-$D48=0,0,'Expert Data Input'!G16*(D79-J79)/(M79-$D48))</f>
        <v>0.3666441176470589</v>
      </c>
      <c r="Q79" s="514">
        <f>IF(N79-$D48=0,0,'Expert Data Input'!G16*(E79-K79)/(N79-$D48))</f>
        <v>0.3666441176470589</v>
      </c>
      <c r="R79" s="716">
        <f>IF(L79-$D48=0,0,'Expert Data Input'!G16*F79/(L79-$D48))</f>
        <v>0.39516088235294128</v>
      </c>
      <c r="S79" s="716">
        <f>IF(M79-$D48=0,0,'Expert Data Input'!G16*G79/(M79-$D48))</f>
        <v>0.39516088235294128</v>
      </c>
      <c r="T79" s="848">
        <f>IF(N79-$D48=0,0,'Expert Data Input'!G16*H79/(N79-$D48))</f>
        <v>0.39516088235294128</v>
      </c>
      <c r="Y79" s="483"/>
      <c r="Z79" s="483"/>
      <c r="AA79" s="483"/>
    </row>
    <row r="80" spans="1:27" s="65" customFormat="1" x14ac:dyDescent="0.2">
      <c r="A80" s="515"/>
      <c r="B80" s="452" t="s">
        <v>76</v>
      </c>
      <c r="C80" s="509">
        <f t="shared" si="26"/>
        <v>0</v>
      </c>
      <c r="D80" s="510">
        <f t="shared" si="29"/>
        <v>0</v>
      </c>
      <c r="E80" s="511">
        <f t="shared" si="27"/>
        <v>0</v>
      </c>
      <c r="F80" s="509">
        <f t="shared" si="28"/>
        <v>0</v>
      </c>
      <c r="G80" s="510">
        <f t="shared" si="28"/>
        <v>0</v>
      </c>
      <c r="H80" s="511">
        <f t="shared" si="28"/>
        <v>0</v>
      </c>
      <c r="I80" s="838">
        <f t="shared" si="18"/>
        <v>0</v>
      </c>
      <c r="J80" s="512">
        <f t="shared" si="19"/>
        <v>0</v>
      </c>
      <c r="K80" s="839">
        <f t="shared" si="20"/>
        <v>0</v>
      </c>
      <c r="L80" s="842">
        <f t="shared" si="21"/>
        <v>0</v>
      </c>
      <c r="M80" s="513">
        <f t="shared" si="22"/>
        <v>0</v>
      </c>
      <c r="N80" s="843">
        <f t="shared" si="23"/>
        <v>0</v>
      </c>
      <c r="O80" s="847">
        <f>IF(L80-$D49=0,0,'Expert Data Input'!G17*(C80-I80)/(L80-$D49))</f>
        <v>0</v>
      </c>
      <c r="P80" s="514">
        <f>IF(M80-$D49=0,0,'Expert Data Input'!G17*(D80-J80)/(M80-$D49))</f>
        <v>0</v>
      </c>
      <c r="Q80" s="514">
        <f>IF(N80-$D49=0,0,'Expert Data Input'!G17*(E80-K80)/(N80-$D49))</f>
        <v>0</v>
      </c>
      <c r="R80" s="716">
        <f>IF(L80-$D49=0,0,'Expert Data Input'!G17*F80/(L80-$D49))</f>
        <v>0</v>
      </c>
      <c r="S80" s="716">
        <f>IF(M80-$D49=0,0,'Expert Data Input'!G17*G80/(M80-$D49))</f>
        <v>0</v>
      </c>
      <c r="T80" s="848">
        <f>IF(N80-$D49=0,0,'Expert Data Input'!G17*H80/(N80-$D49))</f>
        <v>0</v>
      </c>
      <c r="Y80" s="483"/>
      <c r="Z80" s="483"/>
      <c r="AA80" s="483"/>
    </row>
    <row r="81" spans="1:27" s="65" customFormat="1" x14ac:dyDescent="0.2">
      <c r="A81" s="515"/>
      <c r="B81" s="452" t="s">
        <v>77</v>
      </c>
      <c r="C81" s="509">
        <f t="shared" si="26"/>
        <v>0</v>
      </c>
      <c r="D81" s="510">
        <f t="shared" si="29"/>
        <v>0</v>
      </c>
      <c r="E81" s="511">
        <f t="shared" si="27"/>
        <v>0</v>
      </c>
      <c r="F81" s="509">
        <f t="shared" si="28"/>
        <v>0</v>
      </c>
      <c r="G81" s="510">
        <f t="shared" si="28"/>
        <v>0</v>
      </c>
      <c r="H81" s="511">
        <f t="shared" si="28"/>
        <v>0</v>
      </c>
      <c r="I81" s="838">
        <f t="shared" si="18"/>
        <v>0</v>
      </c>
      <c r="J81" s="512">
        <f t="shared" si="19"/>
        <v>0</v>
      </c>
      <c r="K81" s="839">
        <f t="shared" si="20"/>
        <v>0</v>
      </c>
      <c r="L81" s="842">
        <f t="shared" si="21"/>
        <v>0</v>
      </c>
      <c r="M81" s="513">
        <f t="shared" si="22"/>
        <v>0</v>
      </c>
      <c r="N81" s="843">
        <f t="shared" si="23"/>
        <v>0</v>
      </c>
      <c r="O81" s="847">
        <f>IF(L81-$D50=0,0,'Expert Data Input'!G18*(C81-I81)/(L81-$D50))</f>
        <v>0</v>
      </c>
      <c r="P81" s="514">
        <f>IF(M81-$D50=0,0,'Expert Data Input'!G18*(D81-J81)/(M81-$D50))</f>
        <v>0</v>
      </c>
      <c r="Q81" s="514">
        <f>IF(N81-$D50=0,0,'Expert Data Input'!G18*(E81-K81)/(N81-$D50))</f>
        <v>0</v>
      </c>
      <c r="R81" s="716">
        <f>IF(L81-$D50=0,0,'Expert Data Input'!G18*F81/(L81-$D50))</f>
        <v>0</v>
      </c>
      <c r="S81" s="716">
        <f>IF(M81-$D50=0,0,'Expert Data Input'!G18*G81/(M81-$D50))</f>
        <v>0</v>
      </c>
      <c r="T81" s="848">
        <f>IF(N81-$D50=0,0,'Expert Data Input'!G18*H81/(N81-$D50))</f>
        <v>0</v>
      </c>
      <c r="Y81" s="483"/>
      <c r="Z81" s="483"/>
      <c r="AA81" s="483"/>
    </row>
    <row r="82" spans="1:27" s="65" customFormat="1" x14ac:dyDescent="0.2">
      <c r="A82" s="515"/>
      <c r="B82" s="452" t="s">
        <v>78</v>
      </c>
      <c r="C82" s="509">
        <f t="shared" si="26"/>
        <v>0</v>
      </c>
      <c r="D82" s="510">
        <f>(1-F51)*$H51</f>
        <v>0</v>
      </c>
      <c r="E82" s="511">
        <f t="shared" si="27"/>
        <v>0</v>
      </c>
      <c r="F82" s="509">
        <f t="shared" si="28"/>
        <v>0</v>
      </c>
      <c r="G82" s="510">
        <f t="shared" si="28"/>
        <v>0</v>
      </c>
      <c r="H82" s="511">
        <f t="shared" si="28"/>
        <v>0</v>
      </c>
      <c r="I82" s="838">
        <f t="shared" si="18"/>
        <v>0</v>
      </c>
      <c r="J82" s="512">
        <f t="shared" si="19"/>
        <v>0</v>
      </c>
      <c r="K82" s="839">
        <f t="shared" si="20"/>
        <v>0</v>
      </c>
      <c r="L82" s="842">
        <f t="shared" si="21"/>
        <v>0</v>
      </c>
      <c r="M82" s="513">
        <f t="shared" si="22"/>
        <v>0</v>
      </c>
      <c r="N82" s="843">
        <f t="shared" si="23"/>
        <v>0</v>
      </c>
      <c r="O82" s="847">
        <f>IF(L82-$D51=0,0,'Expert Data Input'!G19*(C82-I82)/(L82-$D51))</f>
        <v>0</v>
      </c>
      <c r="P82" s="514">
        <f>IF(M82-$D51=0,0,'Expert Data Input'!G19*(D82-J82)/(M82-$D51))</f>
        <v>0</v>
      </c>
      <c r="Q82" s="514">
        <f>IF(N82-$D51=0,0,'Expert Data Input'!G19*(E82-K82)/(N82-$D51))</f>
        <v>0</v>
      </c>
      <c r="R82" s="716">
        <f>IF(L82-$D51=0,0,'Expert Data Input'!G19*F82/(L82-$D51))</f>
        <v>0</v>
      </c>
      <c r="S82" s="716">
        <f>IF(M82-$D51=0,0,'Expert Data Input'!G19*G82/(M82-$D51))</f>
        <v>0</v>
      </c>
      <c r="T82" s="848">
        <f>IF(N82-$D51=0,0,'Expert Data Input'!G19*H82/(N82-$D51))</f>
        <v>0</v>
      </c>
      <c r="Y82" s="483"/>
      <c r="Z82" s="483"/>
      <c r="AA82" s="483"/>
    </row>
    <row r="83" spans="1:27" s="65" customFormat="1" x14ac:dyDescent="0.2">
      <c r="A83" s="515"/>
      <c r="B83" s="453" t="s">
        <v>212</v>
      </c>
      <c r="C83" s="509">
        <f t="shared" si="26"/>
        <v>0</v>
      </c>
      <c r="D83" s="510">
        <f t="shared" si="29"/>
        <v>0</v>
      </c>
      <c r="E83" s="511">
        <f t="shared" si="27"/>
        <v>0</v>
      </c>
      <c r="F83" s="509">
        <f t="shared" si="28"/>
        <v>0</v>
      </c>
      <c r="G83" s="510">
        <f t="shared" si="28"/>
        <v>0</v>
      </c>
      <c r="H83" s="511">
        <f t="shared" si="28"/>
        <v>0</v>
      </c>
      <c r="I83" s="838">
        <f t="shared" si="18"/>
        <v>0</v>
      </c>
      <c r="J83" s="512">
        <f t="shared" si="19"/>
        <v>0</v>
      </c>
      <c r="K83" s="839">
        <f t="shared" si="20"/>
        <v>0</v>
      </c>
      <c r="L83" s="842">
        <f t="shared" si="21"/>
        <v>0</v>
      </c>
      <c r="M83" s="513">
        <f t="shared" si="22"/>
        <v>0</v>
      </c>
      <c r="N83" s="843">
        <f t="shared" si="23"/>
        <v>0</v>
      </c>
      <c r="O83" s="847">
        <v>0</v>
      </c>
      <c r="P83" s="514">
        <v>0</v>
      </c>
      <c r="Q83" s="514">
        <v>0</v>
      </c>
      <c r="R83" s="514">
        <v>0</v>
      </c>
      <c r="S83" s="514">
        <v>0</v>
      </c>
      <c r="T83" s="849">
        <v>0</v>
      </c>
      <c r="U83" s="477"/>
      <c r="Y83" s="483"/>
      <c r="Z83" s="483"/>
      <c r="AA83" s="483"/>
    </row>
    <row r="84" spans="1:27" s="65" customFormat="1" x14ac:dyDescent="0.2">
      <c r="A84" s="515"/>
      <c r="B84" s="453" t="s">
        <v>213</v>
      </c>
      <c r="C84" s="509">
        <f t="shared" si="26"/>
        <v>0</v>
      </c>
      <c r="D84" s="510">
        <f t="shared" si="29"/>
        <v>0</v>
      </c>
      <c r="E84" s="511">
        <f t="shared" si="27"/>
        <v>0</v>
      </c>
      <c r="F84" s="509">
        <f t="shared" si="28"/>
        <v>0</v>
      </c>
      <c r="G84" s="510">
        <f t="shared" si="28"/>
        <v>0</v>
      </c>
      <c r="H84" s="511">
        <f t="shared" si="28"/>
        <v>0</v>
      </c>
      <c r="I84" s="838">
        <f t="shared" si="18"/>
        <v>0</v>
      </c>
      <c r="J84" s="512">
        <f t="shared" si="19"/>
        <v>0</v>
      </c>
      <c r="K84" s="839">
        <f t="shared" si="20"/>
        <v>0</v>
      </c>
      <c r="L84" s="842">
        <f t="shared" si="21"/>
        <v>0</v>
      </c>
      <c r="M84" s="513">
        <f t="shared" si="22"/>
        <v>0</v>
      </c>
      <c r="N84" s="843">
        <f t="shared" si="23"/>
        <v>0</v>
      </c>
      <c r="O84" s="847">
        <v>0</v>
      </c>
      <c r="P84" s="514">
        <v>0</v>
      </c>
      <c r="Q84" s="514">
        <v>0</v>
      </c>
      <c r="R84" s="514">
        <v>0</v>
      </c>
      <c r="S84" s="514">
        <v>0</v>
      </c>
      <c r="T84" s="849">
        <v>0</v>
      </c>
      <c r="U84" s="477"/>
      <c r="Y84" s="483"/>
      <c r="Z84" s="483"/>
      <c r="AA84" s="483"/>
    </row>
    <row r="85" spans="1:27" s="65" customFormat="1" x14ac:dyDescent="0.2">
      <c r="A85" s="515"/>
      <c r="B85" s="453" t="s">
        <v>214</v>
      </c>
      <c r="C85" s="509">
        <f t="shared" si="26"/>
        <v>0</v>
      </c>
      <c r="D85" s="510">
        <f t="shared" si="29"/>
        <v>0</v>
      </c>
      <c r="E85" s="511">
        <f t="shared" si="27"/>
        <v>0</v>
      </c>
      <c r="F85" s="509">
        <f t="shared" si="28"/>
        <v>0</v>
      </c>
      <c r="G85" s="510">
        <f t="shared" si="28"/>
        <v>0</v>
      </c>
      <c r="H85" s="511">
        <f t="shared" si="28"/>
        <v>0</v>
      </c>
      <c r="I85" s="838">
        <f t="shared" si="18"/>
        <v>0</v>
      </c>
      <c r="J85" s="512">
        <f t="shared" si="19"/>
        <v>0</v>
      </c>
      <c r="K85" s="839">
        <f t="shared" si="20"/>
        <v>0</v>
      </c>
      <c r="L85" s="842">
        <f t="shared" si="21"/>
        <v>0</v>
      </c>
      <c r="M85" s="513">
        <f t="shared" si="22"/>
        <v>0</v>
      </c>
      <c r="N85" s="843">
        <f t="shared" si="23"/>
        <v>0</v>
      </c>
      <c r="O85" s="847">
        <v>0</v>
      </c>
      <c r="P85" s="514">
        <v>0</v>
      </c>
      <c r="Q85" s="514">
        <v>0</v>
      </c>
      <c r="R85" s="514">
        <v>0</v>
      </c>
      <c r="S85" s="514">
        <v>0</v>
      </c>
      <c r="T85" s="849">
        <v>0</v>
      </c>
      <c r="U85" s="477"/>
      <c r="Y85" s="483"/>
      <c r="Z85" s="483"/>
      <c r="AA85" s="483"/>
    </row>
    <row r="86" spans="1:27" s="65" customFormat="1" x14ac:dyDescent="0.2">
      <c r="A86" s="515"/>
      <c r="B86" s="453" t="s">
        <v>215</v>
      </c>
      <c r="C86" s="509">
        <f t="shared" si="26"/>
        <v>0</v>
      </c>
      <c r="D86" s="510">
        <f t="shared" si="29"/>
        <v>0</v>
      </c>
      <c r="E86" s="511">
        <f t="shared" si="27"/>
        <v>0</v>
      </c>
      <c r="F86" s="509">
        <f t="shared" si="28"/>
        <v>0</v>
      </c>
      <c r="G86" s="510">
        <f t="shared" si="28"/>
        <v>0</v>
      </c>
      <c r="H86" s="511">
        <f t="shared" si="28"/>
        <v>0</v>
      </c>
      <c r="I86" s="838">
        <f t="shared" si="18"/>
        <v>0</v>
      </c>
      <c r="J86" s="512">
        <f t="shared" si="19"/>
        <v>0</v>
      </c>
      <c r="K86" s="839">
        <f t="shared" si="20"/>
        <v>0</v>
      </c>
      <c r="L86" s="842">
        <f t="shared" si="21"/>
        <v>0</v>
      </c>
      <c r="M86" s="513">
        <f t="shared" si="22"/>
        <v>0</v>
      </c>
      <c r="N86" s="843">
        <f t="shared" si="23"/>
        <v>0</v>
      </c>
      <c r="O86" s="847">
        <v>0</v>
      </c>
      <c r="P86" s="514">
        <v>0</v>
      </c>
      <c r="Q86" s="514">
        <v>0</v>
      </c>
      <c r="R86" s="514">
        <v>0</v>
      </c>
      <c r="S86" s="514">
        <v>0</v>
      </c>
      <c r="T86" s="849">
        <v>0</v>
      </c>
      <c r="U86" s="477"/>
      <c r="Y86" s="483"/>
      <c r="Z86" s="483"/>
      <c r="AA86" s="483"/>
    </row>
    <row r="87" spans="1:27" s="65" customFormat="1" x14ac:dyDescent="0.2">
      <c r="A87" s="515"/>
      <c r="B87" s="453" t="s">
        <v>218</v>
      </c>
      <c r="C87" s="509">
        <f t="shared" si="26"/>
        <v>0.37619999999999998</v>
      </c>
      <c r="D87" s="510">
        <f t="shared" si="29"/>
        <v>0.37619999999999998</v>
      </c>
      <c r="E87" s="511">
        <f t="shared" si="27"/>
        <v>0.37619999999999998</v>
      </c>
      <c r="F87" s="509">
        <f t="shared" si="28"/>
        <v>0.5893719999999999</v>
      </c>
      <c r="G87" s="510">
        <f t="shared" si="28"/>
        <v>0.5893719999999999</v>
      </c>
      <c r="H87" s="511">
        <f t="shared" si="28"/>
        <v>0.5893719999999999</v>
      </c>
      <c r="I87" s="838">
        <f t="shared" si="18"/>
        <v>1.7999999999999999E-2</v>
      </c>
      <c r="J87" s="512">
        <f t="shared" si="19"/>
        <v>1.7999999999999999E-2</v>
      </c>
      <c r="K87" s="839">
        <f t="shared" si="20"/>
        <v>1.7999999999999999E-2</v>
      </c>
      <c r="L87" s="842">
        <f t="shared" si="21"/>
        <v>1.0398378426228279</v>
      </c>
      <c r="M87" s="513">
        <f t="shared" si="22"/>
        <v>1.0398378426228279</v>
      </c>
      <c r="N87" s="843">
        <f t="shared" si="23"/>
        <v>1.0398378426228279</v>
      </c>
      <c r="O87" s="847">
        <f>IF(L87-$D56=0,0,'Expert Data Input'!G20*(C87-I87)/(L87-$D56))</f>
        <v>0.31549037093059995</v>
      </c>
      <c r="P87" s="514">
        <f>IF(M87-$D56=0,0,'Expert Data Input'!G20*(D87-J87)/(M87-$D56))</f>
        <v>0.31549037093059995</v>
      </c>
      <c r="Q87" s="514">
        <f>IF(N87-$D56=0,0,'Expert Data Input'!G20*(E87-K87)/(N87-$D56))</f>
        <v>0.31549037093059995</v>
      </c>
      <c r="R87" s="716">
        <f>IF(L87-$D56=0,0,'Expert Data Input'!G20*F87/(L87-$D56))</f>
        <v>0.51909880205502379</v>
      </c>
      <c r="S87" s="716">
        <f>IF(M87-$D56=0,0,'Expert Data Input'!G20*G87/(M87-$D56))</f>
        <v>0.51909880205502379</v>
      </c>
      <c r="T87" s="848">
        <f>IF(N87-$D56=0,0,'Expert Data Input'!G20*H87/(N87-$D56))</f>
        <v>0.51909880205502379</v>
      </c>
      <c r="Y87" s="483"/>
      <c r="Z87" s="483"/>
      <c r="AA87" s="483"/>
    </row>
    <row r="88" spans="1:27" s="65" customFormat="1" x14ac:dyDescent="0.2">
      <c r="A88" s="515"/>
      <c r="B88" s="452" t="s">
        <v>50</v>
      </c>
      <c r="C88" s="516"/>
      <c r="D88" s="517"/>
      <c r="E88" s="518"/>
      <c r="F88" s="516"/>
      <c r="G88" s="517"/>
      <c r="H88" s="518"/>
      <c r="I88" s="840"/>
      <c r="J88" s="519"/>
      <c r="K88" s="841"/>
      <c r="L88" s="472"/>
      <c r="N88" s="468"/>
      <c r="O88" s="840"/>
      <c r="P88" s="519"/>
      <c r="Q88" s="519"/>
      <c r="R88" s="657"/>
      <c r="S88" s="524"/>
      <c r="T88" s="850"/>
    </row>
    <row r="89" spans="1:27" s="65" customFormat="1" x14ac:dyDescent="0.2">
      <c r="A89" s="515"/>
      <c r="B89" s="452" t="s">
        <v>130</v>
      </c>
      <c r="C89" s="509">
        <f>(1-E58)*$H58</f>
        <v>0</v>
      </c>
      <c r="D89" s="510">
        <f>(1-F58)*$H58</f>
        <v>0</v>
      </c>
      <c r="E89" s="511">
        <f>(1-G58)*$H58</f>
        <v>0</v>
      </c>
      <c r="F89" s="509">
        <f>E58*$K58*$L58</f>
        <v>0</v>
      </c>
      <c r="G89" s="510">
        <f>F58*$K58*$L58</f>
        <v>0</v>
      </c>
      <c r="H89" s="511">
        <f>$K58*$L58</f>
        <v>0</v>
      </c>
      <c r="I89" s="838">
        <f>$D58*(1-$C58)+IF(O58=0,0,$C58*(C89+F89)/O58)</f>
        <v>0</v>
      </c>
      <c r="J89" s="512">
        <f>$D58*(1-$C58)+IF(P58=0,0,$C58*(D89+G89)/P58)</f>
        <v>0</v>
      </c>
      <c r="K89" s="839">
        <f>$D58*(1-$C58)+IF(Q58=0,0,$C58*(E89+H89)/Q58)</f>
        <v>0</v>
      </c>
      <c r="L89" s="842">
        <f>IF(O58=0,0,(C89+F89)/O58)</f>
        <v>0</v>
      </c>
      <c r="M89" s="513">
        <f>IF(P58=0,0,(D89+G89)/P58)</f>
        <v>0</v>
      </c>
      <c r="N89" s="843">
        <f>IF(Q58=0,0,(E89+H89)/Q58)</f>
        <v>0</v>
      </c>
      <c r="O89" s="516"/>
      <c r="P89" s="517"/>
      <c r="Q89" s="517"/>
      <c r="R89" s="571">
        <v>1</v>
      </c>
      <c r="S89" s="571">
        <v>1</v>
      </c>
      <c r="T89" s="851">
        <v>1</v>
      </c>
    </row>
    <row r="90" spans="1:27" s="65" customFormat="1" x14ac:dyDescent="0.2">
      <c r="A90" s="520"/>
      <c r="B90" s="453" t="s">
        <v>216</v>
      </c>
      <c r="C90" s="516"/>
      <c r="D90" s="517"/>
      <c r="E90" s="518"/>
      <c r="F90" s="516"/>
      <c r="G90" s="517"/>
      <c r="H90" s="518"/>
      <c r="I90" s="516"/>
      <c r="J90" s="517"/>
      <c r="K90" s="518"/>
      <c r="L90" s="472"/>
      <c r="N90" s="468"/>
      <c r="O90" s="516"/>
      <c r="P90" s="517"/>
      <c r="Q90" s="517"/>
      <c r="R90" s="658"/>
      <c r="S90" s="524"/>
      <c r="T90" s="850"/>
    </row>
    <row r="91" spans="1:27" s="65" customFormat="1" x14ac:dyDescent="0.2">
      <c r="A91" s="515"/>
      <c r="B91" s="453" t="s">
        <v>217</v>
      </c>
      <c r="C91" s="509">
        <f>(1-E60)*$H60</f>
        <v>0</v>
      </c>
      <c r="D91" s="510">
        <f>(1-F60)*$H60</f>
        <v>0</v>
      </c>
      <c r="E91" s="511">
        <f>(1-G60)*$H60</f>
        <v>0</v>
      </c>
      <c r="F91" s="509">
        <f>E60*$K60*$L60</f>
        <v>0</v>
      </c>
      <c r="G91" s="510">
        <f>F60*$K60*$L60</f>
        <v>0</v>
      </c>
      <c r="H91" s="511">
        <f>G60*$K60*$L60</f>
        <v>0</v>
      </c>
      <c r="I91" s="838">
        <f>$D60*(1-$C60)+IF(O60=0,0,$C60*(C91+F91)/O60)</f>
        <v>0</v>
      </c>
      <c r="J91" s="512">
        <f>$D60*(1-$C60)+IF(P60=0,0,$C60*(D91+G91)/P60)</f>
        <v>0</v>
      </c>
      <c r="K91" s="839">
        <f>$D60*(1-$C60)+IF(Q60=0,0,$C60*(E91+H91)/Q60)</f>
        <v>0</v>
      </c>
      <c r="L91" s="842">
        <f>IF(O60=0,0,(C91+F91)/O60)</f>
        <v>0</v>
      </c>
      <c r="M91" s="513">
        <f>IF(P60=0,0,(D91+G91)/P60)</f>
        <v>0</v>
      </c>
      <c r="N91" s="843">
        <f>IF(Q60=0,0,(E91+H91)/Q60)</f>
        <v>0</v>
      </c>
      <c r="O91" s="847">
        <v>0</v>
      </c>
      <c r="P91" s="514">
        <v>0</v>
      </c>
      <c r="Q91" s="514">
        <v>0</v>
      </c>
      <c r="R91" s="571">
        <v>0</v>
      </c>
      <c r="S91" s="571">
        <v>0</v>
      </c>
      <c r="T91" s="851">
        <v>0</v>
      </c>
      <c r="Y91" s="483"/>
      <c r="Z91" s="483"/>
      <c r="AA91" s="483"/>
    </row>
    <row r="92" spans="1:27" s="65" customFormat="1" ht="13.5" thickBot="1" x14ac:dyDescent="0.25">
      <c r="A92" s="520"/>
      <c r="B92" s="453" t="s">
        <v>288</v>
      </c>
      <c r="C92" s="521"/>
      <c r="D92" s="522"/>
      <c r="E92" s="523"/>
      <c r="F92" s="521"/>
      <c r="G92" s="522"/>
      <c r="H92" s="523"/>
      <c r="I92" s="521"/>
      <c r="J92" s="522"/>
      <c r="K92" s="523"/>
      <c r="L92" s="844"/>
      <c r="M92" s="845"/>
      <c r="N92" s="846"/>
      <c r="O92" s="852"/>
      <c r="P92" s="853"/>
      <c r="Q92" s="853"/>
      <c r="R92" s="522"/>
      <c r="S92" s="522"/>
      <c r="T92" s="523"/>
      <c r="U92" s="659"/>
      <c r="V92" s="660"/>
      <c r="W92" s="660"/>
    </row>
    <row r="93" spans="1:27" s="65" customFormat="1" x14ac:dyDescent="0.2">
      <c r="B93" s="452"/>
      <c r="C93" s="503"/>
      <c r="E93" s="477"/>
      <c r="I93" s="477"/>
      <c r="J93" s="477"/>
      <c r="K93" s="61"/>
      <c r="L93" s="477"/>
      <c r="M93" s="61"/>
      <c r="N93" s="40"/>
      <c r="O93" s="40"/>
      <c r="P93" s="505"/>
    </row>
    <row r="94" spans="1:27" s="65" customFormat="1" x14ac:dyDescent="0.2">
      <c r="B94" s="452"/>
      <c r="C94" s="503"/>
      <c r="D94" s="477"/>
      <c r="E94" s="477"/>
      <c r="F94" s="524"/>
      <c r="G94" s="524"/>
      <c r="H94" s="524"/>
      <c r="I94" s="477"/>
      <c r="J94" s="477"/>
      <c r="L94" s="477"/>
      <c r="M94" s="477"/>
      <c r="N94" s="33"/>
      <c r="O94" s="33"/>
      <c r="P94" s="525"/>
    </row>
    <row r="95" spans="1:27" s="65" customFormat="1" x14ac:dyDescent="0.2"/>
    <row r="96" spans="1:27" s="65" customFormat="1" x14ac:dyDescent="0.2">
      <c r="B96" s="452"/>
      <c r="C96" s="61"/>
      <c r="D96" s="524"/>
      <c r="E96" s="477"/>
      <c r="F96" s="524"/>
      <c r="G96" s="524"/>
      <c r="H96" s="524"/>
      <c r="L96" s="61"/>
      <c r="M96" s="61"/>
      <c r="O96" s="61"/>
      <c r="P96" s="567"/>
      <c r="Q96" s="40"/>
      <c r="R96" s="40"/>
      <c r="S96" s="484"/>
    </row>
    <row r="97" spans="2:23" x14ac:dyDescent="0.2">
      <c r="B97" s="452"/>
      <c r="C97" s="65"/>
      <c r="D97" s="566"/>
      <c r="E97" s="65"/>
      <c r="F97" s="524"/>
      <c r="G97" s="524"/>
      <c r="H97" s="524"/>
      <c r="L97" s="33"/>
      <c r="M97" s="65"/>
      <c r="O97" s="499"/>
      <c r="P97" s="567"/>
      <c r="Q97" s="33"/>
      <c r="R97" s="33"/>
      <c r="S97" s="527"/>
      <c r="T97" s="65"/>
    </row>
    <row r="98" spans="2:23" x14ac:dyDescent="0.2">
      <c r="D98" s="566"/>
      <c r="F98" s="524"/>
      <c r="G98" s="524"/>
      <c r="H98" s="524"/>
      <c r="L98" s="502"/>
      <c r="M98" s="61"/>
      <c r="N98" s="65"/>
      <c r="O98" s="502"/>
      <c r="P98" s="567"/>
      <c r="Q98" s="40"/>
      <c r="R98" s="40"/>
      <c r="S98" s="484"/>
      <c r="T98" s="65"/>
    </row>
    <row r="99" spans="2:23" x14ac:dyDescent="0.2">
      <c r="D99" s="566"/>
      <c r="F99" s="524"/>
      <c r="G99" s="524"/>
      <c r="H99" s="524"/>
      <c r="L99" s="528"/>
      <c r="M99" s="528"/>
      <c r="P99" s="567"/>
      <c r="T99" s="488"/>
    </row>
    <row r="100" spans="2:23" ht="12.75" customHeight="1" x14ac:dyDescent="0.2">
      <c r="D100" s="566"/>
      <c r="F100" s="524"/>
      <c r="G100" s="524"/>
      <c r="H100" s="524"/>
      <c r="L100" s="529"/>
      <c r="M100" s="530"/>
      <c r="N100" s="493"/>
      <c r="O100" s="531"/>
      <c r="P100" s="567"/>
    </row>
    <row r="101" spans="2:23" x14ac:dyDescent="0.2">
      <c r="D101" s="566"/>
      <c r="F101" s="524"/>
      <c r="G101" s="524"/>
      <c r="H101" s="524"/>
      <c r="L101" s="529"/>
      <c r="M101" s="530"/>
      <c r="N101" s="493"/>
      <c r="O101" s="531"/>
      <c r="P101" s="567"/>
    </row>
    <row r="102" spans="2:23" x14ac:dyDescent="0.2">
      <c r="D102" s="566"/>
      <c r="F102" s="524"/>
      <c r="G102" s="524"/>
      <c r="H102" s="524"/>
      <c r="L102" s="497"/>
      <c r="M102" s="497"/>
      <c r="N102" s="497"/>
      <c r="O102" s="496"/>
      <c r="P102" s="567"/>
      <c r="V102" s="496"/>
      <c r="W102" s="499"/>
    </row>
    <row r="103" spans="2:23" x14ac:dyDescent="0.2">
      <c r="D103" s="566"/>
      <c r="F103" s="524"/>
      <c r="G103" s="524"/>
      <c r="H103" s="524"/>
      <c r="L103" s="499"/>
      <c r="M103" s="502"/>
      <c r="N103" s="61"/>
      <c r="P103" s="567"/>
      <c r="W103" s="499"/>
    </row>
    <row r="104" spans="2:23" x14ac:dyDescent="0.2">
      <c r="D104" s="566"/>
      <c r="F104" s="524"/>
      <c r="G104" s="524"/>
      <c r="H104" s="524"/>
      <c r="L104" s="40"/>
      <c r="M104" s="40"/>
      <c r="N104" s="502"/>
      <c r="O104" s="499"/>
      <c r="P104" s="567"/>
      <c r="W104" s="499"/>
    </row>
    <row r="105" spans="2:23" x14ac:dyDescent="0.2">
      <c r="D105" s="566"/>
      <c r="F105" s="524"/>
      <c r="G105" s="524"/>
      <c r="H105" s="524"/>
      <c r="L105" s="40"/>
      <c r="M105" s="40"/>
      <c r="N105" s="502"/>
      <c r="O105" s="499"/>
      <c r="P105" s="567"/>
      <c r="W105" s="499"/>
    </row>
    <row r="106" spans="2:23" x14ac:dyDescent="0.2">
      <c r="D106" s="566"/>
      <c r="F106" s="524"/>
      <c r="G106" s="524"/>
      <c r="H106" s="524"/>
      <c r="L106" s="40"/>
      <c r="M106" s="40"/>
      <c r="N106" s="502"/>
      <c r="O106" s="499"/>
      <c r="P106" s="567"/>
      <c r="W106" s="499"/>
    </row>
    <row r="107" spans="2:23" x14ac:dyDescent="0.2">
      <c r="D107" s="566"/>
      <c r="F107" s="524"/>
      <c r="G107" s="524"/>
      <c r="H107" s="524"/>
      <c r="L107" s="499"/>
      <c r="M107" s="502"/>
      <c r="N107" s="502"/>
      <c r="O107" s="499"/>
      <c r="P107" s="567"/>
    </row>
    <row r="108" spans="2:23" x14ac:dyDescent="0.2">
      <c r="D108" s="566"/>
      <c r="F108" s="524"/>
      <c r="G108" s="524"/>
      <c r="H108" s="524"/>
      <c r="L108" s="502"/>
      <c r="M108" s="502"/>
      <c r="N108" s="502"/>
      <c r="O108" s="499"/>
      <c r="P108" s="567"/>
    </row>
    <row r="109" spans="2:23" x14ac:dyDescent="0.2">
      <c r="D109" s="566"/>
      <c r="F109" s="524"/>
      <c r="G109" s="524"/>
      <c r="H109" s="524"/>
      <c r="L109" s="502"/>
      <c r="M109" s="502"/>
      <c r="N109" s="502"/>
      <c r="O109" s="499"/>
      <c r="P109" s="567"/>
    </row>
    <row r="110" spans="2:23" x14ac:dyDescent="0.2">
      <c r="D110" s="566"/>
      <c r="F110" s="524"/>
      <c r="G110" s="524"/>
      <c r="H110" s="524"/>
      <c r="L110" s="502"/>
      <c r="M110" s="502"/>
      <c r="N110" s="502"/>
      <c r="O110" s="499"/>
      <c r="P110" s="567"/>
    </row>
    <row r="111" spans="2:23" x14ac:dyDescent="0.2">
      <c r="D111" s="566"/>
      <c r="F111" s="524"/>
      <c r="G111" s="524"/>
      <c r="H111" s="524"/>
      <c r="L111" s="499"/>
      <c r="M111" s="502"/>
      <c r="N111" s="61"/>
      <c r="P111" s="567"/>
    </row>
    <row r="112" spans="2:23" x14ac:dyDescent="0.2">
      <c r="D112" s="566"/>
      <c r="F112" s="524"/>
      <c r="G112" s="524"/>
      <c r="H112" s="524"/>
      <c r="L112" s="40"/>
      <c r="M112" s="40"/>
      <c r="N112" s="502"/>
      <c r="O112" s="499"/>
      <c r="P112" s="567"/>
    </row>
    <row r="113" spans="2:22" x14ac:dyDescent="0.2">
      <c r="D113" s="566"/>
      <c r="F113" s="524"/>
      <c r="G113" s="524"/>
      <c r="H113" s="524"/>
      <c r="L113" s="40"/>
      <c r="M113" s="40"/>
      <c r="N113" s="502"/>
      <c r="O113" s="499"/>
      <c r="P113" s="567"/>
    </row>
    <row r="114" spans="2:22" x14ac:dyDescent="0.2">
      <c r="D114" s="566"/>
      <c r="F114" s="524"/>
      <c r="G114" s="524"/>
      <c r="H114" s="524"/>
      <c r="L114" s="40"/>
      <c r="M114" s="40"/>
      <c r="N114" s="502"/>
    </row>
    <row r="115" spans="2:22" x14ac:dyDescent="0.2">
      <c r="D115" s="566"/>
      <c r="F115" s="524"/>
      <c r="G115" s="524"/>
      <c r="H115" s="524"/>
      <c r="L115" s="499"/>
      <c r="M115" s="502"/>
      <c r="N115" s="502"/>
    </row>
    <row r="116" spans="2:22" x14ac:dyDescent="0.2">
      <c r="D116" s="566"/>
      <c r="F116" s="524"/>
      <c r="G116" s="524"/>
      <c r="H116" s="524"/>
      <c r="L116" s="502"/>
      <c r="M116" s="502"/>
      <c r="N116" s="502"/>
    </row>
    <row r="117" spans="2:22" x14ac:dyDescent="0.2">
      <c r="D117" s="566"/>
      <c r="F117" s="524"/>
      <c r="G117" s="524"/>
      <c r="H117" s="524"/>
      <c r="L117" s="502"/>
      <c r="M117" s="502"/>
      <c r="N117" s="502"/>
      <c r="O117" s="465">
        <v>0</v>
      </c>
    </row>
    <row r="118" spans="2:22" x14ac:dyDescent="0.2">
      <c r="F118" s="524"/>
      <c r="G118" s="524"/>
      <c r="H118" s="524"/>
      <c r="L118" s="502"/>
      <c r="M118" s="502"/>
      <c r="N118" s="502"/>
    </row>
    <row r="119" spans="2:22" x14ac:dyDescent="0.2">
      <c r="F119" s="524"/>
      <c r="G119" s="524"/>
      <c r="H119" s="524"/>
      <c r="L119" s="499"/>
      <c r="M119" s="502"/>
      <c r="N119" s="502"/>
    </row>
    <row r="120" spans="2:22" x14ac:dyDescent="0.2">
      <c r="F120" s="524"/>
      <c r="G120" s="524"/>
      <c r="H120" s="524"/>
      <c r="L120" s="502"/>
      <c r="M120" s="502"/>
      <c r="N120" s="502"/>
    </row>
    <row r="121" spans="2:22" x14ac:dyDescent="0.2">
      <c r="H121" s="532"/>
      <c r="L121" s="502"/>
      <c r="M121" s="502"/>
      <c r="N121" s="502"/>
    </row>
    <row r="122" spans="2:22" x14ac:dyDescent="0.2">
      <c r="H122" s="532"/>
      <c r="I122" s="533"/>
      <c r="J122" s="532"/>
      <c r="K122" s="499"/>
      <c r="L122" s="502"/>
      <c r="M122" s="502"/>
      <c r="N122" s="502"/>
    </row>
    <row r="123" spans="2:22" x14ac:dyDescent="0.2">
      <c r="H123" s="534"/>
      <c r="I123" s="533"/>
      <c r="J123" s="534"/>
      <c r="K123" s="499"/>
      <c r="L123" s="499"/>
      <c r="M123" s="502"/>
      <c r="N123" s="502"/>
    </row>
    <row r="124" spans="2:22" x14ac:dyDescent="0.2">
      <c r="H124" s="477"/>
      <c r="I124" s="484"/>
      <c r="J124" s="477"/>
      <c r="K124" s="477"/>
      <c r="L124" s="502"/>
      <c r="M124" s="502"/>
      <c r="N124" s="61"/>
      <c r="O124" s="65"/>
      <c r="V124" s="65"/>
    </row>
    <row r="125" spans="2:22" x14ac:dyDescent="0.2">
      <c r="B125" s="452"/>
      <c r="C125" s="65"/>
      <c r="D125" s="65"/>
      <c r="E125" s="477"/>
      <c r="F125" s="65"/>
      <c r="G125" s="477"/>
      <c r="H125" s="477"/>
      <c r="I125" s="65"/>
      <c r="J125" s="477"/>
      <c r="K125" s="502"/>
      <c r="L125" s="502"/>
      <c r="M125" s="61"/>
      <c r="N125" s="65"/>
      <c r="O125" s="502"/>
      <c r="P125" s="40"/>
      <c r="Q125" s="40"/>
      <c r="R125" s="40"/>
      <c r="S125" s="484"/>
      <c r="T125" s="65"/>
    </row>
    <row r="126" spans="2:22" x14ac:dyDescent="0.2">
      <c r="B126" s="452"/>
      <c r="C126" s="65"/>
      <c r="D126" s="65"/>
      <c r="E126" s="65"/>
      <c r="F126" s="65"/>
      <c r="G126" s="65"/>
      <c r="H126" s="65"/>
      <c r="I126" s="65"/>
      <c r="J126" s="65"/>
      <c r="K126" s="65"/>
      <c r="L126" s="526"/>
      <c r="M126" s="65"/>
      <c r="O126" s="499"/>
      <c r="P126" s="33"/>
      <c r="Q126" s="33"/>
      <c r="R126" s="33"/>
      <c r="S126" s="527"/>
      <c r="T126" s="65"/>
    </row>
  </sheetData>
  <phoneticPr fontId="8" type="noConversion"/>
  <pageMargins left="0.75" right="0.75" top="1" bottom="1" header="0.5" footer="0.5"/>
  <pageSetup orientation="portrait" horizontalDpi="200" verticalDpi="2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9">
    <tabColor rgb="FFFFCC99"/>
  </sheetPr>
  <dimension ref="A1:O55"/>
  <sheetViews>
    <sheetView workbookViewId="0">
      <selection activeCell="I33" sqref="I33"/>
    </sheetView>
  </sheetViews>
  <sheetFormatPr defaultColWidth="9" defaultRowHeight="12.75" customHeight="1" x14ac:dyDescent="0.2"/>
  <cols>
    <col min="1" max="1" width="2.875" style="217" customWidth="1"/>
    <col min="2" max="2" width="31.5" style="217" bestFit="1" customWidth="1"/>
    <col min="3" max="3" width="13.75" style="217" customWidth="1"/>
    <col min="4" max="5" width="9.125" style="217" customWidth="1"/>
    <col min="6" max="7" width="9.125" style="217" bestFit="1" customWidth="1"/>
    <col min="8" max="8" width="14.625" style="217" bestFit="1" customWidth="1"/>
    <col min="9" max="9" width="24.375" style="217" bestFit="1" customWidth="1"/>
    <col min="10" max="10" width="12.375" style="217" customWidth="1"/>
    <col min="11" max="11" width="11.375" style="217" customWidth="1"/>
    <col min="12" max="16384" width="9" style="217"/>
  </cols>
  <sheetData>
    <row r="1" spans="1:15" ht="15" customHeight="1" x14ac:dyDescent="0.2">
      <c r="A1" s="579"/>
      <c r="B1" s="580"/>
      <c r="C1" s="580"/>
      <c r="D1" s="26" t="s">
        <v>336</v>
      </c>
      <c r="E1" s="26" t="s">
        <v>69</v>
      </c>
      <c r="F1" s="26" t="s">
        <v>21</v>
      </c>
      <c r="G1" s="26" t="s">
        <v>21</v>
      </c>
      <c r="H1" s="580"/>
      <c r="I1" s="216"/>
      <c r="N1" s="216"/>
      <c r="O1" s="216"/>
    </row>
    <row r="2" spans="1:15" ht="15" customHeight="1" thickBot="1" x14ac:dyDescent="0.3">
      <c r="A2" s="581"/>
      <c r="B2" s="17"/>
      <c r="C2" s="216"/>
      <c r="D2" s="20" t="s">
        <v>22</v>
      </c>
      <c r="E2" s="20" t="s">
        <v>22</v>
      </c>
      <c r="F2" s="20" t="s">
        <v>23</v>
      </c>
      <c r="G2" s="20" t="s">
        <v>24</v>
      </c>
      <c r="H2" s="216"/>
      <c r="N2" s="216"/>
      <c r="O2" s="216"/>
    </row>
    <row r="3" spans="1:15" ht="15" customHeight="1" x14ac:dyDescent="0.2">
      <c r="A3" s="12"/>
      <c r="B3" s="582" t="s">
        <v>153</v>
      </c>
      <c r="C3" s="583" t="s">
        <v>94</v>
      </c>
      <c r="D3" s="584">
        <f ca="1">'ED - ES'!B52</f>
        <v>1260</v>
      </c>
      <c r="E3" s="585">
        <f ca="1">'Material Flows'!F29</f>
        <v>1260</v>
      </c>
      <c r="F3" s="586">
        <f ca="1">'Material Flows'!J29</f>
        <v>1142.9999999999995</v>
      </c>
      <c r="G3" s="587">
        <f ca="1">'Material Flows'!N29</f>
        <v>1105.56</v>
      </c>
      <c r="H3" s="216"/>
      <c r="I3" s="820" t="s">
        <v>363</v>
      </c>
      <c r="J3" s="580"/>
      <c r="K3" s="580"/>
      <c r="L3" s="782"/>
      <c r="N3" s="216"/>
      <c r="O3" s="216"/>
    </row>
    <row r="4" spans="1:15" ht="15" customHeight="1" x14ac:dyDescent="0.2">
      <c r="A4" s="581"/>
      <c r="B4" s="216" t="s">
        <v>154</v>
      </c>
      <c r="C4" s="588" t="s">
        <v>1</v>
      </c>
      <c r="D4" s="589">
        <f>'Data Input'!H11</f>
        <v>200000</v>
      </c>
      <c r="E4" s="589">
        <f>'Data Input'!H11</f>
        <v>200000</v>
      </c>
      <c r="F4" s="589">
        <f>'Data Input'!H11</f>
        <v>200000</v>
      </c>
      <c r="G4" s="590">
        <f>'Data Input'!H11</f>
        <v>200000</v>
      </c>
      <c r="H4" s="216"/>
      <c r="I4" s="829" t="s">
        <v>12</v>
      </c>
      <c r="J4" s="835">
        <f>'Expert Data Input'!B39</f>
        <v>31.875</v>
      </c>
      <c r="K4" s="216" t="s">
        <v>152</v>
      </c>
      <c r="L4" s="613"/>
      <c r="N4" s="216"/>
      <c r="O4" s="216"/>
    </row>
    <row r="5" spans="1:15" ht="15" customHeight="1" x14ac:dyDescent="0.2">
      <c r="A5" s="581"/>
      <c r="B5" s="216" t="s">
        <v>201</v>
      </c>
      <c r="C5" s="588" t="s">
        <v>111</v>
      </c>
      <c r="D5" s="591">
        <f>'Expert Data Input'!$B$29</f>
        <v>0.9</v>
      </c>
      <c r="E5" s="591">
        <f>'Expert Data Input'!$B$29</f>
        <v>0.9</v>
      </c>
      <c r="F5" s="591">
        <f>'Expert Data Input'!$B$29</f>
        <v>0.9</v>
      </c>
      <c r="G5" s="739">
        <f>'Expert Data Input'!$B$29</f>
        <v>0.9</v>
      </c>
      <c r="H5" s="216"/>
      <c r="I5" s="829" t="s">
        <v>365</v>
      </c>
      <c r="J5" s="835">
        <f>'Expert Data Input'!B40</f>
        <v>21.1</v>
      </c>
      <c r="K5" s="216" t="s">
        <v>152</v>
      </c>
      <c r="L5" s="613"/>
      <c r="N5" s="216"/>
      <c r="O5" s="216"/>
    </row>
    <row r="6" spans="1:15" ht="15" customHeight="1" x14ac:dyDescent="0.3">
      <c r="A6" s="581"/>
      <c r="B6" s="216" t="s">
        <v>156</v>
      </c>
      <c r="C6" s="588" t="s">
        <v>34</v>
      </c>
      <c r="D6" s="592"/>
      <c r="E6" s="593">
        <f ca="1">'ED - ES'!B22</f>
        <v>7.7683498644051676</v>
      </c>
      <c r="F6" s="593">
        <f ca="1">'ED - ES'!B22</f>
        <v>7.7683498644051676</v>
      </c>
      <c r="G6" s="594">
        <f ca="1">'ED - ES'!B22</f>
        <v>7.7683498644051676</v>
      </c>
      <c r="H6" s="216"/>
      <c r="I6" s="829" t="s">
        <v>104</v>
      </c>
      <c r="J6" s="835">
        <f>'Expert Data Input'!B41</f>
        <v>35.951999999999998</v>
      </c>
      <c r="K6" s="216" t="s">
        <v>152</v>
      </c>
      <c r="L6" s="613"/>
      <c r="N6" s="216"/>
      <c r="O6" s="216"/>
    </row>
    <row r="7" spans="1:15" ht="15" customHeight="1" x14ac:dyDescent="0.3">
      <c r="A7" s="581"/>
      <c r="B7" s="216" t="s">
        <v>157</v>
      </c>
      <c r="C7" s="588" t="s">
        <v>34</v>
      </c>
      <c r="D7" s="592"/>
      <c r="E7" s="595" t="str">
        <f ca="1">'ED - ES'!B23</f>
        <v>0</v>
      </c>
      <c r="F7" s="595" t="str">
        <f ca="1">'ED - ES'!B23</f>
        <v>0</v>
      </c>
      <c r="G7" s="594" t="str">
        <f ca="1">'ED - ES'!B23</f>
        <v>0</v>
      </c>
      <c r="H7" s="216"/>
      <c r="I7" s="829" t="s">
        <v>66</v>
      </c>
      <c r="J7" s="835">
        <f>'Expert Data Input'!B42</f>
        <v>32.64</v>
      </c>
      <c r="K7" s="216" t="s">
        <v>152</v>
      </c>
      <c r="L7" s="613"/>
      <c r="N7" s="216"/>
      <c r="O7" s="216"/>
    </row>
    <row r="8" spans="1:15" ht="15" customHeight="1" x14ac:dyDescent="0.3">
      <c r="A8" s="12"/>
      <c r="B8" s="18" t="s">
        <v>158</v>
      </c>
      <c r="C8" s="70" t="s">
        <v>52</v>
      </c>
      <c r="D8" s="443"/>
      <c r="E8" s="596">
        <f ca="1">E6*($D$3-E3)/100</f>
        <v>0</v>
      </c>
      <c r="F8" s="596">
        <f ca="1">F6*($D$3-F3)/100</f>
        <v>9.0889693413540815</v>
      </c>
      <c r="G8" s="598">
        <f ca="1">G6*($D$3-G3)/100</f>
        <v>11.997439530587345</v>
      </c>
      <c r="H8" s="216"/>
      <c r="I8" s="581" t="s">
        <v>367</v>
      </c>
      <c r="J8" s="835">
        <f>'Data Input'!P6</f>
        <v>0</v>
      </c>
      <c r="K8" s="216" t="s">
        <v>370</v>
      </c>
      <c r="L8" s="613"/>
      <c r="N8" s="216"/>
      <c r="O8" s="216"/>
    </row>
    <row r="9" spans="1:15" ht="15" customHeight="1" x14ac:dyDescent="0.3">
      <c r="A9" s="12"/>
      <c r="B9" s="18" t="s">
        <v>159</v>
      </c>
      <c r="C9" s="70" t="s">
        <v>52</v>
      </c>
      <c r="D9" s="443"/>
      <c r="E9" s="596">
        <f ca="1">E7*($D$3-E3)/100</f>
        <v>0</v>
      </c>
      <c r="F9" s="596">
        <f ca="1">F7*($E$3-F3)/100</f>
        <v>0</v>
      </c>
      <c r="G9" s="598">
        <f ca="1">G7*($E$3-G3)/100</f>
        <v>0</v>
      </c>
      <c r="H9" s="216"/>
      <c r="I9" s="581" t="s">
        <v>368</v>
      </c>
      <c r="J9" s="835">
        <f>'Data Input'!P9</f>
        <v>0</v>
      </c>
      <c r="K9" s="216" t="s">
        <v>370</v>
      </c>
      <c r="L9" s="613"/>
      <c r="N9" s="216"/>
      <c r="O9" s="216"/>
    </row>
    <row r="10" spans="1:15" ht="15" customHeight="1" x14ac:dyDescent="0.3">
      <c r="A10" s="12"/>
      <c r="B10" s="18" t="s">
        <v>160</v>
      </c>
      <c r="C10" s="70" t="s">
        <v>71</v>
      </c>
      <c r="D10" s="599">
        <f ca="1">'ED - ES'!B7</f>
        <v>167.5986801418841</v>
      </c>
      <c r="E10" s="599">
        <f ca="1">D10-E8</f>
        <v>167.5986801418841</v>
      </c>
      <c r="F10" s="599">
        <f ca="1">D10-F8</f>
        <v>158.50971080053003</v>
      </c>
      <c r="G10" s="600">
        <f ca="1">D10-G8</f>
        <v>155.60124061129676</v>
      </c>
      <c r="H10" s="216"/>
      <c r="I10" s="829" t="s">
        <v>12</v>
      </c>
      <c r="J10" s="836">
        <f>(1-J8)*J4/((1-J8)*J4+J8*J5)</f>
        <v>1</v>
      </c>
      <c r="K10" s="216" t="s">
        <v>371</v>
      </c>
      <c r="L10" s="613"/>
      <c r="N10" s="216"/>
      <c r="O10" s="216"/>
    </row>
    <row r="11" spans="1:15" ht="15" customHeight="1" x14ac:dyDescent="0.3">
      <c r="A11" s="12"/>
      <c r="B11" s="18" t="s">
        <v>161</v>
      </c>
      <c r="C11" s="70" t="s">
        <v>71</v>
      </c>
      <c r="D11" s="599" t="str">
        <f ca="1">'ED - ES'!B8</f>
        <v>0</v>
      </c>
      <c r="E11" s="599">
        <f ca="1">D11-E9</f>
        <v>0</v>
      </c>
      <c r="F11" s="599">
        <f ca="1">E11-F9</f>
        <v>0</v>
      </c>
      <c r="G11" s="600">
        <f ca="1">E11-G9</f>
        <v>0</v>
      </c>
      <c r="H11" s="216"/>
      <c r="I11" s="829" t="s">
        <v>365</v>
      </c>
      <c r="J11" s="836">
        <f>J8*J5/((1-J8)*J4+J8*J5)</f>
        <v>0</v>
      </c>
      <c r="K11" s="216" t="s">
        <v>371</v>
      </c>
      <c r="L11" s="613"/>
      <c r="N11" s="216"/>
      <c r="O11" s="216"/>
    </row>
    <row r="12" spans="1:15" ht="15" customHeight="1" x14ac:dyDescent="0.2">
      <c r="A12" s="216"/>
      <c r="B12" s="11" t="s">
        <v>372</v>
      </c>
      <c r="C12" s="93"/>
      <c r="D12" s="216"/>
      <c r="E12" s="216"/>
      <c r="F12" s="216"/>
      <c r="G12" s="613"/>
      <c r="H12" s="216"/>
      <c r="I12" s="829" t="s">
        <v>104</v>
      </c>
      <c r="J12" s="836">
        <f>(1-J9)*J6/((1-J9)*J6+J9*J7)</f>
        <v>1</v>
      </c>
      <c r="K12" s="216" t="s">
        <v>371</v>
      </c>
      <c r="L12" s="613"/>
      <c r="N12" s="216"/>
      <c r="O12" s="216"/>
    </row>
    <row r="13" spans="1:15" ht="15" customHeight="1" x14ac:dyDescent="0.2">
      <c r="A13" s="11"/>
      <c r="B13" s="18" t="s">
        <v>12</v>
      </c>
      <c r="C13" s="70" t="s">
        <v>31</v>
      </c>
      <c r="D13" s="705">
        <f ca="1">(1-$J$24)*$J$18*D10*D4/100</f>
        <v>335197.36028376821</v>
      </c>
      <c r="E13" s="705">
        <f ca="1">(1-$J$24)*$J$18*E10*E4/100</f>
        <v>335197.36028376821</v>
      </c>
      <c r="F13" s="705">
        <f ca="1">(1-$J$24)*$J$18*F10*F4/100</f>
        <v>317019.42160106008</v>
      </c>
      <c r="G13" s="706">
        <f ca="1">(1-$J$24)*$J$18*G10*G4/100</f>
        <v>311202.48122259352</v>
      </c>
      <c r="H13" s="216"/>
      <c r="I13" s="829" t="s">
        <v>66</v>
      </c>
      <c r="J13" s="836">
        <f>J9*J7/((1-J9)*J6+J9*J7)</f>
        <v>0</v>
      </c>
      <c r="K13" s="216" t="s">
        <v>371</v>
      </c>
      <c r="L13" s="613"/>
      <c r="N13" s="216"/>
      <c r="O13" s="216"/>
    </row>
    <row r="14" spans="1:15" ht="15" customHeight="1" x14ac:dyDescent="0.2">
      <c r="B14" s="18" t="s">
        <v>104</v>
      </c>
      <c r="C14" s="70" t="s">
        <v>31</v>
      </c>
      <c r="D14" s="705">
        <f ca="1">(1-$J$24)*$J$20*D10*D4/100</f>
        <v>0</v>
      </c>
      <c r="E14" s="705">
        <f ca="1">(1-$J$24)*$J$20*E10*E4/100</f>
        <v>0</v>
      </c>
      <c r="F14" s="705">
        <f ca="1">(1-$J$24)*$J$20*F10*F4/100</f>
        <v>0</v>
      </c>
      <c r="G14" s="706">
        <f ca="1">(1-$J$24)*$J$20*G10*G4/100</f>
        <v>0</v>
      </c>
      <c r="H14" s="216"/>
      <c r="I14" s="581" t="s">
        <v>377</v>
      </c>
      <c r="J14" s="836">
        <f>IF(J15=1,J6*(1-J9)+J7*J9,J4*(1-J8)+J5*J8)</f>
        <v>31.875</v>
      </c>
      <c r="K14" s="216" t="s">
        <v>152</v>
      </c>
      <c r="L14" s="613"/>
      <c r="N14" s="216"/>
      <c r="O14" s="216"/>
    </row>
    <row r="15" spans="1:15" ht="15" customHeight="1" x14ac:dyDescent="0.2">
      <c r="B15" s="18" t="s">
        <v>373</v>
      </c>
      <c r="C15" s="70" t="s">
        <v>31</v>
      </c>
      <c r="D15" s="705">
        <f>IF('Data Input'!$P$7="Corn (US)",(1-$J$24)*$J$19*D10*D4/100,0)</f>
        <v>0</v>
      </c>
      <c r="E15" s="705">
        <f>IF('Data Input'!$P$7="Corn (US)",(1-$J$24)*$J$19*E10*E4/100,0)</f>
        <v>0</v>
      </c>
      <c r="F15" s="705">
        <f>IF('Data Input'!$P$7="Corn (US)",(1-$J$24)*$J$19*F10*F4/100,0)</f>
        <v>0</v>
      </c>
      <c r="G15" s="706">
        <f>IF('Data Input'!$P$7="Corn (US)",(1-$J$24)*$J$19*G10*G4/100,0)</f>
        <v>0</v>
      </c>
      <c r="I15" s="831" t="s">
        <v>369</v>
      </c>
      <c r="J15" s="832">
        <f>'ED - ES'!A3</f>
        <v>0</v>
      </c>
      <c r="K15" s="216"/>
      <c r="L15" s="613"/>
    </row>
    <row r="16" spans="1:15" ht="15" customHeight="1" x14ac:dyDescent="0.2">
      <c r="B16" s="217" t="s">
        <v>375</v>
      </c>
      <c r="C16" s="70" t="s">
        <v>31</v>
      </c>
      <c r="D16" s="705">
        <f ca="1">IF('Data Input'!$P$7="Cellulose (US)",(1-$J$24)*$J$19*D10*D4/100,0)</f>
        <v>0</v>
      </c>
      <c r="E16" s="705">
        <f ca="1">IF('Data Input'!$P$7="Cellulose (US)",(1-$J$24)*$J$19*E10*E4/100,0)</f>
        <v>0</v>
      </c>
      <c r="F16" s="705">
        <f ca="1">IF('Data Input'!$P$7="Cellulose (US)",(1-$J$24)*$J$19*F10*F4/100,0)</f>
        <v>0</v>
      </c>
      <c r="G16" s="706">
        <f ca="1">IF('Data Input'!$P$7="Cellulose (US)",(1-$J$24)*$J$19*G10*G4/100,0)</f>
        <v>0</v>
      </c>
      <c r="H16" s="216"/>
      <c r="I16" s="93" t="s">
        <v>113</v>
      </c>
      <c r="J16" s="216"/>
      <c r="K16" s="216"/>
      <c r="L16" s="613"/>
    </row>
    <row r="17" spans="1:15" ht="15" customHeight="1" x14ac:dyDescent="0.2">
      <c r="B17" s="217" t="s">
        <v>374</v>
      </c>
      <c r="C17" s="70" t="s">
        <v>31</v>
      </c>
      <c r="D17" s="705">
        <f>IF('Data Input'!$P$7="Sugar (Brazil)",(1-$J$24)*$J$19*D10*D4/100,0)</f>
        <v>0</v>
      </c>
      <c r="E17" s="705">
        <f>IF('Data Input'!$P$7="Sugar (Brazil)",(1-$J$24)*$J$19*E10*E4/100,0)</f>
        <v>0</v>
      </c>
      <c r="F17" s="705">
        <f>IF('Data Input'!$P$7="Sugar (Brazil)",(1-$J$24)*$J$19*F10*F4/100,0)</f>
        <v>0</v>
      </c>
      <c r="G17" s="706">
        <f>IF('Data Input'!$P$7="Sugar (Brazil)",(1-$J$24)*$J$19*G10*G4/100,0)</f>
        <v>0</v>
      </c>
      <c r="H17" s="216"/>
      <c r="I17" s="27" t="s">
        <v>366</v>
      </c>
      <c r="J17" s="216"/>
      <c r="K17" s="830"/>
      <c r="L17" s="613"/>
      <c r="N17" s="216"/>
      <c r="O17" s="216"/>
    </row>
    <row r="18" spans="1:15" ht="15" customHeight="1" x14ac:dyDescent="0.2">
      <c r="B18" s="217" t="s">
        <v>376</v>
      </c>
      <c r="C18" s="70" t="s">
        <v>31</v>
      </c>
      <c r="D18" s="705">
        <f ca="1">IF('Data Input'!$P$10="Soybeans (US)",(1-$J$24)*$J$21*D10*D4/100,0)</f>
        <v>0</v>
      </c>
      <c r="E18" s="705">
        <f ca="1">IF('Data Input'!$P$10="Soybeans (US)",(1-$J$24)*$J$21*E10*E4/100,0)</f>
        <v>0</v>
      </c>
      <c r="F18" s="705">
        <f ca="1">IF('Data Input'!$P$10="Soybeans (US)",(1-$J$24)*$J$21*F10*F4/100,0)</f>
        <v>0</v>
      </c>
      <c r="G18" s="706">
        <f ca="1">IF('Data Input'!$P$10="Soybeans (US)",(1-$J$24)*$J$21*G10*G4/100,0)</f>
        <v>0</v>
      </c>
      <c r="H18" s="216"/>
      <c r="I18" s="690" t="s">
        <v>12</v>
      </c>
      <c r="J18" s="836">
        <f>IF(OR(J15=1,J15=3),0,J10)</f>
        <v>1</v>
      </c>
      <c r="K18" s="216" t="s">
        <v>477</v>
      </c>
      <c r="L18" s="613"/>
      <c r="N18" s="216"/>
      <c r="O18" s="216"/>
    </row>
    <row r="19" spans="1:15" ht="15" customHeight="1" x14ac:dyDescent="0.2">
      <c r="A19" s="12"/>
      <c r="B19" s="217" t="s">
        <v>560</v>
      </c>
      <c r="C19" s="70" t="s">
        <v>31</v>
      </c>
      <c r="D19" s="705">
        <f>IF('Data Input'!$P$10="Rapeseed (EU)",(1-$J$24)*$J$21*D10*D4/100,0)</f>
        <v>0</v>
      </c>
      <c r="E19" s="705">
        <f>IF('Data Input'!$P$10="Rapeseed (EU)",(1-$J$24)*$J$21*E10*E4/100,0)</f>
        <v>0</v>
      </c>
      <c r="F19" s="705">
        <f>IF('Data Input'!$P$10="Rapeseed (EU)",(1-$J$24)*$J$21*F10*F4/100,0)</f>
        <v>0</v>
      </c>
      <c r="G19" s="706">
        <f>IF('Data Input'!$P$10="Rapeseed (EU)",(1-$J$24)*$J$21*G10*G4/100,0)</f>
        <v>0</v>
      </c>
      <c r="H19" s="216"/>
      <c r="I19" s="690" t="s">
        <v>365</v>
      </c>
      <c r="J19" s="836">
        <f>IF(OR(J15=1,J15=3),0,J11)</f>
        <v>0</v>
      </c>
      <c r="K19" s="216" t="s">
        <v>477</v>
      </c>
      <c r="L19" s="613"/>
      <c r="N19" s="216"/>
      <c r="O19" s="216"/>
    </row>
    <row r="20" spans="1:15" ht="15" customHeight="1" x14ac:dyDescent="0.2">
      <c r="A20" s="581"/>
      <c r="B20" s="18" t="s">
        <v>13</v>
      </c>
      <c r="C20" s="70" t="s">
        <v>31</v>
      </c>
      <c r="D20" s="705">
        <f ca="1">$J$22*D10*D4/100</f>
        <v>0</v>
      </c>
      <c r="E20" s="705">
        <f ca="1">$J$22*E10*E4/100</f>
        <v>0</v>
      </c>
      <c r="F20" s="705">
        <f ca="1">$J$22*F10*F4/100</f>
        <v>0</v>
      </c>
      <c r="G20" s="706">
        <f ca="1">$J$22*G10*G4/100</f>
        <v>0</v>
      </c>
      <c r="H20" s="216"/>
      <c r="I20" s="690" t="s">
        <v>104</v>
      </c>
      <c r="J20" s="836">
        <f>IF(J15=1,J12,0)</f>
        <v>0</v>
      </c>
      <c r="K20" s="216" t="s">
        <v>477</v>
      </c>
      <c r="L20" s="613"/>
      <c r="N20" s="216"/>
      <c r="O20" s="216"/>
    </row>
    <row r="21" spans="1:15" ht="15" customHeight="1" thickBot="1" x14ac:dyDescent="0.25">
      <c r="A21" s="581"/>
      <c r="B21" s="18" t="s">
        <v>47</v>
      </c>
      <c r="C21" s="71" t="s">
        <v>35</v>
      </c>
      <c r="D21" s="707">
        <f ca="1">$J$24*(D4/100)*D11/D5</f>
        <v>0</v>
      </c>
      <c r="E21" s="707">
        <f ca="1">$J$24*(E4/100)*E11/E5</f>
        <v>0</v>
      </c>
      <c r="F21" s="707">
        <f ca="1">$J$24*(F4/100)*F11/F5</f>
        <v>0</v>
      </c>
      <c r="G21" s="731">
        <f ca="1">$J$24*(G4/100)*G11/G5</f>
        <v>0</v>
      </c>
      <c r="H21" s="216"/>
      <c r="I21" s="690" t="s">
        <v>66</v>
      </c>
      <c r="J21" s="836">
        <f>IF(J15=1,J13,0)</f>
        <v>0</v>
      </c>
      <c r="K21" s="216" t="s">
        <v>477</v>
      </c>
      <c r="L21" s="613"/>
    </row>
    <row r="22" spans="1:15" ht="15" customHeight="1" thickBot="1" x14ac:dyDescent="0.25">
      <c r="A22" s="581"/>
      <c r="H22" s="216"/>
      <c r="I22" s="93" t="s">
        <v>13</v>
      </c>
      <c r="J22" s="836">
        <f>IF(J15=3,1,0)</f>
        <v>0</v>
      </c>
      <c r="K22" s="216" t="s">
        <v>477</v>
      </c>
      <c r="L22" s="613"/>
    </row>
    <row r="23" spans="1:15" ht="15" customHeight="1" x14ac:dyDescent="0.3">
      <c r="A23" s="581"/>
      <c r="B23" s="18" t="s">
        <v>203</v>
      </c>
      <c r="C23" s="72" t="s">
        <v>39</v>
      </c>
      <c r="D23" s="601"/>
      <c r="E23" s="601">
        <f ca="1">((SUM('LCA Calculations'!I90:I104))/E4)*1000</f>
        <v>26.312992782275799</v>
      </c>
      <c r="F23" s="601">
        <f ca="1">((SUM('LCA Calculations'!J90:J104))/F4)*1000</f>
        <v>24.886024595683214</v>
      </c>
      <c r="G23" s="602">
        <f ca="1">((SUM('LCA Calculations'!K90:K104))/G4)*1000</f>
        <v>24.429394775973591</v>
      </c>
      <c r="H23" s="216"/>
      <c r="I23" s="93"/>
      <c r="J23" s="216"/>
      <c r="K23" s="216"/>
      <c r="L23" s="613"/>
    </row>
    <row r="24" spans="1:15" ht="15" customHeight="1" thickBot="1" x14ac:dyDescent="0.35">
      <c r="A24" s="581"/>
      <c r="B24" s="18" t="s">
        <v>202</v>
      </c>
      <c r="C24" s="70" t="s">
        <v>39</v>
      </c>
      <c r="D24" s="84"/>
      <c r="E24" s="84">
        <f ca="1">(SUM('LCA Calculations'!I105:I109)*1000)/E4</f>
        <v>120.67104970215655</v>
      </c>
      <c r="F24" s="84">
        <f ca="1">(SUM('LCA Calculations'!J105:J109)*1000)/F4</f>
        <v>114.12699177638162</v>
      </c>
      <c r="G24" s="85">
        <f ca="1">(SUM('LCA Calculations'!K105:K109)*1000)/G4</f>
        <v>112.03289324013367</v>
      </c>
      <c r="H24" s="216"/>
      <c r="I24" s="833" t="s">
        <v>455</v>
      </c>
      <c r="J24" s="834" t="str">
        <f>IF(OR(J15=4,J15=5),'Expert Data Input'!B35,IF(J15=6,"100%","0%"))</f>
        <v>0%</v>
      </c>
      <c r="K24" s="686" t="s">
        <v>457</v>
      </c>
      <c r="L24" s="791"/>
    </row>
    <row r="25" spans="1:15" ht="15" customHeight="1" thickBot="1" x14ac:dyDescent="0.35">
      <c r="A25" s="581"/>
      <c r="B25" s="18" t="s">
        <v>204</v>
      </c>
      <c r="C25" s="71" t="s">
        <v>39</v>
      </c>
      <c r="D25" s="614"/>
      <c r="E25" s="614">
        <f ca="1">SUM(E23:E24)</f>
        <v>146.98404248443234</v>
      </c>
      <c r="F25" s="614">
        <f ca="1">SUM(F23:F24)</f>
        <v>139.01301637206484</v>
      </c>
      <c r="G25" s="615">
        <f ca="1">SUM(G23:G24)</f>
        <v>136.46228801610727</v>
      </c>
      <c r="H25" s="216"/>
      <c r="I25" s="216"/>
    </row>
    <row r="26" spans="1:15" ht="15" customHeight="1" x14ac:dyDescent="0.2">
      <c r="A26" s="581"/>
      <c r="B26" s="18" t="s">
        <v>162</v>
      </c>
      <c r="C26" s="72" t="s">
        <v>56</v>
      </c>
      <c r="D26" s="621"/>
      <c r="E26" s="622">
        <f ca="1">IF(OR('Data Input'!H4="FCV",'Data Input'!H4="BEV"),"-----n/a-----",(E6/J14))</f>
        <v>0.24371293692251506</v>
      </c>
      <c r="F26" s="622">
        <f ca="1">IF(OR('Data Input'!H4="FCV",'Data Input'!H4="BEV"),"-----n/a-----",(F6/J14))</f>
        <v>0.24371293692251506</v>
      </c>
      <c r="G26" s="623">
        <f ca="1">IF(OR('Data Input'!H4="FCV",'Data Input'!H4="BEV"),"-----n/a-----",(G6/J14))</f>
        <v>0.24371293692251506</v>
      </c>
      <c r="H26" s="216"/>
      <c r="I26" s="216"/>
      <c r="J26" s="10"/>
    </row>
    <row r="27" spans="1:15" ht="15" customHeight="1" x14ac:dyDescent="0.2">
      <c r="A27" s="581"/>
      <c r="B27" s="18" t="s">
        <v>364</v>
      </c>
      <c r="C27" s="70" t="s">
        <v>54</v>
      </c>
      <c r="D27" s="443"/>
      <c r="E27" s="597">
        <f ca="1">IF(OR('Data Input'!H4="FCV",'Data Input'!H4="BEV"),"-----n/a-----",(E26*(($D$3-E3)/100)))</f>
        <v>0</v>
      </c>
      <c r="F27" s="597">
        <f ca="1">IF(OR('Data Input'!H4="FCV",'Data Input'!H4="BEV"),"-----n/a-----",(F26*(($E$3-F3)/100)))</f>
        <v>0.28514413619934376</v>
      </c>
      <c r="G27" s="603">
        <f ca="1">IF(OR('Data Input'!H4="FCV",'Data Input'!H4="BEV"),"-----n/a-----",(G26*(($E$3-G3)/100)))</f>
        <v>0.37639025978313234</v>
      </c>
      <c r="H27" s="216"/>
      <c r="I27" s="216"/>
      <c r="J27" s="10"/>
    </row>
    <row r="28" spans="1:15" ht="15" customHeight="1" x14ac:dyDescent="0.2">
      <c r="A28" s="581"/>
      <c r="B28" s="99" t="s">
        <v>167</v>
      </c>
      <c r="C28" s="588" t="s">
        <v>168</v>
      </c>
      <c r="D28" s="592"/>
      <c r="E28" s="604" t="e">
        <f ca="1">IF(OR('Data Input'!H4="FCV",'Data Input'!H4="BEV",J24=1),"-----n/a-----",(E27*D3)/(D29*(D3-E3)))</f>
        <v>#DIV/0!</v>
      </c>
      <c r="F28" s="604">
        <f ca="1">IF(OR('Data Input'!H4="FCV",'Data Input'!H4="BEV",J24=1),"-----n/a-----",(F27*E3)/(E29*(E3-F3)))</f>
        <v>0.58402135511235387</v>
      </c>
      <c r="G28" s="605">
        <f ca="1">IF(OR('Data Input'!H4="FCV",'Data Input'!H4="BEV",J24=1),"-----n/a-----",(G27*E3)/(E29*(E3-G3)))</f>
        <v>0.58402135511235376</v>
      </c>
      <c r="H28" s="216"/>
      <c r="I28" s="216"/>
      <c r="J28" s="10"/>
    </row>
    <row r="29" spans="1:15" ht="15" customHeight="1" x14ac:dyDescent="0.2">
      <c r="A29" s="581"/>
      <c r="B29" s="18" t="s">
        <v>165</v>
      </c>
      <c r="C29" s="70" t="s">
        <v>54</v>
      </c>
      <c r="D29" s="606">
        <f ca="1">IF(OR('Data Input'!H4="FCV",'Data Input'!H4="BEV"),"-----n/a-----",D10/J14)</f>
        <v>5.2579978083728349</v>
      </c>
      <c r="E29" s="606">
        <f ca="1">IF(OR('Data Input'!H4="FCV",'Data Input'!H4="BEV"),"-----n/a-----",E10/J14)</f>
        <v>5.2579978083728349</v>
      </c>
      <c r="F29" s="606">
        <f ca="1">IF(OR('Data Input'!H4="FCV",'Data Input'!H4="BEV"),"-----n/a-----",F10/J14)</f>
        <v>4.9728536721734908</v>
      </c>
      <c r="G29" s="609">
        <f ca="1">IF(OR('Data Input'!H4="FCV",'Data Input'!H4="BEV"),"-----n/a-----",G10/J14)</f>
        <v>4.8816075485897024</v>
      </c>
      <c r="H29" s="216"/>
      <c r="I29" s="216"/>
    </row>
    <row r="30" spans="1:15" ht="15" customHeight="1" x14ac:dyDescent="0.2">
      <c r="A30" s="581"/>
      <c r="B30" s="18" t="s">
        <v>165</v>
      </c>
      <c r="C30" s="588" t="s">
        <v>164</v>
      </c>
      <c r="D30" s="607">
        <f ca="1">IF(OR('Data Input'!H4="FCV",'Data Input'!H4="BEV",J24=1),"-----n/a-----",(3.785*100)/(D29*1.609))</f>
        <v>44.739326190041176</v>
      </c>
      <c r="E30" s="607">
        <f ca="1">IF(OR('Data Input'!H4="FCV",'Data Input'!H4="BEV",J24=1),"-----n/a-----",(3.785*100)/(E29*1.609))</f>
        <v>44.739326190041176</v>
      </c>
      <c r="F30" s="607">
        <f ca="1">IF(OR('Data Input'!H4="FCV",'Data Input'!H4="BEV",J24=1),"-----n/a-----",(3.785*100)/(F29*1.609))</f>
        <v>47.304685511186086</v>
      </c>
      <c r="G30" s="608">
        <f ca="1">IF(OR('Data Input'!H4="FCV",'Data Input'!H4="BEV",J24=1),"-----n/a-----",(3.785*100)/(G29*1.609))</f>
        <v>48.188896119532295</v>
      </c>
      <c r="H30" s="216"/>
      <c r="I30" s="216"/>
      <c r="N30" s="216"/>
      <c r="O30" s="216"/>
    </row>
    <row r="31" spans="1:15" ht="15" customHeight="1" x14ac:dyDescent="0.2">
      <c r="A31" s="581"/>
      <c r="B31" s="18" t="s">
        <v>163</v>
      </c>
      <c r="C31" s="180" t="s">
        <v>55</v>
      </c>
      <c r="D31" s="181">
        <f ca="1">IF(OR('Data Input'!H4="FCV",'Data Input'!H4="BEV"),"-----n/a-----",(D29*D4/100))</f>
        <v>10515.995616745669</v>
      </c>
      <c r="E31" s="181">
        <f ca="1">IF(OR('Data Input'!H4="FCV",'Data Input'!H4="BEV"),"-----n/a-----",(E29*E4/100))</f>
        <v>10515.995616745669</v>
      </c>
      <c r="F31" s="181">
        <f ca="1">IF(OR('Data Input'!H4="FCV",'Data Input'!H4="BEV"),"-----n/a-----",(F29*F4/100))</f>
        <v>9945.7073443469817</v>
      </c>
      <c r="G31" s="182">
        <f ca="1">IF(OR('Data Input'!H4="FCV",'Data Input'!H4="BEV"),"-----n/a-----",(G29*G4/100))</f>
        <v>9763.2150971794053</v>
      </c>
      <c r="H31" s="216"/>
      <c r="I31" s="216"/>
      <c r="J31" s="10"/>
      <c r="N31" s="216"/>
      <c r="O31" s="216"/>
    </row>
    <row r="32" spans="1:15" ht="15" customHeight="1" x14ac:dyDescent="0.2">
      <c r="A32" s="581"/>
      <c r="B32" s="99" t="s">
        <v>169</v>
      </c>
      <c r="C32" s="588" t="s">
        <v>168</v>
      </c>
      <c r="D32" s="592"/>
      <c r="E32" s="216"/>
      <c r="F32" s="604" t="str">
        <f ca="1">IF(E11=0,"-----n/a-----",(E3*F9)/(E11*(E3-F3)))</f>
        <v>-----n/a-----</v>
      </c>
      <c r="G32" s="605" t="str">
        <f ca="1">IF(E11=0,"-----n/a-----",(G9*E3)/(E11*(E3-G3)))</f>
        <v>-----n/a-----</v>
      </c>
      <c r="H32" s="216"/>
      <c r="I32" s="216"/>
      <c r="N32" s="216"/>
      <c r="O32" s="216"/>
    </row>
    <row r="33" spans="1:15" ht="15" customHeight="1" x14ac:dyDescent="0.3">
      <c r="A33" s="581"/>
      <c r="B33" s="18" t="s">
        <v>161</v>
      </c>
      <c r="C33" s="70" t="s">
        <v>105</v>
      </c>
      <c r="D33" s="606">
        <f ca="1">D11/3.6</f>
        <v>0</v>
      </c>
      <c r="E33" s="606">
        <f ca="1">E11/3.6</f>
        <v>0</v>
      </c>
      <c r="F33" s="606">
        <f ca="1">F11/3.6</f>
        <v>0</v>
      </c>
      <c r="G33" s="609">
        <f ca="1">G11/3.6</f>
        <v>0</v>
      </c>
      <c r="H33" s="216"/>
      <c r="I33" s="216"/>
      <c r="J33" s="10"/>
      <c r="N33" s="216"/>
      <c r="O33" s="216"/>
    </row>
    <row r="34" spans="1:15" ht="15" customHeight="1" thickBot="1" x14ac:dyDescent="0.35">
      <c r="A34" s="27"/>
      <c r="B34" s="18" t="s">
        <v>170</v>
      </c>
      <c r="C34" s="610" t="s">
        <v>166</v>
      </c>
      <c r="D34" s="611">
        <f ca="1">D33*D4/100</f>
        <v>0</v>
      </c>
      <c r="E34" s="611">
        <f ca="1">E33*E4/100</f>
        <v>0</v>
      </c>
      <c r="F34" s="611">
        <f ca="1">F33*F4/100</f>
        <v>0</v>
      </c>
      <c r="G34" s="612">
        <f ca="1">G33*G4/100</f>
        <v>0</v>
      </c>
      <c r="H34" s="216"/>
      <c r="I34" s="216"/>
      <c r="J34" s="10"/>
    </row>
    <row r="35" spans="1:15" ht="14.1" customHeight="1" x14ac:dyDescent="0.2">
      <c r="A35" s="581"/>
      <c r="H35" s="216"/>
      <c r="I35" s="216"/>
      <c r="J35" s="10"/>
    </row>
    <row r="36" spans="1:15" ht="12.75" customHeight="1" x14ac:dyDescent="0.2">
      <c r="E36" s="216"/>
    </row>
    <row r="37" spans="1:15" ht="12.75" customHeight="1" x14ac:dyDescent="0.2">
      <c r="E37" s="49"/>
    </row>
    <row r="38" spans="1:15" ht="12.75" customHeight="1" x14ac:dyDescent="0.2">
      <c r="E38" s="49"/>
    </row>
    <row r="39" spans="1:15" ht="12.75" customHeight="1" x14ac:dyDescent="0.2">
      <c r="E39" s="49"/>
    </row>
    <row r="40" spans="1:15" ht="12.75" customHeight="1" x14ac:dyDescent="0.2">
      <c r="E40" s="49"/>
    </row>
    <row r="41" spans="1:15" ht="12.75" customHeight="1" x14ac:dyDescent="0.2">
      <c r="E41" s="49"/>
    </row>
    <row r="42" spans="1:15" ht="12.75" customHeight="1" x14ac:dyDescent="0.2">
      <c r="E42" s="49"/>
    </row>
    <row r="43" spans="1:15" ht="12.75" customHeight="1" x14ac:dyDescent="0.2">
      <c r="E43" s="49"/>
    </row>
    <row r="44" spans="1:15" ht="12.75" customHeight="1" x14ac:dyDescent="0.2">
      <c r="E44" s="49"/>
    </row>
    <row r="45" spans="1:15" ht="12.75" customHeight="1" x14ac:dyDescent="0.2">
      <c r="E45" s="49"/>
    </row>
    <row r="46" spans="1:15" ht="12.75" customHeight="1" x14ac:dyDescent="0.2">
      <c r="E46" s="49"/>
    </row>
    <row r="47" spans="1:15" ht="12.75" customHeight="1" x14ac:dyDescent="0.2">
      <c r="E47" s="216"/>
    </row>
    <row r="48" spans="1:15" ht="12.75" customHeight="1" x14ac:dyDescent="0.2">
      <c r="E48" s="49"/>
    </row>
    <row r="49" spans="3:5" ht="12.75" customHeight="1" x14ac:dyDescent="0.2">
      <c r="E49" s="49"/>
    </row>
    <row r="55" spans="3:5" ht="12.75" customHeight="1" x14ac:dyDescent="0.2">
      <c r="C55" s="578"/>
    </row>
  </sheetData>
  <phoneticPr fontId="8" type="noConversion"/>
  <pageMargins left="0.75" right="0.75" top="1" bottom="1" header="0.5" footer="0.5"/>
  <pageSetup orientation="portrait" horizontalDpi="4294967292" verticalDpi="4294967292"/>
  <headerFooter alignWithMargins="0"/>
  <ignoredErrors>
    <ignoredError sqref="G4 D3:E3 F3 G3 G6:G7" unlockedFormula="1"/>
  </ignoredError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11">
    <tabColor rgb="FFFFCC99"/>
  </sheetPr>
  <dimension ref="A1:S132"/>
  <sheetViews>
    <sheetView workbookViewId="0">
      <selection activeCell="H38" sqref="H38"/>
    </sheetView>
  </sheetViews>
  <sheetFormatPr defaultColWidth="8.75" defaultRowHeight="12.75" x14ac:dyDescent="0.2"/>
  <cols>
    <col min="1" max="1" width="2.125" style="465" customWidth="1"/>
    <col min="2" max="2" width="17.375" style="465" customWidth="1"/>
    <col min="3" max="3" width="13.125" style="465" bestFit="1" customWidth="1"/>
    <col min="4" max="4" width="12.625" style="465" customWidth="1"/>
    <col min="5" max="5" width="10.625" style="465" customWidth="1"/>
    <col min="6" max="6" width="15.625" style="465" bestFit="1" customWidth="1"/>
    <col min="7" max="7" width="12.625" style="465" customWidth="1"/>
    <col min="8" max="8" width="10.625" style="465" customWidth="1"/>
    <col min="9" max="9" width="15.625" style="465" bestFit="1" customWidth="1"/>
    <col min="10" max="10" width="12.625" style="465" customWidth="1"/>
    <col min="11" max="11" width="10.625" style="465" customWidth="1"/>
    <col min="12" max="17" width="12.625" style="465" customWidth="1"/>
    <col min="18" max="16384" width="8.75" style="465"/>
  </cols>
  <sheetData>
    <row r="1" spans="1:18" s="556" customFormat="1" ht="13.5" thickBot="1" x14ac:dyDescent="0.25">
      <c r="A1" s="631"/>
      <c r="C1" s="575" t="s">
        <v>51</v>
      </c>
      <c r="D1" s="575"/>
      <c r="E1" s="575"/>
      <c r="F1" s="559" t="s">
        <v>95</v>
      </c>
      <c r="G1" s="540"/>
      <c r="H1" s="540"/>
      <c r="I1" s="559" t="s">
        <v>87</v>
      </c>
      <c r="L1" s="618" t="s">
        <v>381</v>
      </c>
      <c r="M1" s="462"/>
      <c r="N1" s="462"/>
      <c r="O1" s="456" t="s">
        <v>380</v>
      </c>
      <c r="P1" s="540"/>
      <c r="Q1" s="540"/>
    </row>
    <row r="2" spans="1:18" x14ac:dyDescent="0.2">
      <c r="A2" s="466"/>
      <c r="B2" s="449"/>
      <c r="C2" s="619" t="s">
        <v>106</v>
      </c>
      <c r="D2" s="620" t="s">
        <v>79</v>
      </c>
      <c r="E2" s="620" t="s">
        <v>230</v>
      </c>
      <c r="F2" s="471" t="s">
        <v>106</v>
      </c>
      <c r="G2" s="620" t="s">
        <v>79</v>
      </c>
      <c r="H2" s="620" t="s">
        <v>230</v>
      </c>
      <c r="I2" s="471" t="s">
        <v>106</v>
      </c>
      <c r="J2" s="620" t="s">
        <v>79</v>
      </c>
      <c r="K2" s="620" t="s">
        <v>230</v>
      </c>
      <c r="L2" s="619" t="s">
        <v>69</v>
      </c>
      <c r="M2" s="626" t="s">
        <v>44</v>
      </c>
      <c r="N2" s="627" t="s">
        <v>45</v>
      </c>
      <c r="O2" s="619" t="s">
        <v>69</v>
      </c>
      <c r="P2" s="626" t="s">
        <v>44</v>
      </c>
      <c r="Q2" s="627" t="s">
        <v>45</v>
      </c>
      <c r="R2" s="542"/>
    </row>
    <row r="3" spans="1:18" x14ac:dyDescent="0.2">
      <c r="A3" s="466"/>
      <c r="B3" s="65"/>
      <c r="C3" s="473" t="s">
        <v>67</v>
      </c>
      <c r="D3" s="1173" t="s">
        <v>843</v>
      </c>
      <c r="E3" s="1174"/>
      <c r="F3" s="473" t="s">
        <v>67</v>
      </c>
      <c r="G3" s="1173" t="s">
        <v>843</v>
      </c>
      <c r="H3" s="1174"/>
      <c r="I3" s="473" t="s">
        <v>67</v>
      </c>
      <c r="J3" s="1173" t="s">
        <v>843</v>
      </c>
      <c r="K3" s="1174"/>
      <c r="L3" s="472"/>
      <c r="M3" s="574"/>
      <c r="N3" s="628"/>
      <c r="O3" s="544"/>
      <c r="P3" s="574"/>
      <c r="Q3" s="628"/>
    </row>
    <row r="4" spans="1:18" x14ac:dyDescent="0.2">
      <c r="A4" s="466"/>
      <c r="B4" s="65"/>
      <c r="C4" s="543" t="s">
        <v>8</v>
      </c>
      <c r="D4" s="1175" t="s">
        <v>229</v>
      </c>
      <c r="E4" s="1176"/>
      <c r="F4" s="543" t="s">
        <v>8</v>
      </c>
      <c r="G4" s="1175" t="s">
        <v>229</v>
      </c>
      <c r="H4" s="1176"/>
      <c r="I4" s="543" t="s">
        <v>8</v>
      </c>
      <c r="J4" s="1175" t="s">
        <v>229</v>
      </c>
      <c r="K4" s="1176"/>
      <c r="L4" s="494"/>
      <c r="M4" s="574"/>
      <c r="N4" s="628"/>
      <c r="O4" s="544"/>
      <c r="P4" s="574"/>
      <c r="Q4" s="628"/>
    </row>
    <row r="5" spans="1:18" x14ac:dyDescent="0.2">
      <c r="A5" s="500"/>
      <c r="B5" s="541"/>
      <c r="C5" s="545"/>
      <c r="D5" s="617"/>
      <c r="E5" s="617"/>
      <c r="F5" s="545"/>
      <c r="G5" s="617"/>
      <c r="H5" s="617"/>
      <c r="I5" s="545"/>
      <c r="J5" s="617"/>
      <c r="K5" s="617"/>
      <c r="L5" s="546" t="s">
        <v>341</v>
      </c>
      <c r="M5" s="618" t="s">
        <v>341</v>
      </c>
      <c r="N5" s="636" t="s">
        <v>341</v>
      </c>
      <c r="O5" s="547" t="s">
        <v>341</v>
      </c>
      <c r="P5" s="618" t="s">
        <v>341</v>
      </c>
      <c r="Q5" s="636" t="s">
        <v>341</v>
      </c>
    </row>
    <row r="6" spans="1:18" x14ac:dyDescent="0.2">
      <c r="A6" s="466"/>
      <c r="B6" s="452" t="s">
        <v>70</v>
      </c>
      <c r="C6" s="548">
        <f ca="1">'Material Flows'!E5</f>
        <v>851.78181818181815</v>
      </c>
      <c r="D6" s="549">
        <f>'Material Flows'!O69</f>
        <v>0.27490380217596327</v>
      </c>
      <c r="E6" s="549">
        <f>'Material Flows'!R69</f>
        <v>0.51226739629910834</v>
      </c>
      <c r="F6" s="548">
        <f ca="1">'Material Flows'!I5</f>
        <v>247.9636363636364</v>
      </c>
      <c r="G6" s="549">
        <f>'Material Flows'!P69</f>
        <v>0.27490380217596327</v>
      </c>
      <c r="H6" s="549">
        <f>'Material Flows'!S69</f>
        <v>0.51226739629910834</v>
      </c>
      <c r="I6" s="548">
        <f ca="1">'Material Flows'!M5</f>
        <v>243.25090909090909</v>
      </c>
      <c r="J6" s="549">
        <f>'Material Flows'!Q69</f>
        <v>0.27490380217596327</v>
      </c>
      <c r="K6" s="549">
        <f>'Material Flows'!T69</f>
        <v>0.51226739629910834</v>
      </c>
      <c r="L6" s="708">
        <f t="shared" ref="L6:L29" ca="1" si="0">C6*D6</f>
        <v>234.15806044253685</v>
      </c>
      <c r="M6" s="709">
        <f t="shared" ref="M6:M29" ca="1" si="1">F6*G6</f>
        <v>68.166146437741588</v>
      </c>
      <c r="N6" s="710">
        <f t="shared" ref="N6:N29" ca="1" si="2">I6*J6</f>
        <v>66.870599791850495</v>
      </c>
      <c r="O6" s="711">
        <f t="shared" ref="O6:O29" ca="1" si="3">C6*E6</f>
        <v>436.34005421492049</v>
      </c>
      <c r="P6" s="712">
        <f t="shared" ref="P6:P29" ca="1" si="4">F6*H6</f>
        <v>127.02368637685892</v>
      </c>
      <c r="Q6" s="713">
        <f t="shared" ref="Q6:Q29" ca="1" si="5">I6*K6</f>
        <v>124.6095098473911</v>
      </c>
    </row>
    <row r="7" spans="1:18" x14ac:dyDescent="0.2">
      <c r="A7" s="466"/>
      <c r="B7" s="452" t="s">
        <v>33</v>
      </c>
      <c r="C7" s="548">
        <f ca="1">'Material Flows'!E6</f>
        <v>234.24</v>
      </c>
      <c r="D7" s="549">
        <f>'Material Flows'!O70</f>
        <v>-0.63999118957442103</v>
      </c>
      <c r="E7" s="549">
        <f>'Material Flows'!R70</f>
        <v>0.69358001083981768</v>
      </c>
      <c r="F7" s="548">
        <f ca="1">'Material Flows'!I6</f>
        <v>179.04</v>
      </c>
      <c r="G7" s="549">
        <f>'Material Flows'!P70</f>
        <v>-0.63999118957442103</v>
      </c>
      <c r="H7" s="549">
        <f>'Material Flows'!S70</f>
        <v>0.69358001083981768</v>
      </c>
      <c r="I7" s="548">
        <f ca="1">'Material Flows'!M6</f>
        <v>176.73600000000002</v>
      </c>
      <c r="J7" s="549">
        <f>'Material Flows'!Q70</f>
        <v>-0.63999118957442103</v>
      </c>
      <c r="K7" s="549">
        <f>'Material Flows'!T70</f>
        <v>0.69358001083981768</v>
      </c>
      <c r="L7" s="708">
        <f t="shared" ca="1" si="0"/>
        <v>-149.91153624591237</v>
      </c>
      <c r="M7" s="709">
        <f t="shared" ca="1" si="1"/>
        <v>-114.58402258140434</v>
      </c>
      <c r="N7" s="710">
        <f t="shared" ca="1" si="2"/>
        <v>-113.10948288062488</v>
      </c>
      <c r="O7" s="711">
        <f t="shared" ca="1" si="3"/>
        <v>162.46418173911891</v>
      </c>
      <c r="P7" s="712">
        <f t="shared" ca="1" si="4"/>
        <v>124.17856514076095</v>
      </c>
      <c r="Q7" s="713">
        <f t="shared" ca="1" si="5"/>
        <v>122.58055679578604</v>
      </c>
    </row>
    <row r="8" spans="1:18" x14ac:dyDescent="0.2">
      <c r="A8" s="466"/>
      <c r="B8" s="453" t="s">
        <v>209</v>
      </c>
      <c r="C8" s="548">
        <f ca="1">'Material Flows'!E7</f>
        <v>146.4</v>
      </c>
      <c r="D8" s="549">
        <f>'Material Flows'!O71</f>
        <v>-0.82328518567304931</v>
      </c>
      <c r="E8" s="549">
        <f>'Material Flows'!R71</f>
        <v>0.7384820506248041</v>
      </c>
      <c r="F8" s="548">
        <f ca="1">'Material Flows'!I7</f>
        <v>146.4</v>
      </c>
      <c r="G8" s="549">
        <f>'Material Flows'!P71</f>
        <v>-0.82328518567304931</v>
      </c>
      <c r="H8" s="549">
        <f>'Material Flows'!S71</f>
        <v>0.7384820506248041</v>
      </c>
      <c r="I8" s="548">
        <f ca="1">'Material Flows'!M7</f>
        <v>146.4</v>
      </c>
      <c r="J8" s="549">
        <f>'Material Flows'!Q71</f>
        <v>-0.82328518567304931</v>
      </c>
      <c r="K8" s="549">
        <f>'Material Flows'!T71</f>
        <v>0.7384820506248041</v>
      </c>
      <c r="L8" s="708">
        <f t="shared" ca="1" si="0"/>
        <v>-120.52895118253443</v>
      </c>
      <c r="M8" s="709">
        <f t="shared" ca="1" si="1"/>
        <v>-120.52895118253443</v>
      </c>
      <c r="N8" s="710">
        <f t="shared" ca="1" si="2"/>
        <v>-120.52895118253443</v>
      </c>
      <c r="O8" s="711">
        <f t="shared" ca="1" si="3"/>
        <v>108.11377221147133</v>
      </c>
      <c r="P8" s="712">
        <f t="shared" ca="1" si="4"/>
        <v>108.11377221147133</v>
      </c>
      <c r="Q8" s="713">
        <f t="shared" ca="1" si="5"/>
        <v>108.11377221147133</v>
      </c>
    </row>
    <row r="9" spans="1:18" x14ac:dyDescent="0.2">
      <c r="A9" s="466"/>
      <c r="B9" s="455" t="s">
        <v>206</v>
      </c>
      <c r="C9" s="548">
        <f ca="1">'Material Flows'!E8</f>
        <v>0</v>
      </c>
      <c r="D9" s="549">
        <f>'Material Flows'!O72</f>
        <v>0.27490380217596327</v>
      </c>
      <c r="E9" s="549">
        <f>'Material Flows'!R72</f>
        <v>0.51226739629910834</v>
      </c>
      <c r="F9" s="548">
        <f ca="1">'Material Flows'!I8</f>
        <v>441.81818181818176</v>
      </c>
      <c r="G9" s="549">
        <f>'Material Flows'!P72</f>
        <v>0.27490380217596327</v>
      </c>
      <c r="H9" s="549">
        <f>'Material Flows'!S72</f>
        <v>0.51226739629910834</v>
      </c>
      <c r="I9" s="548">
        <f ca="1">'Material Flows'!M8</f>
        <v>0</v>
      </c>
      <c r="J9" s="549">
        <f>'Material Flows'!Q72</f>
        <v>0.27490380217596327</v>
      </c>
      <c r="K9" s="549">
        <f>'Material Flows'!T72</f>
        <v>0.51226739629910834</v>
      </c>
      <c r="L9" s="708">
        <f t="shared" ca="1" si="0"/>
        <v>0</v>
      </c>
      <c r="M9" s="709">
        <f t="shared" ca="1" si="1"/>
        <v>121.45749805228921</v>
      </c>
      <c r="N9" s="710">
        <f t="shared" ca="1" si="2"/>
        <v>0</v>
      </c>
      <c r="O9" s="711">
        <f t="shared" ca="1" si="3"/>
        <v>0</v>
      </c>
      <c r="P9" s="712">
        <f t="shared" ca="1" si="4"/>
        <v>226.329049637606</v>
      </c>
      <c r="Q9" s="713">
        <f t="shared" ca="1" si="5"/>
        <v>0</v>
      </c>
    </row>
    <row r="10" spans="1:18" x14ac:dyDescent="0.2">
      <c r="A10" s="466"/>
      <c r="B10" s="455" t="s">
        <v>207</v>
      </c>
      <c r="C10" s="548">
        <f ca="1">'Material Flows'!E9</f>
        <v>0</v>
      </c>
      <c r="D10" s="549">
        <f>'Material Flows'!O73</f>
        <v>-0.63999118957442103</v>
      </c>
      <c r="E10" s="549">
        <f>'Material Flows'!R73</f>
        <v>0.69358001083981768</v>
      </c>
      <c r="F10" s="548">
        <f ca="1">'Material Flows'!I9</f>
        <v>36</v>
      </c>
      <c r="G10" s="549">
        <f>'Material Flows'!P73</f>
        <v>-0.63999118957442103</v>
      </c>
      <c r="H10" s="549">
        <f>'Material Flows'!S73</f>
        <v>0.69358001083981768</v>
      </c>
      <c r="I10" s="548">
        <f ca="1">'Material Flows'!M9</f>
        <v>0</v>
      </c>
      <c r="J10" s="549">
        <f>'Material Flows'!Q73</f>
        <v>-0.63999118957442103</v>
      </c>
      <c r="K10" s="549">
        <f>'Material Flows'!T73</f>
        <v>0.69358001083981768</v>
      </c>
      <c r="L10" s="708">
        <f t="shared" ca="1" si="0"/>
        <v>0</v>
      </c>
      <c r="M10" s="709">
        <f t="shared" ca="1" si="1"/>
        <v>-23.039682824679158</v>
      </c>
      <c r="N10" s="710">
        <f t="shared" ca="1" si="2"/>
        <v>0</v>
      </c>
      <c r="O10" s="711">
        <f t="shared" ca="1" si="3"/>
        <v>0</v>
      </c>
      <c r="P10" s="712">
        <f t="shared" ca="1" si="4"/>
        <v>24.968880390233437</v>
      </c>
      <c r="Q10" s="713">
        <f t="shared" ca="1" si="5"/>
        <v>0</v>
      </c>
    </row>
    <row r="11" spans="1:18" x14ac:dyDescent="0.2">
      <c r="A11" s="466"/>
      <c r="B11" s="455" t="s">
        <v>208</v>
      </c>
      <c r="C11" s="548">
        <f ca="1">'Material Flows'!E10</f>
        <v>0</v>
      </c>
      <c r="D11" s="549">
        <f>'Material Flows'!O74</f>
        <v>-0.82328518567304931</v>
      </c>
      <c r="E11" s="549">
        <f>'Material Flows'!R74</f>
        <v>0.7384820506248041</v>
      </c>
      <c r="F11" s="548">
        <f ca="1">'Material Flows'!I10</f>
        <v>0</v>
      </c>
      <c r="G11" s="549">
        <f>'Material Flows'!P74</f>
        <v>-0.82328518567304931</v>
      </c>
      <c r="H11" s="549">
        <f>'Material Flows'!S74</f>
        <v>0.7384820506248041</v>
      </c>
      <c r="I11" s="548">
        <f ca="1">'Material Flows'!M10</f>
        <v>0</v>
      </c>
      <c r="J11" s="549">
        <f>'Material Flows'!Q74</f>
        <v>-0.82328518567304931</v>
      </c>
      <c r="K11" s="549">
        <f>'Material Flows'!T74</f>
        <v>0.7384820506248041</v>
      </c>
      <c r="L11" s="708">
        <f t="shared" ca="1" si="0"/>
        <v>0</v>
      </c>
      <c r="M11" s="709">
        <f t="shared" ca="1" si="1"/>
        <v>0</v>
      </c>
      <c r="N11" s="710">
        <f t="shared" ca="1" si="2"/>
        <v>0</v>
      </c>
      <c r="O11" s="711">
        <f t="shared" ca="1" si="3"/>
        <v>0</v>
      </c>
      <c r="P11" s="712">
        <f t="shared" ca="1" si="4"/>
        <v>0</v>
      </c>
      <c r="Q11" s="713">
        <f t="shared" ca="1" si="5"/>
        <v>0</v>
      </c>
    </row>
    <row r="12" spans="1:18" x14ac:dyDescent="0.2">
      <c r="A12" s="466"/>
      <c r="B12" s="452" t="s">
        <v>88</v>
      </c>
      <c r="C12" s="548">
        <f ca="1">'Material Flows'!E11</f>
        <v>22.523076923076925</v>
      </c>
      <c r="D12" s="549">
        <f>'Material Flows'!O75</f>
        <v>0.39147384734598989</v>
      </c>
      <c r="E12" s="549">
        <f>'Material Flows'!R75</f>
        <v>0.37397615265401007</v>
      </c>
      <c r="F12" s="548">
        <f ca="1">'Material Flows'!I11</f>
        <v>17.330769230769231</v>
      </c>
      <c r="G12" s="549">
        <f>'Material Flows'!P75</f>
        <v>0.39147384734598989</v>
      </c>
      <c r="H12" s="549">
        <f>'Material Flows'!S75</f>
        <v>0.37397615265401007</v>
      </c>
      <c r="I12" s="548">
        <f ca="1">'Material Flows'!M11</f>
        <v>340.36153846153843</v>
      </c>
      <c r="J12" s="549">
        <f>'Material Flows'!Q75</f>
        <v>0.39147384734598989</v>
      </c>
      <c r="K12" s="549">
        <f>'Material Flows'!T75</f>
        <v>0.37397615265401007</v>
      </c>
      <c r="L12" s="708">
        <f t="shared" ca="1" si="0"/>
        <v>8.8171955771466042</v>
      </c>
      <c r="M12" s="709">
        <f t="shared" ca="1" si="1"/>
        <v>6.7845429082347328</v>
      </c>
      <c r="N12" s="710">
        <f t="shared" ca="1" si="2"/>
        <v>133.24264095013856</v>
      </c>
      <c r="O12" s="711">
        <f t="shared" ca="1" si="3"/>
        <v>8.4230936536226277</v>
      </c>
      <c r="P12" s="712">
        <f t="shared" ca="1" si="4"/>
        <v>6.4812943994575747</v>
      </c>
      <c r="Q12" s="713">
        <f t="shared" ca="1" si="5"/>
        <v>127.28709866524602</v>
      </c>
    </row>
    <row r="13" spans="1:18" x14ac:dyDescent="0.2">
      <c r="A13" s="466"/>
      <c r="B13" s="452" t="s">
        <v>98</v>
      </c>
      <c r="C13" s="548">
        <f ca="1">'Material Flows'!E12</f>
        <v>14.64</v>
      </c>
      <c r="D13" s="549">
        <f>'Material Flows'!O76</f>
        <v>0.16156084337349397</v>
      </c>
      <c r="E13" s="549">
        <f>'Material Flows'!R76</f>
        <v>0.56986915662650606</v>
      </c>
      <c r="F13" s="548">
        <f ca="1">'Material Flows'!I12</f>
        <v>11.265000000000001</v>
      </c>
      <c r="G13" s="549">
        <f>'Material Flows'!P76</f>
        <v>0.16156084337349397</v>
      </c>
      <c r="H13" s="549">
        <f>'Material Flows'!S76</f>
        <v>0.56986915662650606</v>
      </c>
      <c r="I13" s="548">
        <f ca="1">'Material Flows'!M12</f>
        <v>100.63500000000001</v>
      </c>
      <c r="J13" s="549">
        <f>'Material Flows'!Q76</f>
        <v>0.16156084337349397</v>
      </c>
      <c r="K13" s="549">
        <f>'Material Flows'!T76</f>
        <v>0.56986915662650606</v>
      </c>
      <c r="L13" s="708">
        <f t="shared" ca="1" si="0"/>
        <v>2.3652507469879516</v>
      </c>
      <c r="M13" s="709">
        <f t="shared" ca="1" si="1"/>
        <v>1.8199829006024095</v>
      </c>
      <c r="N13" s="710">
        <f t="shared" ca="1" si="2"/>
        <v>16.258675472891568</v>
      </c>
      <c r="O13" s="711">
        <f t="shared" ca="1" si="3"/>
        <v>8.342884453012049</v>
      </c>
      <c r="P13" s="712">
        <f t="shared" ca="1" si="4"/>
        <v>6.4195760493975911</v>
      </c>
      <c r="Q13" s="713">
        <f t="shared" ca="1" si="5"/>
        <v>57.348782577108437</v>
      </c>
    </row>
    <row r="14" spans="1:18" x14ac:dyDescent="0.2">
      <c r="A14" s="466"/>
      <c r="B14" s="452" t="s">
        <v>99</v>
      </c>
      <c r="C14" s="548">
        <f ca="1">'Material Flows'!E13</f>
        <v>73.2</v>
      </c>
      <c r="D14" s="549">
        <f>'Material Flows'!O77</f>
        <v>-0.60343915662650593</v>
      </c>
      <c r="E14" s="549">
        <f>'Material Flows'!R77</f>
        <v>0.56986915662650606</v>
      </c>
      <c r="F14" s="548">
        <f ca="1">'Material Flows'!I13</f>
        <v>63.074999999999996</v>
      </c>
      <c r="G14" s="549">
        <f>'Material Flows'!P77</f>
        <v>-0.60343915662650593</v>
      </c>
      <c r="H14" s="549">
        <f>'Material Flows'!S77</f>
        <v>0.56986915662650606</v>
      </c>
      <c r="I14" s="548">
        <f ca="1">'Material Flows'!M13</f>
        <v>59.835000000000001</v>
      </c>
      <c r="J14" s="549">
        <f>'Material Flows'!Q77</f>
        <v>-0.60343915662650593</v>
      </c>
      <c r="K14" s="549">
        <f>'Material Flows'!T77</f>
        <v>0.56986915662650606</v>
      </c>
      <c r="L14" s="708">
        <f t="shared" ca="1" si="0"/>
        <v>-44.171746265060236</v>
      </c>
      <c r="M14" s="709">
        <f t="shared" ca="1" si="1"/>
        <v>-38.061924804216858</v>
      </c>
      <c r="N14" s="710">
        <f t="shared" ca="1" si="2"/>
        <v>-36.106781936746984</v>
      </c>
      <c r="O14" s="711">
        <f t="shared" ca="1" si="3"/>
        <v>41.714422265060243</v>
      </c>
      <c r="P14" s="712">
        <f t="shared" ca="1" si="4"/>
        <v>35.944497054216868</v>
      </c>
      <c r="Q14" s="713">
        <f t="shared" ca="1" si="5"/>
        <v>34.098120986746991</v>
      </c>
    </row>
    <row r="15" spans="1:18" x14ac:dyDescent="0.2">
      <c r="A15" s="466"/>
      <c r="B15" s="453" t="s">
        <v>210</v>
      </c>
      <c r="C15" s="548">
        <f ca="1">'Material Flows'!E14</f>
        <v>0</v>
      </c>
      <c r="D15" s="549">
        <f>'Material Flows'!O78</f>
        <v>3.2124241181296177E-2</v>
      </c>
      <c r="E15" s="549">
        <f>'Material Flows'!R78</f>
        <v>0.67986575881870392</v>
      </c>
      <c r="F15" s="548">
        <f ca="1">'Material Flows'!I14</f>
        <v>0</v>
      </c>
      <c r="G15" s="549">
        <f>'Material Flows'!P78</f>
        <v>3.2124241181296177E-2</v>
      </c>
      <c r="H15" s="549">
        <f>'Material Flows'!S78</f>
        <v>0.67986575881870392</v>
      </c>
      <c r="I15" s="548">
        <f ca="1">'Material Flows'!M14</f>
        <v>0</v>
      </c>
      <c r="J15" s="549">
        <f>'Material Flows'!Q78</f>
        <v>3.2124241181296177E-2</v>
      </c>
      <c r="K15" s="549">
        <f>'Material Flows'!T78</f>
        <v>0.67986575881870392</v>
      </c>
      <c r="L15" s="708">
        <f t="shared" ca="1" si="0"/>
        <v>0</v>
      </c>
      <c r="M15" s="709">
        <f t="shared" ca="1" si="1"/>
        <v>0</v>
      </c>
      <c r="N15" s="710">
        <f t="shared" ca="1" si="2"/>
        <v>0</v>
      </c>
      <c r="O15" s="711">
        <f t="shared" ca="1" si="3"/>
        <v>0</v>
      </c>
      <c r="P15" s="712">
        <f t="shared" ca="1" si="4"/>
        <v>0</v>
      </c>
      <c r="Q15" s="713">
        <f t="shared" ca="1" si="5"/>
        <v>0</v>
      </c>
    </row>
    <row r="16" spans="1:18" x14ac:dyDescent="0.2">
      <c r="A16" s="466"/>
      <c r="B16" s="453" t="s">
        <v>211</v>
      </c>
      <c r="C16" s="548">
        <f ca="1">'Material Flows'!E15</f>
        <v>0</v>
      </c>
      <c r="D16" s="549">
        <f>'Material Flows'!O79</f>
        <v>0.3666441176470589</v>
      </c>
      <c r="E16" s="549">
        <f>'Material Flows'!R79</f>
        <v>0.39516088235294128</v>
      </c>
      <c r="F16" s="548">
        <f ca="1">'Material Flows'!I15</f>
        <v>0</v>
      </c>
      <c r="G16" s="549">
        <f>'Material Flows'!P79</f>
        <v>0.3666441176470589</v>
      </c>
      <c r="H16" s="549">
        <f>'Material Flows'!S79</f>
        <v>0.39516088235294128</v>
      </c>
      <c r="I16" s="548">
        <f ca="1">'Material Flows'!M15</f>
        <v>0</v>
      </c>
      <c r="J16" s="549">
        <f>'Material Flows'!Q79</f>
        <v>0.3666441176470589</v>
      </c>
      <c r="K16" s="549">
        <f>'Material Flows'!T79</f>
        <v>0.39516088235294128</v>
      </c>
      <c r="L16" s="708">
        <f t="shared" ca="1" si="0"/>
        <v>0</v>
      </c>
      <c r="M16" s="709">
        <f t="shared" ca="1" si="1"/>
        <v>0</v>
      </c>
      <c r="N16" s="710">
        <f t="shared" ca="1" si="2"/>
        <v>0</v>
      </c>
      <c r="O16" s="711">
        <f t="shared" ca="1" si="3"/>
        <v>0</v>
      </c>
      <c r="P16" s="712">
        <f t="shared" ca="1" si="4"/>
        <v>0</v>
      </c>
      <c r="Q16" s="713">
        <f t="shared" ca="1" si="5"/>
        <v>0</v>
      </c>
    </row>
    <row r="17" spans="1:17" x14ac:dyDescent="0.2">
      <c r="A17" s="466"/>
      <c r="B17" s="452" t="s">
        <v>76</v>
      </c>
      <c r="C17" s="548">
        <f ca="1">'Material Flows'!E16</f>
        <v>0</v>
      </c>
      <c r="D17" s="549">
        <f>'Material Flows'!O80</f>
        <v>0</v>
      </c>
      <c r="E17" s="549">
        <f>'Material Flows'!R80</f>
        <v>0</v>
      </c>
      <c r="F17" s="548">
        <f ca="1">'Material Flows'!I16</f>
        <v>0</v>
      </c>
      <c r="G17" s="549">
        <f>'Material Flows'!P80</f>
        <v>0</v>
      </c>
      <c r="H17" s="549">
        <f>'Material Flows'!S80</f>
        <v>0</v>
      </c>
      <c r="I17" s="548">
        <f ca="1">'Material Flows'!M16</f>
        <v>0</v>
      </c>
      <c r="J17" s="549">
        <f>'Material Flows'!Q80</f>
        <v>0</v>
      </c>
      <c r="K17" s="549">
        <f>'Material Flows'!T80</f>
        <v>0</v>
      </c>
      <c r="L17" s="708">
        <f t="shared" ca="1" si="0"/>
        <v>0</v>
      </c>
      <c r="M17" s="709">
        <f t="shared" ca="1" si="1"/>
        <v>0</v>
      </c>
      <c r="N17" s="710">
        <f t="shared" ca="1" si="2"/>
        <v>0</v>
      </c>
      <c r="O17" s="711">
        <f t="shared" ca="1" si="3"/>
        <v>0</v>
      </c>
      <c r="P17" s="712">
        <f t="shared" ca="1" si="4"/>
        <v>0</v>
      </c>
      <c r="Q17" s="713">
        <f t="shared" ca="1" si="5"/>
        <v>0</v>
      </c>
    </row>
    <row r="18" spans="1:17" x14ac:dyDescent="0.2">
      <c r="A18" s="466"/>
      <c r="B18" s="452" t="s">
        <v>77</v>
      </c>
      <c r="C18" s="548">
        <f ca="1">'Material Flows'!E17</f>
        <v>0</v>
      </c>
      <c r="D18" s="549">
        <f>'Material Flows'!O81</f>
        <v>0</v>
      </c>
      <c r="E18" s="549">
        <f>'Material Flows'!R81</f>
        <v>0</v>
      </c>
      <c r="F18" s="548">
        <f ca="1">'Material Flows'!I17</f>
        <v>0</v>
      </c>
      <c r="G18" s="549">
        <f>'Material Flows'!P81</f>
        <v>0</v>
      </c>
      <c r="H18" s="549">
        <f>'Material Flows'!S81</f>
        <v>0</v>
      </c>
      <c r="I18" s="548">
        <f ca="1">'Material Flows'!M17</f>
        <v>0</v>
      </c>
      <c r="J18" s="549">
        <f>'Material Flows'!Q81</f>
        <v>0</v>
      </c>
      <c r="K18" s="549">
        <f>'Material Flows'!T81</f>
        <v>0</v>
      </c>
      <c r="L18" s="708">
        <f t="shared" ca="1" si="0"/>
        <v>0</v>
      </c>
      <c r="M18" s="709">
        <f t="shared" ca="1" si="1"/>
        <v>0</v>
      </c>
      <c r="N18" s="710">
        <f t="shared" ca="1" si="2"/>
        <v>0</v>
      </c>
      <c r="O18" s="711">
        <f t="shared" ca="1" si="3"/>
        <v>0</v>
      </c>
      <c r="P18" s="712">
        <f t="shared" ca="1" si="4"/>
        <v>0</v>
      </c>
      <c r="Q18" s="713">
        <f t="shared" ca="1" si="5"/>
        <v>0</v>
      </c>
    </row>
    <row r="19" spans="1:17" x14ac:dyDescent="0.2">
      <c r="A19" s="466"/>
      <c r="B19" s="452" t="s">
        <v>78</v>
      </c>
      <c r="C19" s="548">
        <f ca="1">'Material Flows'!E18</f>
        <v>0</v>
      </c>
      <c r="D19" s="549">
        <f>'Material Flows'!O82</f>
        <v>0</v>
      </c>
      <c r="E19" s="549">
        <f>'Material Flows'!R82</f>
        <v>0</v>
      </c>
      <c r="F19" s="548">
        <f ca="1">'Material Flows'!I18</f>
        <v>0</v>
      </c>
      <c r="G19" s="549">
        <f>'Material Flows'!P82</f>
        <v>0</v>
      </c>
      <c r="H19" s="549">
        <f>'Material Flows'!S82</f>
        <v>0</v>
      </c>
      <c r="I19" s="548">
        <f ca="1">'Material Flows'!M18</f>
        <v>0</v>
      </c>
      <c r="J19" s="549">
        <f>'Material Flows'!Q82</f>
        <v>0</v>
      </c>
      <c r="K19" s="549">
        <f>'Material Flows'!T82</f>
        <v>0</v>
      </c>
      <c r="L19" s="708">
        <f t="shared" ca="1" si="0"/>
        <v>0</v>
      </c>
      <c r="M19" s="709">
        <f t="shared" ca="1" si="1"/>
        <v>0</v>
      </c>
      <c r="N19" s="710">
        <f t="shared" ca="1" si="2"/>
        <v>0</v>
      </c>
      <c r="O19" s="711">
        <f t="shared" ca="1" si="3"/>
        <v>0</v>
      </c>
      <c r="P19" s="712">
        <f t="shared" ca="1" si="4"/>
        <v>0</v>
      </c>
      <c r="Q19" s="713">
        <f t="shared" ca="1" si="5"/>
        <v>0</v>
      </c>
    </row>
    <row r="20" spans="1:17" x14ac:dyDescent="0.2">
      <c r="A20" s="466"/>
      <c r="B20" s="453" t="s">
        <v>212</v>
      </c>
      <c r="C20" s="548">
        <f ca="1">'Material Flows'!E19</f>
        <v>146.14870273830141</v>
      </c>
      <c r="D20" s="549">
        <f>'Material Flows'!O83</f>
        <v>0</v>
      </c>
      <c r="E20" s="549">
        <f>'Material Flows'!R83</f>
        <v>0</v>
      </c>
      <c r="F20" s="548">
        <f ca="1">'Material Flows'!I19</f>
        <v>146.14870273830141</v>
      </c>
      <c r="G20" s="549">
        <f>'Material Flows'!P83</f>
        <v>0</v>
      </c>
      <c r="H20" s="549">
        <f>'Material Flows'!S83</f>
        <v>0</v>
      </c>
      <c r="I20" s="548">
        <f ca="1">'Material Flows'!M19</f>
        <v>146.14870273830141</v>
      </c>
      <c r="J20" s="549">
        <f>'Material Flows'!Q83</f>
        <v>0</v>
      </c>
      <c r="K20" s="549">
        <f>'Material Flows'!T83</f>
        <v>0</v>
      </c>
      <c r="L20" s="708">
        <f t="shared" ca="1" si="0"/>
        <v>0</v>
      </c>
      <c r="M20" s="709">
        <f t="shared" ca="1" si="1"/>
        <v>0</v>
      </c>
      <c r="N20" s="710">
        <f t="shared" ca="1" si="2"/>
        <v>0</v>
      </c>
      <c r="O20" s="711">
        <f t="shared" ca="1" si="3"/>
        <v>0</v>
      </c>
      <c r="P20" s="712">
        <f t="shared" ca="1" si="4"/>
        <v>0</v>
      </c>
      <c r="Q20" s="713">
        <f t="shared" ca="1" si="5"/>
        <v>0</v>
      </c>
    </row>
    <row r="21" spans="1:17" x14ac:dyDescent="0.2">
      <c r="A21" s="466"/>
      <c r="B21" s="453" t="s">
        <v>213</v>
      </c>
      <c r="C21" s="548">
        <f ca="1">'Material Flows'!E20</f>
        <v>35.136000000000003</v>
      </c>
      <c r="D21" s="549">
        <f>'Material Flows'!O84</f>
        <v>0</v>
      </c>
      <c r="E21" s="549">
        <f>'Material Flows'!R84</f>
        <v>0</v>
      </c>
      <c r="F21" s="548">
        <f ca="1">'Material Flows'!I20</f>
        <v>35.136000000000003</v>
      </c>
      <c r="G21" s="549">
        <f>'Material Flows'!P84</f>
        <v>0</v>
      </c>
      <c r="H21" s="549">
        <f>'Material Flows'!S84</f>
        <v>0</v>
      </c>
      <c r="I21" s="548">
        <f ca="1">'Material Flows'!M20</f>
        <v>35.136000000000003</v>
      </c>
      <c r="J21" s="549">
        <f>'Material Flows'!Q84</f>
        <v>0</v>
      </c>
      <c r="K21" s="549">
        <f>'Material Flows'!T84</f>
        <v>0</v>
      </c>
      <c r="L21" s="708">
        <f t="shared" ca="1" si="0"/>
        <v>0</v>
      </c>
      <c r="M21" s="709">
        <f t="shared" ca="1" si="1"/>
        <v>0</v>
      </c>
      <c r="N21" s="710">
        <f t="shared" ca="1" si="2"/>
        <v>0</v>
      </c>
      <c r="O21" s="711">
        <f t="shared" ca="1" si="3"/>
        <v>0</v>
      </c>
      <c r="P21" s="712">
        <f t="shared" ca="1" si="4"/>
        <v>0</v>
      </c>
      <c r="Q21" s="713">
        <f t="shared" ca="1" si="5"/>
        <v>0</v>
      </c>
    </row>
    <row r="22" spans="1:17" x14ac:dyDescent="0.2">
      <c r="A22" s="466"/>
      <c r="B22" s="454" t="s">
        <v>214</v>
      </c>
      <c r="C22" s="548">
        <f ca="1">'Material Flows'!E21</f>
        <v>35.136000000000003</v>
      </c>
      <c r="D22" s="549">
        <f>'Material Flows'!O85</f>
        <v>0</v>
      </c>
      <c r="E22" s="549">
        <f>'Material Flows'!R85</f>
        <v>0</v>
      </c>
      <c r="F22" s="548">
        <f ca="1">'Material Flows'!I21</f>
        <v>35.136000000000003</v>
      </c>
      <c r="G22" s="549">
        <f>'Material Flows'!P85</f>
        <v>0</v>
      </c>
      <c r="H22" s="549">
        <f>'Material Flows'!S85</f>
        <v>0</v>
      </c>
      <c r="I22" s="548">
        <f ca="1">'Material Flows'!M21</f>
        <v>35.136000000000003</v>
      </c>
      <c r="J22" s="549">
        <f>'Material Flows'!Q85</f>
        <v>0</v>
      </c>
      <c r="K22" s="549">
        <f>'Material Flows'!T85</f>
        <v>0</v>
      </c>
      <c r="L22" s="708">
        <f t="shared" ca="1" si="0"/>
        <v>0</v>
      </c>
      <c r="M22" s="709">
        <f t="shared" ca="1" si="1"/>
        <v>0</v>
      </c>
      <c r="N22" s="710">
        <f t="shared" ca="1" si="2"/>
        <v>0</v>
      </c>
      <c r="O22" s="711">
        <f t="shared" ca="1" si="3"/>
        <v>0</v>
      </c>
      <c r="P22" s="712">
        <f t="shared" ca="1" si="4"/>
        <v>0</v>
      </c>
      <c r="Q22" s="713">
        <f t="shared" ca="1" si="5"/>
        <v>0</v>
      </c>
    </row>
    <row r="23" spans="1:17" x14ac:dyDescent="0.2">
      <c r="A23" s="466"/>
      <c r="B23" s="454" t="s">
        <v>215</v>
      </c>
      <c r="C23" s="548">
        <f ca="1">'Material Flows'!E22</f>
        <v>23.424000000000003</v>
      </c>
      <c r="D23" s="549">
        <f>'Material Flows'!O86</f>
        <v>0</v>
      </c>
      <c r="E23" s="549">
        <f>'Material Flows'!R86</f>
        <v>0</v>
      </c>
      <c r="F23" s="548">
        <f ca="1">'Material Flows'!I22</f>
        <v>23.424000000000003</v>
      </c>
      <c r="G23" s="549">
        <f>'Material Flows'!P86</f>
        <v>0</v>
      </c>
      <c r="H23" s="549">
        <f>'Material Flows'!S86</f>
        <v>0</v>
      </c>
      <c r="I23" s="548">
        <f ca="1">'Material Flows'!M22</f>
        <v>23.424000000000003</v>
      </c>
      <c r="J23" s="549">
        <f>'Material Flows'!Q86</f>
        <v>0</v>
      </c>
      <c r="K23" s="549">
        <f>'Material Flows'!T86</f>
        <v>0</v>
      </c>
      <c r="L23" s="708">
        <f t="shared" ca="1" si="0"/>
        <v>0</v>
      </c>
      <c r="M23" s="709">
        <f t="shared" ca="1" si="1"/>
        <v>0</v>
      </c>
      <c r="N23" s="710">
        <f t="shared" ca="1" si="2"/>
        <v>0</v>
      </c>
      <c r="O23" s="711">
        <f t="shared" ca="1" si="3"/>
        <v>0</v>
      </c>
      <c r="P23" s="712">
        <f t="shared" ca="1" si="4"/>
        <v>0</v>
      </c>
      <c r="Q23" s="713">
        <f t="shared" ca="1" si="5"/>
        <v>0</v>
      </c>
    </row>
    <row r="24" spans="1:17" x14ac:dyDescent="0.2">
      <c r="A24" s="466"/>
      <c r="B24" s="454" t="s">
        <v>218</v>
      </c>
      <c r="C24" s="548">
        <f ca="1">'Material Flows'!E23</f>
        <v>0</v>
      </c>
      <c r="D24" s="549">
        <f>'Material Flows'!O87</f>
        <v>0.31549037093059995</v>
      </c>
      <c r="E24" s="549">
        <f>'Material Flows'!R87</f>
        <v>0.51909880205502379</v>
      </c>
      <c r="F24" s="548">
        <f ca="1">'Material Flows'!I23</f>
        <v>0</v>
      </c>
      <c r="G24" s="549">
        <f>'Material Flows'!P87</f>
        <v>0.31549037093059995</v>
      </c>
      <c r="H24" s="549">
        <f>'Material Flows'!S87</f>
        <v>0.51909880205502379</v>
      </c>
      <c r="I24" s="548">
        <f ca="1">'Material Flows'!M23</f>
        <v>0</v>
      </c>
      <c r="J24" s="549">
        <f>'Material Flows'!Q87</f>
        <v>0.31549037093059995</v>
      </c>
      <c r="K24" s="549">
        <f>'Material Flows'!T87</f>
        <v>0.51909880205502379</v>
      </c>
      <c r="L24" s="708">
        <f t="shared" ca="1" si="0"/>
        <v>0</v>
      </c>
      <c r="M24" s="709">
        <f t="shared" ca="1" si="1"/>
        <v>0</v>
      </c>
      <c r="N24" s="710">
        <f t="shared" ca="1" si="2"/>
        <v>0</v>
      </c>
      <c r="O24" s="711">
        <f t="shared" ca="1" si="3"/>
        <v>0</v>
      </c>
      <c r="P24" s="712">
        <f t="shared" ca="1" si="4"/>
        <v>0</v>
      </c>
      <c r="Q24" s="713">
        <f t="shared" ca="1" si="5"/>
        <v>0</v>
      </c>
    </row>
    <row r="25" spans="1:17" x14ac:dyDescent="0.2">
      <c r="A25" s="500"/>
      <c r="B25" s="452" t="s">
        <v>50</v>
      </c>
      <c r="C25" s="548">
        <f ca="1">'Material Flows'!E24</f>
        <v>93.695999999999827</v>
      </c>
      <c r="D25" s="550"/>
      <c r="E25" s="550"/>
      <c r="F25" s="548">
        <f ca="1">'Material Flows'!I24</f>
        <v>93.695999999999827</v>
      </c>
      <c r="G25" s="555"/>
      <c r="H25" s="555"/>
      <c r="I25" s="548">
        <f ca="1">'Material Flows'!M24</f>
        <v>93.695999999999827</v>
      </c>
      <c r="J25" s="549">
        <f>'Material Flows'!Q88</f>
        <v>0</v>
      </c>
      <c r="K25" s="549">
        <f>'Material Flows'!T88</f>
        <v>0</v>
      </c>
      <c r="L25" s="708">
        <f t="shared" ca="1" si="0"/>
        <v>0</v>
      </c>
      <c r="M25" s="709">
        <f t="shared" ca="1" si="1"/>
        <v>0</v>
      </c>
      <c r="N25" s="710">
        <f t="shared" ca="1" si="2"/>
        <v>0</v>
      </c>
      <c r="O25" s="711">
        <f t="shared" ca="1" si="3"/>
        <v>0</v>
      </c>
      <c r="P25" s="712">
        <f t="shared" ca="1" si="4"/>
        <v>0</v>
      </c>
      <c r="Q25" s="713">
        <f t="shared" ca="1" si="5"/>
        <v>0</v>
      </c>
    </row>
    <row r="26" spans="1:17" x14ac:dyDescent="0.2">
      <c r="A26" s="466"/>
      <c r="B26" s="452" t="s">
        <v>130</v>
      </c>
      <c r="C26" s="548">
        <f ca="1">'Material Flows'!E25</f>
        <v>0</v>
      </c>
      <c r="D26" s="549">
        <f>'Material Flows'!O89</f>
        <v>0</v>
      </c>
      <c r="E26" s="549">
        <f>'Material Flows'!R89</f>
        <v>1</v>
      </c>
      <c r="F26" s="548">
        <f ca="1">'Material Flows'!I25</f>
        <v>0</v>
      </c>
      <c r="G26" s="549">
        <f>'Material Flows'!P89</f>
        <v>0</v>
      </c>
      <c r="H26" s="549">
        <f>'Material Flows'!S89</f>
        <v>1</v>
      </c>
      <c r="I26" s="548">
        <f ca="1">'Material Flows'!M25</f>
        <v>0</v>
      </c>
      <c r="J26" s="549">
        <f>'Material Flows'!Q89</f>
        <v>0</v>
      </c>
      <c r="K26" s="549">
        <f>'Material Flows'!T89</f>
        <v>1</v>
      </c>
      <c r="L26" s="708">
        <f t="shared" ca="1" si="0"/>
        <v>0</v>
      </c>
      <c r="M26" s="709">
        <f t="shared" ca="1" si="1"/>
        <v>0</v>
      </c>
      <c r="N26" s="710">
        <f t="shared" ca="1" si="2"/>
        <v>0</v>
      </c>
      <c r="O26" s="711">
        <f t="shared" ca="1" si="3"/>
        <v>0</v>
      </c>
      <c r="P26" s="712">
        <f t="shared" ca="1" si="4"/>
        <v>0</v>
      </c>
      <c r="Q26" s="713">
        <f t="shared" ca="1" si="5"/>
        <v>0</v>
      </c>
    </row>
    <row r="27" spans="1:17" x14ac:dyDescent="0.2">
      <c r="A27" s="466"/>
      <c r="B27" s="453" t="s">
        <v>216</v>
      </c>
      <c r="C27" s="548">
        <f>'Material Flows'!E26</f>
        <v>0</v>
      </c>
      <c r="D27" s="549">
        <f>'Material Flows'!O90</f>
        <v>0</v>
      </c>
      <c r="E27" s="549">
        <f>'Material Flows'!R90</f>
        <v>0</v>
      </c>
      <c r="F27" s="548">
        <f>'Material Flows'!I26</f>
        <v>0</v>
      </c>
      <c r="G27" s="549">
        <f>'Material Flows'!P90</f>
        <v>0</v>
      </c>
      <c r="H27" s="549">
        <f>'Material Flows'!S90</f>
        <v>0</v>
      </c>
      <c r="I27" s="548">
        <f>'Material Flows'!M26</f>
        <v>0</v>
      </c>
      <c r="J27" s="549">
        <f>'Material Flows'!Q90</f>
        <v>0</v>
      </c>
      <c r="K27" s="549">
        <f>'Material Flows'!T90</f>
        <v>0</v>
      </c>
      <c r="L27" s="708">
        <f t="shared" si="0"/>
        <v>0</v>
      </c>
      <c r="M27" s="709">
        <f t="shared" si="1"/>
        <v>0</v>
      </c>
      <c r="N27" s="710">
        <f t="shared" si="2"/>
        <v>0</v>
      </c>
      <c r="O27" s="711">
        <f t="shared" si="3"/>
        <v>0</v>
      </c>
      <c r="P27" s="712">
        <f t="shared" si="4"/>
        <v>0</v>
      </c>
      <c r="Q27" s="713">
        <f t="shared" si="5"/>
        <v>0</v>
      </c>
    </row>
    <row r="28" spans="1:17" x14ac:dyDescent="0.2">
      <c r="A28" s="466"/>
      <c r="B28" s="454" t="s">
        <v>217</v>
      </c>
      <c r="C28" s="548">
        <f ca="1">'Material Flows'!E27</f>
        <v>28.8</v>
      </c>
      <c r="D28" s="549">
        <f>'Material Flows'!O91</f>
        <v>0</v>
      </c>
      <c r="E28" s="549">
        <f>'Material Flows'!R91</f>
        <v>0</v>
      </c>
      <c r="F28" s="548">
        <f ca="1">'Material Flows'!I27</f>
        <v>28.8</v>
      </c>
      <c r="G28" s="549">
        <f>'Material Flows'!P91</f>
        <v>0</v>
      </c>
      <c r="H28" s="549">
        <f>'Material Flows'!S91</f>
        <v>0</v>
      </c>
      <c r="I28" s="548">
        <f ca="1">'Material Flows'!M27</f>
        <v>28.8</v>
      </c>
      <c r="J28" s="549">
        <f>'Material Flows'!Q91</f>
        <v>0</v>
      </c>
      <c r="K28" s="549">
        <f>'Material Flows'!T91</f>
        <v>0</v>
      </c>
      <c r="L28" s="708">
        <f t="shared" ca="1" si="0"/>
        <v>0</v>
      </c>
      <c r="M28" s="709">
        <f t="shared" ca="1" si="1"/>
        <v>0</v>
      </c>
      <c r="N28" s="710">
        <f t="shared" ca="1" si="2"/>
        <v>0</v>
      </c>
      <c r="O28" s="711">
        <f t="shared" ca="1" si="3"/>
        <v>0</v>
      </c>
      <c r="P28" s="712">
        <f t="shared" ca="1" si="4"/>
        <v>0</v>
      </c>
      <c r="Q28" s="713">
        <f t="shared" ca="1" si="5"/>
        <v>0</v>
      </c>
    </row>
    <row r="29" spans="1:17" x14ac:dyDescent="0.2">
      <c r="A29" s="466"/>
      <c r="B29" s="453" t="s">
        <v>288</v>
      </c>
      <c r="C29" s="548"/>
      <c r="D29" s="549"/>
      <c r="E29" s="549"/>
      <c r="F29" s="548"/>
      <c r="G29" s="549"/>
      <c r="H29" s="549"/>
      <c r="I29" s="548"/>
      <c r="J29" s="549"/>
      <c r="K29" s="549"/>
      <c r="L29" s="708">
        <f t="shared" si="0"/>
        <v>0</v>
      </c>
      <c r="M29" s="709">
        <f t="shared" si="1"/>
        <v>0</v>
      </c>
      <c r="N29" s="710">
        <f t="shared" si="2"/>
        <v>0</v>
      </c>
      <c r="O29" s="711">
        <f t="shared" si="3"/>
        <v>0</v>
      </c>
      <c r="P29" s="712">
        <f t="shared" si="4"/>
        <v>0</v>
      </c>
      <c r="Q29" s="713">
        <f t="shared" si="5"/>
        <v>0</v>
      </c>
    </row>
    <row r="30" spans="1:17" ht="13.5" thickBot="1" x14ac:dyDescent="0.25">
      <c r="A30" s="474"/>
      <c r="B30" s="551"/>
      <c r="C30" s="552"/>
      <c r="D30" s="553"/>
      <c r="E30" s="553"/>
      <c r="F30" s="552"/>
      <c r="G30" s="553"/>
      <c r="H30" s="553"/>
      <c r="I30" s="552"/>
      <c r="J30" s="553"/>
      <c r="K30" s="553"/>
      <c r="L30" s="554"/>
      <c r="M30" s="629"/>
      <c r="N30" s="637"/>
      <c r="O30" s="554"/>
      <c r="P30" s="629"/>
      <c r="Q30" s="637"/>
    </row>
    <row r="31" spans="1:17" s="65" customFormat="1" x14ac:dyDescent="0.2">
      <c r="A31" s="515"/>
      <c r="B31" s="452"/>
      <c r="C31" s="483"/>
      <c r="D31" s="483"/>
      <c r="E31" s="483"/>
      <c r="F31" s="482"/>
      <c r="G31" s="482"/>
      <c r="H31" s="482"/>
      <c r="I31" s="483"/>
      <c r="J31" s="458"/>
      <c r="K31" s="458"/>
      <c r="L31" s="458"/>
      <c r="M31" s="451"/>
      <c r="N31" s="477"/>
      <c r="O31" s="477"/>
      <c r="P31" s="482"/>
    </row>
    <row r="32" spans="1:17" x14ac:dyDescent="0.2">
      <c r="A32" s="466"/>
      <c r="C32" s="452"/>
      <c r="D32" s="560"/>
      <c r="E32" s="634"/>
      <c r="F32" s="32"/>
      <c r="G32" s="482"/>
      <c r="H32" s="482"/>
      <c r="I32" s="483"/>
      <c r="J32" s="458"/>
      <c r="K32" s="458"/>
      <c r="L32" s="458"/>
      <c r="M32" s="451"/>
      <c r="N32" s="477"/>
      <c r="O32" s="477"/>
      <c r="P32" s="482"/>
    </row>
    <row r="33" spans="1:18" x14ac:dyDescent="0.2">
      <c r="A33" s="466"/>
      <c r="B33" s="453"/>
      <c r="D33" s="499"/>
      <c r="E33" s="499"/>
      <c r="F33" s="482"/>
      <c r="G33" s="482"/>
      <c r="H33" s="482"/>
      <c r="J33" s="458"/>
      <c r="K33" s="458"/>
      <c r="L33" s="458"/>
      <c r="N33" s="458"/>
      <c r="O33" s="458"/>
      <c r="P33" s="458"/>
    </row>
    <row r="34" spans="1:18" x14ac:dyDescent="0.2">
      <c r="A34" s="466"/>
      <c r="B34" s="632"/>
      <c r="C34" s="477"/>
      <c r="D34" s="477"/>
      <c r="E34" s="477"/>
      <c r="F34" s="482"/>
      <c r="G34" s="482"/>
      <c r="H34" s="482"/>
      <c r="I34" s="477"/>
      <c r="J34" s="458"/>
      <c r="K34" s="458"/>
      <c r="L34" s="458"/>
      <c r="M34" s="477"/>
      <c r="N34" s="458"/>
      <c r="O34" s="458"/>
      <c r="P34" s="458"/>
      <c r="Q34" s="477"/>
    </row>
    <row r="35" spans="1:18" x14ac:dyDescent="0.2">
      <c r="A35" s="466"/>
      <c r="B35" s="632"/>
      <c r="C35" s="477"/>
      <c r="D35" s="477"/>
      <c r="E35" s="477"/>
      <c r="F35" s="482"/>
      <c r="G35" s="482"/>
      <c r="H35" s="482"/>
      <c r="I35" s="477"/>
      <c r="J35" s="458"/>
      <c r="K35" s="458"/>
      <c r="L35" s="458"/>
      <c r="M35" s="477"/>
      <c r="N35" s="458"/>
      <c r="O35" s="458"/>
      <c r="P35" s="458"/>
      <c r="Q35" s="477"/>
    </row>
    <row r="36" spans="1:18" x14ac:dyDescent="0.2">
      <c r="A36" s="500"/>
      <c r="B36" s="560"/>
      <c r="C36" s="477"/>
      <c r="D36" s="477"/>
      <c r="E36" s="477"/>
      <c r="F36" s="482"/>
      <c r="G36" s="482"/>
      <c r="H36" s="482"/>
      <c r="I36" s="477"/>
      <c r="J36" s="460"/>
      <c r="K36" s="460"/>
      <c r="L36" s="460"/>
      <c r="M36" s="477"/>
      <c r="N36" s="460"/>
      <c r="O36" s="460"/>
      <c r="P36" s="460"/>
      <c r="Q36" s="477"/>
    </row>
    <row r="37" spans="1:18" x14ac:dyDescent="0.2">
      <c r="A37" s="466"/>
      <c r="B37" s="560"/>
      <c r="C37" s="482"/>
      <c r="D37" s="482"/>
      <c r="E37" s="482"/>
      <c r="F37" s="482"/>
      <c r="G37" s="482"/>
      <c r="H37" s="482"/>
      <c r="I37" s="482"/>
      <c r="J37" s="458"/>
      <c r="K37" s="458"/>
      <c r="L37" s="458"/>
      <c r="M37" s="458"/>
      <c r="N37" s="477"/>
      <c r="O37" s="477"/>
      <c r="P37" s="477"/>
      <c r="Q37" s="477"/>
      <c r="R37" s="65"/>
    </row>
    <row r="38" spans="1:18" x14ac:dyDescent="0.2">
      <c r="A38" s="466"/>
      <c r="B38" s="560"/>
      <c r="C38" s="477"/>
      <c r="D38" s="477"/>
      <c r="E38" s="477"/>
      <c r="F38" s="477"/>
      <c r="G38" s="477"/>
      <c r="H38" s="477"/>
      <c r="I38" s="477"/>
      <c r="J38" s="460"/>
      <c r="K38" s="458"/>
      <c r="L38" s="477"/>
      <c r="M38" s="477"/>
      <c r="N38" s="477"/>
      <c r="O38" s="477"/>
      <c r="P38" s="477"/>
      <c r="Q38" s="477"/>
      <c r="R38" s="477"/>
    </row>
    <row r="39" spans="1:18" x14ac:dyDescent="0.2">
      <c r="A39" s="466"/>
      <c r="B39" s="560"/>
      <c r="C39" s="477"/>
      <c r="D39" s="477"/>
      <c r="E39" s="477"/>
      <c r="F39" s="477"/>
      <c r="G39" s="477"/>
      <c r="H39" s="477"/>
      <c r="I39" s="477"/>
      <c r="J39" s="460"/>
      <c r="K39" s="458"/>
      <c r="L39" s="477"/>
      <c r="M39" s="564"/>
      <c r="N39" s="477"/>
      <c r="O39" s="477"/>
      <c r="P39" s="564"/>
      <c r="Q39" s="477"/>
      <c r="R39" s="477"/>
    </row>
    <row r="40" spans="1:18" x14ac:dyDescent="0.2">
      <c r="Q40" s="462"/>
      <c r="R40" s="540"/>
    </row>
    <row r="41" spans="1:18" x14ac:dyDescent="0.2">
      <c r="A41" s="466"/>
      <c r="B41" s="633"/>
      <c r="C41" s="540"/>
      <c r="D41" s="477"/>
      <c r="E41" s="630"/>
      <c r="F41" s="630"/>
      <c r="G41" s="630"/>
      <c r="H41" s="630"/>
      <c r="I41" s="630"/>
      <c r="J41" s="482"/>
      <c r="K41" s="450"/>
      <c r="L41" s="482"/>
      <c r="M41" s="482"/>
      <c r="N41" s="482"/>
      <c r="O41" s="482"/>
      <c r="P41" s="482"/>
      <c r="Q41" s="482"/>
      <c r="R41" s="482"/>
    </row>
    <row r="42" spans="1:18" x14ac:dyDescent="0.2">
      <c r="A42" s="466"/>
      <c r="B42" s="560"/>
      <c r="C42" s="540"/>
      <c r="D42" s="477"/>
      <c r="E42" s="630"/>
      <c r="F42" s="630"/>
      <c r="G42" s="630"/>
      <c r="H42" s="630"/>
      <c r="I42" s="630"/>
      <c r="J42" s="482"/>
      <c r="K42" s="450"/>
      <c r="L42" s="482"/>
      <c r="M42" s="482"/>
      <c r="N42" s="482"/>
      <c r="O42" s="482"/>
      <c r="P42" s="482"/>
      <c r="Q42" s="482"/>
      <c r="R42" s="482"/>
    </row>
    <row r="43" spans="1:18" x14ac:dyDescent="0.2">
      <c r="A43" s="466"/>
      <c r="B43" s="560"/>
      <c r="C43" s="540"/>
      <c r="D43" s="477"/>
      <c r="E43" s="630"/>
      <c r="F43" s="630"/>
      <c r="G43" s="630"/>
      <c r="H43" s="630"/>
      <c r="I43" s="630"/>
      <c r="J43" s="482"/>
      <c r="K43" s="450"/>
      <c r="L43" s="482"/>
      <c r="M43" s="482"/>
      <c r="N43" s="482"/>
      <c r="O43" s="482"/>
      <c r="P43" s="482"/>
      <c r="Q43" s="482"/>
      <c r="R43" s="482"/>
    </row>
    <row r="44" spans="1:18" x14ac:dyDescent="0.2">
      <c r="A44" s="466"/>
      <c r="B44" s="560"/>
      <c r="C44" s="477"/>
      <c r="D44" s="477"/>
      <c r="E44" s="477"/>
      <c r="F44" s="477"/>
      <c r="G44" s="477"/>
      <c r="H44" s="477"/>
      <c r="I44" s="477"/>
      <c r="J44" s="477"/>
      <c r="K44" s="477"/>
      <c r="L44" s="477"/>
      <c r="M44" s="477"/>
      <c r="N44" s="477"/>
      <c r="O44" s="477"/>
      <c r="P44" s="477"/>
      <c r="Q44" s="477"/>
      <c r="R44" s="477"/>
    </row>
    <row r="45" spans="1:18" x14ac:dyDescent="0.2">
      <c r="A45" s="466"/>
      <c r="B45" s="560"/>
      <c r="C45" s="477"/>
      <c r="D45" s="477"/>
      <c r="E45" s="477"/>
      <c r="F45" s="477"/>
      <c r="G45" s="477"/>
      <c r="H45" s="477"/>
      <c r="I45" s="477"/>
      <c r="J45" s="460"/>
      <c r="K45" s="461"/>
      <c r="L45" s="458"/>
      <c r="M45" s="477"/>
      <c r="N45" s="477"/>
      <c r="O45" s="477"/>
      <c r="P45" s="477"/>
      <c r="Q45" s="477"/>
      <c r="R45" s="477"/>
    </row>
    <row r="46" spans="1:18" x14ac:dyDescent="0.2">
      <c r="A46" s="466"/>
      <c r="B46" s="560"/>
      <c r="C46" s="477"/>
      <c r="D46" s="482"/>
      <c r="E46" s="477"/>
      <c r="F46" s="540"/>
      <c r="G46" s="482"/>
      <c r="H46" s="477"/>
      <c r="I46" s="477"/>
      <c r="J46" s="460"/>
      <c r="K46" s="458"/>
      <c r="L46" s="477"/>
      <c r="M46" s="564"/>
      <c r="N46" s="477"/>
      <c r="O46" s="477"/>
      <c r="P46" s="564"/>
      <c r="Q46" s="477"/>
      <c r="R46" s="477"/>
    </row>
    <row r="47" spans="1:18" x14ac:dyDescent="0.2">
      <c r="A47" s="466"/>
      <c r="B47" s="560"/>
      <c r="C47" s="477"/>
      <c r="D47" s="477"/>
      <c r="E47" s="630"/>
      <c r="F47" s="630"/>
      <c r="G47" s="630"/>
      <c r="H47" s="630"/>
      <c r="I47" s="630"/>
      <c r="J47" s="462"/>
      <c r="K47" s="462"/>
      <c r="L47" s="540"/>
      <c r="M47" s="462"/>
      <c r="N47" s="462"/>
      <c r="O47" s="540"/>
      <c r="P47" s="462"/>
      <c r="Q47" s="462"/>
      <c r="R47" s="540"/>
    </row>
    <row r="48" spans="1:18" x14ac:dyDescent="0.2">
      <c r="A48" s="466"/>
      <c r="B48" s="534"/>
      <c r="C48" s="557"/>
      <c r="D48" s="557"/>
      <c r="E48" s="630"/>
      <c r="F48" s="630"/>
      <c r="G48" s="630"/>
      <c r="H48" s="630"/>
      <c r="I48" s="630"/>
      <c r="J48" s="568"/>
      <c r="K48" s="568"/>
      <c r="L48" s="568"/>
      <c r="M48" s="568"/>
      <c r="N48" s="568"/>
      <c r="O48" s="568"/>
      <c r="P48" s="568"/>
      <c r="Q48" s="568"/>
      <c r="R48" s="568"/>
    </row>
    <row r="49" spans="1:18" x14ac:dyDescent="0.2">
      <c r="A49" s="466"/>
      <c r="B49" s="560"/>
      <c r="C49" s="560"/>
      <c r="D49" s="560"/>
      <c r="E49" s="630"/>
      <c r="F49" s="630"/>
      <c r="G49" s="630"/>
      <c r="H49" s="630"/>
      <c r="I49" s="630"/>
      <c r="J49" s="568"/>
      <c r="K49" s="568"/>
      <c r="L49" s="568"/>
      <c r="M49" s="568"/>
      <c r="N49" s="568"/>
      <c r="O49" s="568"/>
      <c r="P49" s="568"/>
      <c r="Q49" s="568"/>
      <c r="R49" s="568"/>
    </row>
    <row r="50" spans="1:18" x14ac:dyDescent="0.2">
      <c r="A50" s="466"/>
      <c r="B50" s="560"/>
      <c r="C50" s="477"/>
      <c r="D50" s="477"/>
      <c r="E50" s="477"/>
      <c r="F50" s="477"/>
      <c r="G50" s="560"/>
      <c r="H50" s="560"/>
      <c r="I50" s="560"/>
      <c r="J50" s="561"/>
      <c r="K50" s="561"/>
      <c r="L50" s="458"/>
      <c r="M50" s="458"/>
      <c r="N50" s="477"/>
      <c r="O50" s="477"/>
      <c r="P50" s="477"/>
      <c r="Q50" s="477"/>
      <c r="R50" s="569"/>
    </row>
    <row r="51" spans="1:18" x14ac:dyDescent="0.2">
      <c r="A51" s="466"/>
      <c r="B51" s="560"/>
      <c r="C51" s="562"/>
      <c r="D51" s="562"/>
      <c r="E51" s="634"/>
      <c r="F51" s="480"/>
      <c r="G51" s="480"/>
      <c r="H51" s="480"/>
      <c r="I51" s="480"/>
      <c r="J51" s="482"/>
      <c r="K51" s="450"/>
      <c r="L51" s="482"/>
      <c r="M51" s="482"/>
      <c r="N51" s="482"/>
      <c r="O51" s="482"/>
      <c r="P51" s="482"/>
      <c r="Q51" s="482"/>
      <c r="R51" s="482"/>
    </row>
    <row r="52" spans="1:18" x14ac:dyDescent="0.2">
      <c r="A52" s="466"/>
      <c r="B52" s="477"/>
      <c r="C52" s="560"/>
      <c r="D52" s="560"/>
      <c r="E52" s="480"/>
      <c r="F52" s="635"/>
      <c r="G52" s="480"/>
      <c r="H52" s="477"/>
      <c r="I52" s="477"/>
      <c r="J52" s="458"/>
      <c r="K52" s="458"/>
      <c r="L52" s="458"/>
      <c r="M52" s="458"/>
      <c r="N52" s="477"/>
      <c r="O52" s="477"/>
      <c r="P52" s="477"/>
      <c r="Q52" s="477"/>
      <c r="R52" s="477"/>
    </row>
    <row r="53" spans="1:18" x14ac:dyDescent="0.2">
      <c r="A53" s="466"/>
      <c r="B53" s="534"/>
      <c r="C53" s="477"/>
      <c r="D53" s="477"/>
      <c r="E53" s="477"/>
      <c r="F53" s="477"/>
      <c r="G53" s="477"/>
      <c r="H53" s="477"/>
      <c r="I53" s="477"/>
      <c r="J53" s="561"/>
      <c r="K53" s="561"/>
      <c r="L53" s="458"/>
      <c r="M53" s="458"/>
      <c r="N53" s="477"/>
      <c r="O53" s="477"/>
      <c r="P53" s="477"/>
      <c r="Q53" s="477"/>
    </row>
    <row r="54" spans="1:18" x14ac:dyDescent="0.2">
      <c r="A54" s="466"/>
      <c r="B54" s="560"/>
      <c r="C54" s="477"/>
      <c r="D54" s="477"/>
      <c r="E54" s="477"/>
      <c r="F54" s="477"/>
      <c r="G54" s="477"/>
      <c r="H54" s="477"/>
      <c r="I54" s="477"/>
      <c r="J54" s="561"/>
      <c r="K54" s="561"/>
      <c r="L54" s="458"/>
      <c r="M54" s="458"/>
      <c r="N54" s="477"/>
      <c r="O54" s="477"/>
      <c r="P54" s="477"/>
      <c r="Q54" s="477"/>
    </row>
    <row r="55" spans="1:18" x14ac:dyDescent="0.2">
      <c r="A55" s="466"/>
      <c r="B55" s="560"/>
      <c r="C55" s="477"/>
      <c r="D55" s="477"/>
      <c r="E55" s="477"/>
      <c r="F55" s="477"/>
      <c r="G55" s="477"/>
      <c r="H55" s="477"/>
      <c r="I55" s="477"/>
      <c r="J55" s="561"/>
      <c r="K55" s="561"/>
      <c r="L55" s="458"/>
      <c r="M55" s="458"/>
      <c r="N55" s="477"/>
      <c r="O55" s="477"/>
      <c r="P55" s="477"/>
      <c r="Q55" s="477"/>
    </row>
    <row r="56" spans="1:18" x14ac:dyDescent="0.2">
      <c r="A56" s="500"/>
      <c r="B56" s="452"/>
      <c r="C56" s="65"/>
      <c r="D56" s="65"/>
      <c r="E56" s="65"/>
      <c r="F56" s="65"/>
      <c r="G56" s="65"/>
      <c r="H56" s="65"/>
      <c r="I56" s="65"/>
      <c r="J56" s="561"/>
      <c r="K56" s="561"/>
      <c r="L56" s="451"/>
      <c r="M56" s="451"/>
    </row>
    <row r="57" spans="1:18" x14ac:dyDescent="0.2">
      <c r="A57" s="466"/>
      <c r="B57" s="65"/>
      <c r="C57" s="65"/>
      <c r="D57" s="65"/>
      <c r="E57" s="65"/>
      <c r="F57" s="65"/>
      <c r="G57" s="65"/>
      <c r="H57" s="65"/>
      <c r="I57" s="65"/>
      <c r="J57" s="451"/>
      <c r="K57" s="451"/>
      <c r="L57" s="451"/>
      <c r="M57" s="451"/>
    </row>
    <row r="58" spans="1:18" x14ac:dyDescent="0.2">
      <c r="A58" s="466"/>
      <c r="B58" s="520"/>
      <c r="C58" s="65"/>
      <c r="D58" s="65"/>
      <c r="E58" s="65"/>
      <c r="F58" s="65"/>
      <c r="G58" s="65"/>
      <c r="H58" s="65"/>
      <c r="I58" s="65"/>
      <c r="J58" s="561"/>
      <c r="K58" s="561"/>
      <c r="L58" s="451"/>
      <c r="M58" s="451"/>
    </row>
    <row r="59" spans="1:18" x14ac:dyDescent="0.2">
      <c r="A59" s="466"/>
      <c r="B59" s="452"/>
      <c r="C59" s="65"/>
      <c r="D59" s="65"/>
      <c r="E59" s="65"/>
      <c r="F59" s="65"/>
      <c r="G59" s="65"/>
      <c r="H59" s="65"/>
      <c r="I59" s="65"/>
      <c r="J59" s="561"/>
      <c r="K59" s="561"/>
      <c r="L59" s="451"/>
      <c r="M59" s="451"/>
    </row>
    <row r="60" spans="1:18" x14ac:dyDescent="0.2">
      <c r="A60" s="466"/>
    </row>
    <row r="61" spans="1:18" x14ac:dyDescent="0.2">
      <c r="A61" s="474"/>
    </row>
    <row r="62" spans="1:18" s="65" customFormat="1" x14ac:dyDescent="0.2">
      <c r="A62" s="515"/>
    </row>
    <row r="63" spans="1:18" x14ac:dyDescent="0.2">
      <c r="A63" s="466"/>
    </row>
    <row r="64" spans="1:18" x14ac:dyDescent="0.2">
      <c r="A64" s="466"/>
    </row>
    <row r="65" spans="1:16" x14ac:dyDescent="0.2">
      <c r="A65" s="466"/>
    </row>
    <row r="66" spans="1:16" x14ac:dyDescent="0.2">
      <c r="A66" s="466"/>
    </row>
    <row r="67" spans="1:16" x14ac:dyDescent="0.2">
      <c r="A67" s="500"/>
    </row>
    <row r="68" spans="1:16" x14ac:dyDescent="0.2">
      <c r="A68" s="466"/>
    </row>
    <row r="69" spans="1:16" x14ac:dyDescent="0.2">
      <c r="A69" s="466"/>
      <c r="B69" s="452"/>
      <c r="F69" s="482"/>
      <c r="G69" s="482"/>
      <c r="H69" s="482"/>
      <c r="I69" s="477"/>
      <c r="J69" s="458"/>
      <c r="K69" s="458"/>
      <c r="L69" s="458"/>
      <c r="M69" s="477"/>
      <c r="N69" s="458"/>
      <c r="O69" s="458"/>
      <c r="P69" s="458"/>
    </row>
    <row r="70" spans="1:16" x14ac:dyDescent="0.2">
      <c r="A70" s="466"/>
      <c r="B70" s="453"/>
      <c r="F70" s="482"/>
      <c r="G70" s="482"/>
      <c r="H70" s="482"/>
      <c r="I70" s="477"/>
      <c r="J70" s="458"/>
      <c r="K70" s="458"/>
      <c r="L70" s="458"/>
      <c r="M70" s="477"/>
      <c r="N70" s="458"/>
      <c r="O70" s="458"/>
      <c r="P70" s="458"/>
    </row>
    <row r="71" spans="1:16" x14ac:dyDescent="0.2">
      <c r="A71" s="466"/>
      <c r="B71" s="454"/>
      <c r="F71" s="482"/>
      <c r="G71" s="482"/>
      <c r="H71" s="482"/>
      <c r="I71" s="477"/>
      <c r="J71" s="458"/>
      <c r="K71" s="458"/>
      <c r="L71" s="458"/>
      <c r="M71" s="477"/>
      <c r="N71" s="458"/>
      <c r="O71" s="458"/>
      <c r="P71" s="458"/>
    </row>
    <row r="72" spans="1:16" x14ac:dyDescent="0.2">
      <c r="A72" s="466"/>
      <c r="B72" s="455"/>
      <c r="F72" s="482"/>
      <c r="G72" s="482"/>
      <c r="H72" s="482"/>
      <c r="I72" s="477"/>
      <c r="J72" s="458"/>
      <c r="K72" s="458"/>
      <c r="L72" s="458"/>
      <c r="M72" s="477"/>
      <c r="N72" s="458"/>
      <c r="O72" s="458"/>
      <c r="P72" s="458"/>
    </row>
    <row r="73" spans="1:16" x14ac:dyDescent="0.2">
      <c r="A73" s="466"/>
      <c r="B73" s="455"/>
      <c r="F73" s="482"/>
      <c r="G73" s="482"/>
      <c r="H73" s="482"/>
      <c r="J73" s="458"/>
      <c r="K73" s="458"/>
      <c r="L73" s="458"/>
      <c r="N73" s="458"/>
      <c r="O73" s="458"/>
      <c r="P73" s="458"/>
    </row>
    <row r="74" spans="1:16" x14ac:dyDescent="0.2">
      <c r="A74" s="466"/>
      <c r="B74" s="455"/>
      <c r="F74" s="482"/>
      <c r="G74" s="482"/>
      <c r="H74" s="482"/>
      <c r="J74" s="458"/>
      <c r="K74" s="458"/>
      <c r="L74" s="458"/>
      <c r="N74" s="458"/>
      <c r="O74" s="458"/>
      <c r="P74" s="458"/>
    </row>
    <row r="75" spans="1:16" x14ac:dyDescent="0.2">
      <c r="A75" s="466"/>
      <c r="B75" s="452"/>
      <c r="F75" s="482"/>
      <c r="G75" s="482"/>
      <c r="H75" s="482"/>
      <c r="J75" s="458"/>
      <c r="K75" s="458"/>
      <c r="L75" s="458"/>
      <c r="N75" s="458"/>
      <c r="O75" s="458"/>
      <c r="P75" s="458"/>
    </row>
    <row r="76" spans="1:16" x14ac:dyDescent="0.2">
      <c r="A76" s="466"/>
      <c r="B76" s="452"/>
      <c r="F76" s="482"/>
      <c r="G76" s="482"/>
      <c r="H76" s="482"/>
      <c r="J76" s="458"/>
      <c r="K76" s="458"/>
      <c r="L76" s="458"/>
      <c r="N76" s="458"/>
      <c r="O76" s="458"/>
      <c r="P76" s="458"/>
    </row>
    <row r="77" spans="1:16" x14ac:dyDescent="0.2">
      <c r="A77" s="466"/>
      <c r="B77" s="452"/>
      <c r="F77" s="482"/>
      <c r="G77" s="482"/>
      <c r="H77" s="482"/>
      <c r="J77" s="458"/>
      <c r="K77" s="458"/>
      <c r="L77" s="458"/>
      <c r="N77" s="458"/>
      <c r="O77" s="458"/>
      <c r="P77" s="458"/>
    </row>
    <row r="78" spans="1:16" x14ac:dyDescent="0.2">
      <c r="A78" s="466"/>
      <c r="B78" s="453"/>
      <c r="F78" s="482"/>
      <c r="G78" s="482"/>
      <c r="H78" s="482"/>
      <c r="J78" s="458"/>
      <c r="K78" s="458"/>
      <c r="L78" s="458"/>
      <c r="N78" s="458"/>
      <c r="O78" s="458"/>
      <c r="P78" s="458"/>
    </row>
    <row r="79" spans="1:16" x14ac:dyDescent="0.2">
      <c r="A79" s="466"/>
      <c r="B79" s="453"/>
      <c r="F79" s="482"/>
      <c r="G79" s="482"/>
      <c r="H79" s="482"/>
      <c r="J79" s="458"/>
      <c r="K79" s="458"/>
      <c r="L79" s="458"/>
      <c r="N79" s="458"/>
      <c r="O79" s="458"/>
      <c r="P79" s="458"/>
    </row>
    <row r="80" spans="1:16" x14ac:dyDescent="0.2">
      <c r="A80" s="466"/>
      <c r="B80" s="452"/>
      <c r="F80" s="482"/>
      <c r="G80" s="482"/>
      <c r="H80" s="482"/>
      <c r="J80" s="458"/>
      <c r="K80" s="458"/>
      <c r="L80" s="458"/>
      <c r="N80" s="458"/>
      <c r="O80" s="458"/>
      <c r="P80" s="458"/>
    </row>
    <row r="81" spans="1:19" x14ac:dyDescent="0.2">
      <c r="A81" s="466"/>
      <c r="B81" s="452"/>
      <c r="F81" s="482"/>
      <c r="G81" s="482"/>
      <c r="H81" s="482"/>
      <c r="J81" s="458"/>
      <c r="K81" s="458"/>
      <c r="L81" s="458"/>
      <c r="N81" s="458"/>
      <c r="O81" s="458"/>
      <c r="P81" s="458"/>
    </row>
    <row r="82" spans="1:19" x14ac:dyDescent="0.2">
      <c r="A82" s="466"/>
      <c r="B82" s="452"/>
      <c r="F82" s="482"/>
      <c r="G82" s="482"/>
      <c r="H82" s="482"/>
      <c r="J82" s="458"/>
      <c r="K82" s="458"/>
      <c r="L82" s="458"/>
      <c r="N82" s="458"/>
      <c r="O82" s="458"/>
      <c r="P82" s="458"/>
    </row>
    <row r="83" spans="1:19" x14ac:dyDescent="0.2">
      <c r="A83" s="466"/>
      <c r="B83" s="453"/>
      <c r="F83" s="482"/>
      <c r="G83" s="482"/>
      <c r="H83" s="482"/>
      <c r="J83" s="458"/>
      <c r="K83" s="458"/>
      <c r="L83" s="458"/>
      <c r="N83" s="458"/>
      <c r="O83" s="458"/>
      <c r="P83" s="458"/>
    </row>
    <row r="84" spans="1:19" x14ac:dyDescent="0.2">
      <c r="A84" s="466"/>
      <c r="B84" s="453"/>
      <c r="F84" s="482"/>
      <c r="G84" s="482"/>
      <c r="H84" s="482"/>
      <c r="J84" s="458"/>
      <c r="K84" s="458"/>
      <c r="L84" s="458"/>
      <c r="N84" s="458"/>
      <c r="O84" s="458"/>
      <c r="P84" s="458"/>
    </row>
    <row r="85" spans="1:19" x14ac:dyDescent="0.2">
      <c r="A85" s="466"/>
      <c r="B85" s="454"/>
      <c r="F85" s="482"/>
      <c r="G85" s="482"/>
      <c r="H85" s="482"/>
      <c r="J85" s="458"/>
      <c r="K85" s="458"/>
      <c r="L85" s="458"/>
      <c r="N85" s="458"/>
      <c r="O85" s="458"/>
      <c r="P85" s="458"/>
    </row>
    <row r="86" spans="1:19" x14ac:dyDescent="0.2">
      <c r="A86" s="466"/>
      <c r="B86" s="454"/>
      <c r="F86" s="482"/>
      <c r="G86" s="482"/>
      <c r="H86" s="482"/>
      <c r="J86" s="458"/>
      <c r="K86" s="458"/>
      <c r="L86" s="458"/>
      <c r="N86" s="458"/>
      <c r="O86" s="458"/>
      <c r="P86" s="458"/>
    </row>
    <row r="87" spans="1:19" x14ac:dyDescent="0.2">
      <c r="A87" s="500"/>
      <c r="B87" s="452"/>
      <c r="F87" s="482"/>
      <c r="G87" s="482"/>
      <c r="H87" s="482"/>
      <c r="J87" s="458"/>
      <c r="K87" s="458"/>
      <c r="L87" s="458"/>
      <c r="N87" s="458"/>
      <c r="O87" s="458"/>
      <c r="P87" s="458"/>
    </row>
    <row r="88" spans="1:19" x14ac:dyDescent="0.2">
      <c r="A88" s="466"/>
      <c r="B88" s="452"/>
      <c r="F88" s="482"/>
      <c r="G88" s="482"/>
      <c r="H88" s="482"/>
      <c r="J88" s="458"/>
      <c r="K88" s="458"/>
      <c r="L88" s="458"/>
      <c r="N88" s="458"/>
      <c r="O88" s="458"/>
      <c r="P88" s="458"/>
    </row>
    <row r="89" spans="1:19" x14ac:dyDescent="0.2">
      <c r="A89" s="466"/>
    </row>
    <row r="90" spans="1:19" x14ac:dyDescent="0.2">
      <c r="A90" s="466"/>
    </row>
    <row r="91" spans="1:19" x14ac:dyDescent="0.2">
      <c r="A91" s="466"/>
    </row>
    <row r="92" spans="1:19" x14ac:dyDescent="0.2">
      <c r="A92" s="474"/>
    </row>
    <row r="93" spans="1:19" s="65" customFormat="1" x14ac:dyDescent="0.2"/>
    <row r="94" spans="1:19" x14ac:dyDescent="0.2">
      <c r="A94" s="466"/>
      <c r="S94" s="477"/>
    </row>
    <row r="95" spans="1:19" x14ac:dyDescent="0.2">
      <c r="A95" s="515"/>
      <c r="S95" s="477"/>
    </row>
    <row r="96" spans="1:19" x14ac:dyDescent="0.2">
      <c r="A96" s="65"/>
      <c r="S96" s="477"/>
    </row>
    <row r="97" spans="1:19" x14ac:dyDescent="0.2">
      <c r="A97" s="557"/>
      <c r="S97" s="477"/>
    </row>
    <row r="98" spans="1:19" x14ac:dyDescent="0.2">
      <c r="A98" s="558"/>
      <c r="S98" s="477"/>
    </row>
    <row r="99" spans="1:19" x14ac:dyDescent="0.2">
      <c r="A99" s="558"/>
      <c r="S99" s="477"/>
    </row>
    <row r="100" spans="1:19" x14ac:dyDescent="0.2">
      <c r="A100" s="558"/>
      <c r="S100" s="477"/>
    </row>
    <row r="101" spans="1:19" ht="12.75" customHeight="1" x14ac:dyDescent="0.2">
      <c r="A101" s="558"/>
      <c r="S101" s="477"/>
    </row>
    <row r="102" spans="1:19" x14ac:dyDescent="0.2">
      <c r="A102" s="558"/>
      <c r="S102" s="477"/>
    </row>
    <row r="103" spans="1:19" ht="12.75" customHeight="1" x14ac:dyDescent="0.2">
      <c r="A103" s="558"/>
      <c r="S103" s="477"/>
    </row>
    <row r="104" spans="1:19" x14ac:dyDescent="0.2">
      <c r="A104" s="558"/>
      <c r="S104" s="477"/>
    </row>
    <row r="105" spans="1:19" x14ac:dyDescent="0.2">
      <c r="A105" s="558"/>
      <c r="S105" s="477"/>
    </row>
    <row r="106" spans="1:19" x14ac:dyDescent="0.2">
      <c r="A106" s="558"/>
      <c r="S106" s="477"/>
    </row>
    <row r="107" spans="1:19" x14ac:dyDescent="0.2">
      <c r="A107" s="558"/>
      <c r="S107" s="477"/>
    </row>
    <row r="108" spans="1:19" x14ac:dyDescent="0.2">
      <c r="A108" s="558"/>
      <c r="S108" s="477"/>
    </row>
    <row r="109" spans="1:19" x14ac:dyDescent="0.2">
      <c r="A109" s="558"/>
    </row>
    <row r="110" spans="1:19" x14ac:dyDescent="0.2">
      <c r="A110" s="558"/>
    </row>
    <row r="111" spans="1:19" x14ac:dyDescent="0.2">
      <c r="A111" s="558"/>
    </row>
    <row r="112" spans="1:19" x14ac:dyDescent="0.2">
      <c r="A112" s="558"/>
    </row>
    <row r="113" spans="1:13" x14ac:dyDescent="0.2">
      <c r="A113" s="558"/>
    </row>
    <row r="114" spans="1:13" x14ac:dyDescent="0.2">
      <c r="A114" s="558"/>
    </row>
    <row r="115" spans="1:13" x14ac:dyDescent="0.2">
      <c r="A115" s="558"/>
    </row>
    <row r="116" spans="1:13" x14ac:dyDescent="0.2">
      <c r="A116" s="558"/>
      <c r="B116" s="452"/>
      <c r="C116" s="65"/>
      <c r="D116" s="65"/>
      <c r="E116" s="65"/>
      <c r="F116" s="65"/>
      <c r="G116" s="65"/>
      <c r="H116" s="65"/>
      <c r="I116" s="65"/>
      <c r="J116" s="561"/>
      <c r="K116" s="561"/>
      <c r="L116" s="451"/>
      <c r="M116" s="451"/>
    </row>
    <row r="117" spans="1:13" x14ac:dyDescent="0.2">
      <c r="A117" s="558"/>
      <c r="B117" s="452"/>
      <c r="C117" s="65"/>
      <c r="D117" s="65"/>
      <c r="E117" s="65"/>
      <c r="F117" s="65"/>
      <c r="G117" s="65"/>
      <c r="H117" s="65"/>
      <c r="I117" s="65"/>
      <c r="J117" s="561"/>
      <c r="K117" s="561"/>
      <c r="L117" s="451"/>
      <c r="M117" s="451"/>
    </row>
    <row r="118" spans="1:13" x14ac:dyDescent="0.2">
      <c r="A118" s="558"/>
      <c r="B118" s="65"/>
      <c r="C118" s="65"/>
      <c r="D118" s="65"/>
      <c r="E118" s="65"/>
      <c r="F118" s="65"/>
      <c r="G118" s="65"/>
      <c r="H118" s="65"/>
      <c r="I118" s="65"/>
      <c r="J118" s="451"/>
      <c r="K118" s="451"/>
      <c r="L118" s="451"/>
      <c r="M118" s="451"/>
    </row>
    <row r="119" spans="1:13" x14ac:dyDescent="0.2">
      <c r="A119" s="558"/>
      <c r="B119" s="520"/>
      <c r="C119" s="65"/>
      <c r="D119" s="65"/>
      <c r="E119" s="65"/>
      <c r="F119" s="65"/>
      <c r="G119" s="65"/>
      <c r="H119" s="65"/>
      <c r="I119" s="65"/>
      <c r="J119" s="561"/>
      <c r="K119" s="561"/>
      <c r="L119" s="451"/>
      <c r="M119" s="451"/>
    </row>
    <row r="120" spans="1:13" x14ac:dyDescent="0.2">
      <c r="A120" s="558"/>
      <c r="B120" s="452"/>
      <c r="C120" s="65"/>
      <c r="D120" s="65"/>
      <c r="E120" s="65"/>
      <c r="F120" s="65"/>
      <c r="G120" s="65"/>
      <c r="H120" s="65"/>
      <c r="I120" s="65"/>
      <c r="J120" s="561"/>
      <c r="K120" s="561"/>
      <c r="L120" s="451"/>
      <c r="M120" s="451"/>
    </row>
    <row r="121" spans="1:13" x14ac:dyDescent="0.2">
      <c r="A121" s="558"/>
      <c r="B121" s="452"/>
      <c r="C121" s="65"/>
      <c r="D121" s="65"/>
      <c r="E121" s="65"/>
      <c r="F121" s="65"/>
      <c r="G121" s="65"/>
      <c r="H121" s="65"/>
      <c r="I121" s="65"/>
      <c r="J121" s="561"/>
      <c r="K121" s="561"/>
      <c r="L121" s="451"/>
      <c r="M121" s="451"/>
    </row>
    <row r="122" spans="1:13" x14ac:dyDescent="0.2">
      <c r="A122" s="558"/>
      <c r="B122" s="452"/>
      <c r="C122" s="65"/>
      <c r="D122" s="65"/>
      <c r="E122" s="65"/>
      <c r="F122" s="65"/>
      <c r="G122" s="65"/>
      <c r="H122" s="65"/>
      <c r="I122" s="65"/>
      <c r="J122" s="561"/>
      <c r="K122" s="561"/>
      <c r="L122" s="451"/>
      <c r="M122" s="451"/>
    </row>
    <row r="123" spans="1:13" x14ac:dyDescent="0.2">
      <c r="A123" s="558"/>
      <c r="B123" s="65"/>
      <c r="C123" s="65"/>
      <c r="D123" s="65"/>
      <c r="E123" s="65"/>
      <c r="F123" s="65"/>
      <c r="G123" s="65"/>
      <c r="H123" s="65"/>
      <c r="I123" s="65"/>
      <c r="J123" s="451"/>
      <c r="K123" s="451"/>
      <c r="L123" s="451"/>
      <c r="M123" s="451"/>
    </row>
    <row r="124" spans="1:13" x14ac:dyDescent="0.2">
      <c r="A124" s="527"/>
      <c r="B124" s="520"/>
      <c r="C124" s="65"/>
      <c r="D124" s="65"/>
      <c r="E124" s="65"/>
      <c r="F124" s="65"/>
      <c r="G124" s="65"/>
      <c r="H124" s="65"/>
      <c r="I124" s="65"/>
      <c r="J124" s="561"/>
      <c r="K124" s="561"/>
      <c r="L124" s="451"/>
      <c r="M124" s="451"/>
    </row>
    <row r="125" spans="1:13" x14ac:dyDescent="0.2">
      <c r="A125" s="65"/>
      <c r="B125" s="452"/>
      <c r="C125" s="65"/>
      <c r="D125" s="65"/>
      <c r="E125" s="65"/>
      <c r="F125" s="65"/>
      <c r="G125" s="65"/>
      <c r="H125" s="65"/>
      <c r="I125" s="65"/>
      <c r="J125" s="561"/>
      <c r="K125" s="561"/>
      <c r="L125" s="451"/>
      <c r="M125" s="451"/>
    </row>
    <row r="126" spans="1:13" x14ac:dyDescent="0.2">
      <c r="A126" s="65"/>
      <c r="B126" s="452"/>
      <c r="C126" s="65"/>
      <c r="D126" s="65"/>
      <c r="E126" s="65"/>
      <c r="F126" s="65"/>
      <c r="G126" s="65"/>
      <c r="H126" s="65"/>
      <c r="I126" s="65"/>
      <c r="J126" s="561"/>
      <c r="K126" s="561"/>
      <c r="L126" s="451"/>
      <c r="M126" s="451"/>
    </row>
    <row r="127" spans="1:13" x14ac:dyDescent="0.2">
      <c r="A127" s="65"/>
      <c r="B127" s="452"/>
      <c r="C127" s="65"/>
      <c r="D127" s="65"/>
      <c r="E127" s="65"/>
      <c r="F127" s="65"/>
      <c r="G127" s="65"/>
      <c r="H127" s="65"/>
      <c r="I127" s="65"/>
      <c r="J127" s="561"/>
      <c r="K127" s="561"/>
      <c r="L127" s="451"/>
      <c r="M127" s="451"/>
    </row>
    <row r="128" spans="1:13" x14ac:dyDescent="0.2">
      <c r="A128" s="65"/>
      <c r="B128" s="520"/>
      <c r="C128" s="65"/>
      <c r="D128" s="65"/>
      <c r="E128" s="65"/>
      <c r="F128" s="65"/>
      <c r="G128" s="65"/>
      <c r="H128" s="65"/>
      <c r="I128" s="65"/>
      <c r="J128" s="461"/>
      <c r="K128" s="563"/>
      <c r="L128" s="451"/>
      <c r="M128" s="451"/>
    </row>
    <row r="129" spans="1:13" x14ac:dyDescent="0.2">
      <c r="A129" s="65"/>
      <c r="B129" s="452"/>
      <c r="C129" s="65"/>
      <c r="D129" s="65"/>
      <c r="E129" s="65"/>
      <c r="F129" s="65"/>
      <c r="G129" s="65"/>
      <c r="H129" s="65"/>
      <c r="I129" s="65"/>
      <c r="J129" s="451"/>
      <c r="K129" s="451"/>
      <c r="L129" s="451"/>
      <c r="M129" s="451"/>
    </row>
    <row r="130" spans="1:13" x14ac:dyDescent="0.2">
      <c r="A130" s="65"/>
      <c r="B130" s="65"/>
      <c r="C130" s="65"/>
      <c r="D130" s="65"/>
      <c r="E130" s="65"/>
      <c r="F130" s="65"/>
      <c r="G130" s="65"/>
      <c r="H130" s="65"/>
      <c r="I130" s="65"/>
      <c r="J130" s="451"/>
      <c r="K130" s="451"/>
      <c r="L130" s="451"/>
      <c r="M130" s="451"/>
    </row>
    <row r="131" spans="1:13" x14ac:dyDescent="0.2">
      <c r="A131" s="65"/>
      <c r="B131" s="65"/>
      <c r="C131" s="65"/>
      <c r="D131" s="65"/>
      <c r="E131" s="65"/>
      <c r="F131" s="65"/>
      <c r="G131" s="65"/>
      <c r="H131" s="65"/>
      <c r="I131" s="65"/>
      <c r="J131" s="451"/>
      <c r="K131" s="451"/>
      <c r="L131" s="451"/>
      <c r="M131" s="451"/>
    </row>
    <row r="132" spans="1:13" x14ac:dyDescent="0.2">
      <c r="A132" s="65"/>
      <c r="B132" s="65"/>
      <c r="C132" s="65"/>
      <c r="D132" s="65"/>
      <c r="E132" s="65"/>
      <c r="F132" s="65"/>
      <c r="G132" s="65"/>
      <c r="H132" s="65"/>
      <c r="I132" s="65"/>
      <c r="J132" s="451"/>
      <c r="K132" s="451"/>
      <c r="L132" s="451"/>
      <c r="M132" s="451"/>
    </row>
  </sheetData>
  <mergeCells count="6">
    <mergeCell ref="D3:E3"/>
    <mergeCell ref="G3:H3"/>
    <mergeCell ref="D4:E4"/>
    <mergeCell ref="G4:H4"/>
    <mergeCell ref="J3:K3"/>
    <mergeCell ref="J4:K4"/>
  </mergeCells>
  <phoneticPr fontId="8" type="noConversion"/>
  <dataValidations count="1">
    <dataValidation type="decimal" allowBlank="1" showInputMessage="1" showErrorMessage="1" errorTitle="Valid data range is 0 - 1" error="Alpha and Beta are factors in the range 0 - 1 only." sqref="J124:K127 J53:K56 J119:K122 J49:K50 L49:R49 J58:K59 J116:K117" xr:uid="{00000000-0002-0000-0700-000000000000}">
      <formula1>0</formula1>
      <formula2>1</formula2>
    </dataValidation>
  </dataValidations>
  <pageMargins left="0.75" right="0.75" top="1" bottom="1" header="0.5" footer="0.5"/>
  <pageSetup orientation="portrait" horizontalDpi="200" verticalDpi="2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8">
    <tabColor rgb="FFFFCC99"/>
    <pageSetUpPr fitToPage="1"/>
  </sheetPr>
  <dimension ref="A1:AC92"/>
  <sheetViews>
    <sheetView topLeftCell="M17" workbookViewId="0">
      <selection activeCell="R37" sqref="R37:S48"/>
    </sheetView>
  </sheetViews>
  <sheetFormatPr defaultColWidth="8" defaultRowHeight="12.75" x14ac:dyDescent="0.2"/>
  <cols>
    <col min="1" max="1" width="11" style="1" customWidth="1"/>
    <col min="2" max="2" width="6.625" style="1" customWidth="1"/>
    <col min="3" max="3" width="19.375" style="1" bestFit="1" customWidth="1"/>
    <col min="4" max="11" width="9.625" style="1" customWidth="1"/>
    <col min="12" max="12" width="10.25" style="1" customWidth="1"/>
    <col min="13" max="13" width="9.625" style="1" customWidth="1"/>
    <col min="14" max="14" width="12.375" style="1" customWidth="1"/>
    <col min="15" max="15" width="9.875" style="1" customWidth="1"/>
    <col min="16" max="16" width="10.125" style="1" customWidth="1"/>
    <col min="17" max="17" width="12" style="1" customWidth="1"/>
    <col min="18" max="18" width="11.125" style="1" customWidth="1"/>
    <col min="19" max="20" width="12.375" style="1" customWidth="1"/>
    <col min="21" max="21" width="13" style="1" customWidth="1"/>
    <col min="22" max="22" width="8" style="1"/>
    <col min="23" max="23" width="10.375" style="1" customWidth="1"/>
    <col min="24" max="24" width="12.625" style="1" bestFit="1" customWidth="1"/>
    <col min="25" max="25" width="12" style="1" customWidth="1"/>
    <col min="26" max="27" width="12.375" style="1" customWidth="1"/>
    <col min="28" max="28" width="13" style="1" customWidth="1"/>
    <col min="29" max="30" width="8" style="1"/>
    <col min="31" max="31" width="13.875" style="1" customWidth="1"/>
    <col min="32" max="32" width="10.625" style="1" bestFit="1" customWidth="1"/>
    <col min="33" max="33" width="11.125" style="1" customWidth="1"/>
    <col min="34" max="34" width="16" style="1" customWidth="1"/>
    <col min="35" max="35" width="8.625" style="1" customWidth="1"/>
    <col min="36" max="36" width="9" style="1" customWidth="1"/>
    <col min="37" max="37" width="8" style="1"/>
    <col min="38" max="38" width="13.75" style="1" customWidth="1"/>
    <col min="39" max="39" width="14.625" style="1" customWidth="1"/>
    <col min="40" max="40" width="8" style="1"/>
    <col min="41" max="41" width="12.375" style="1" customWidth="1"/>
    <col min="42" max="42" width="14.125" style="1" customWidth="1"/>
    <col min="43" max="43" width="14.625" style="1" customWidth="1"/>
    <col min="44" max="44" width="8" style="1"/>
    <col min="45" max="45" width="23" style="1" customWidth="1"/>
    <col min="46" max="46" width="14" style="1" customWidth="1"/>
    <col min="47" max="47" width="8" style="1"/>
    <col min="48" max="48" width="12.25" style="1" bestFit="1" customWidth="1"/>
    <col min="49" max="49" width="12.875" style="1" customWidth="1"/>
    <col min="50" max="50" width="13.875" style="1" customWidth="1"/>
    <col min="51" max="16384" width="8" style="1"/>
  </cols>
  <sheetData>
    <row r="1" spans="1:29" ht="13.5" thickBot="1" x14ac:dyDescent="0.25">
      <c r="A1" s="67" t="s">
        <v>29</v>
      </c>
      <c r="C1" s="121"/>
      <c r="O1" s="3"/>
      <c r="P1" s="3"/>
      <c r="Q1" s="3"/>
      <c r="R1" s="3"/>
      <c r="S1" s="3"/>
    </row>
    <row r="2" spans="1:29" x14ac:dyDescent="0.2">
      <c r="A2" s="66" t="s">
        <v>113</v>
      </c>
      <c r="B2" s="14"/>
      <c r="C2" s="14"/>
      <c r="D2" s="14"/>
      <c r="E2" s="15"/>
      <c r="F2" s="179" t="s">
        <v>199</v>
      </c>
      <c r="G2" s="15"/>
      <c r="H2" s="14" t="s">
        <v>862</v>
      </c>
      <c r="I2" s="14"/>
      <c r="J2" s="15"/>
      <c r="K2" s="14" t="s">
        <v>120</v>
      </c>
      <c r="L2" s="14"/>
      <c r="M2" s="15"/>
      <c r="O2" s="4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</row>
    <row r="3" spans="1:29" ht="13.5" thickBot="1" x14ac:dyDescent="0.25">
      <c r="A3" s="112">
        <f>IF('Data Input'!H4="ICEV-G",0,IF('Data Input'!H4="HEV",2,IF('Data Input'!H4="FCV",3,IF('Data Input'!H4="ICEV-D",1,IF('Data Input'!H4="BEV",6,IF('Data Input'!H4="PHEV20",4,IF('Data Input'!H4="PHEV40",5)))))))</f>
        <v>0</v>
      </c>
      <c r="B3" s="113"/>
      <c r="C3" s="113"/>
      <c r="D3" s="113"/>
      <c r="E3" s="114"/>
      <c r="F3" s="112">
        <f>IF('Data Input'!H9="yes",1,0)</f>
        <v>1</v>
      </c>
      <c r="G3" s="114"/>
      <c r="H3" s="117">
        <f>IF('Data Input'!H8="Hyzem",0,IF('Data Input'!H8="NEDC",1,IF('Data Input'!H8="US Combined",2,3)))</f>
        <v>3</v>
      </c>
      <c r="I3" s="177"/>
      <c r="J3" s="178"/>
      <c r="K3" s="117">
        <f>IF(OR('Data Input'!H6="Compact",'Data Input'!H6="FSV A-Class"),0,IF('Data Input'!H6="SUV",2,IF(OR('Data Input'!H6="Mid-Size",'Data Input'!H6="FSV C-Class"),1,"")))</f>
        <v>0</v>
      </c>
      <c r="L3" s="113"/>
      <c r="M3" s="114"/>
      <c r="O3" s="5"/>
      <c r="P3" s="5"/>
      <c r="Q3" s="3"/>
      <c r="R3" s="5"/>
      <c r="S3" s="3"/>
      <c r="T3" s="3"/>
      <c r="U3" s="3"/>
      <c r="V3" s="13"/>
      <c r="W3" s="3"/>
      <c r="X3" s="3"/>
      <c r="Y3" s="3"/>
      <c r="Z3" s="86"/>
      <c r="AA3" s="19"/>
      <c r="AB3" s="3"/>
      <c r="AC3" s="3"/>
    </row>
    <row r="4" spans="1:29" ht="13.5" customHeight="1" x14ac:dyDescent="0.2">
      <c r="S4" s="3"/>
      <c r="T4" s="3"/>
      <c r="U4" s="3"/>
      <c r="V4" s="3"/>
      <c r="W4" s="13"/>
      <c r="X4" s="3"/>
      <c r="Y4" s="13"/>
      <c r="Z4" s="3"/>
      <c r="AA4" s="8"/>
      <c r="AB4" s="13"/>
      <c r="AC4" s="3"/>
    </row>
    <row r="5" spans="1:29" ht="15" thickBot="1" x14ac:dyDescent="0.3">
      <c r="D5" s="2" t="s">
        <v>333</v>
      </c>
      <c r="E5" s="3"/>
      <c r="F5" s="3"/>
      <c r="G5" s="3"/>
      <c r="H5" s="13"/>
      <c r="I5" s="13"/>
      <c r="J5" s="13"/>
      <c r="K5" s="154" t="s">
        <v>175</v>
      </c>
      <c r="L5" s="154"/>
      <c r="M5" s="154"/>
      <c r="Q5" s="3"/>
      <c r="R5" s="8"/>
      <c r="S5" s="8"/>
      <c r="T5" s="8"/>
      <c r="U5" s="8"/>
      <c r="V5" s="8"/>
      <c r="W5" s="8"/>
      <c r="X5" s="8"/>
      <c r="Y5" s="16"/>
      <c r="Z5" s="16"/>
      <c r="AA5" s="16"/>
      <c r="AB5" s="16"/>
      <c r="AC5" s="3"/>
    </row>
    <row r="6" spans="1:29" ht="13.5" thickBot="1" x14ac:dyDescent="0.25">
      <c r="A6" s="121" t="s">
        <v>144</v>
      </c>
      <c r="C6" s="153"/>
      <c r="D6" s="68" t="s">
        <v>16</v>
      </c>
      <c r="E6" s="92" t="s">
        <v>53</v>
      </c>
      <c r="F6" s="14" t="s">
        <v>17</v>
      </c>
      <c r="G6" s="14" t="s">
        <v>86</v>
      </c>
      <c r="H6" s="157" t="s">
        <v>19</v>
      </c>
      <c r="I6" s="158" t="s">
        <v>28</v>
      </c>
      <c r="J6" s="159" t="s">
        <v>40</v>
      </c>
      <c r="K6" s="157" t="s">
        <v>19</v>
      </c>
      <c r="L6" s="158" t="s">
        <v>28</v>
      </c>
      <c r="M6" s="159" t="s">
        <v>40</v>
      </c>
      <c r="N6" s="155"/>
      <c r="Q6" s="3"/>
      <c r="R6" s="8"/>
      <c r="S6" s="8"/>
      <c r="T6" s="8"/>
      <c r="U6" s="8"/>
      <c r="V6" s="8"/>
      <c r="W6" s="8"/>
      <c r="X6" s="8"/>
      <c r="Y6" s="16"/>
      <c r="Z6" s="16"/>
      <c r="AA6" s="16"/>
      <c r="AB6" s="16"/>
      <c r="AC6" s="3"/>
    </row>
    <row r="7" spans="1:29" ht="15.75" x14ac:dyDescent="0.3">
      <c r="A7" s="110" t="s">
        <v>147</v>
      </c>
      <c r="B7" s="173">
        <f ca="1">INDIRECT(ADDRESS(7+K3+3*H3,4+A3))</f>
        <v>167.5986801418841</v>
      </c>
      <c r="C7" s="152" t="s">
        <v>186</v>
      </c>
      <c r="D7" s="130">
        <v>184.75018780832232</v>
      </c>
      <c r="E7" s="131">
        <v>171.1163523345611</v>
      </c>
      <c r="F7" s="131">
        <v>169.86568592132028</v>
      </c>
      <c r="G7" s="131">
        <v>104.30821132434126</v>
      </c>
      <c r="H7" s="988">
        <v>182.64225783184582</v>
      </c>
      <c r="I7" s="984">
        <v>191.66356678886112</v>
      </c>
      <c r="J7" s="989">
        <v>0</v>
      </c>
      <c r="K7" s="988">
        <v>58.62101982869256</v>
      </c>
      <c r="L7" s="984">
        <v>61.754825790870413</v>
      </c>
      <c r="M7" s="989">
        <v>58.73</v>
      </c>
      <c r="N7" s="156" t="s">
        <v>190</v>
      </c>
      <c r="Q7" s="7"/>
      <c r="R7" s="8"/>
      <c r="S7" s="8"/>
      <c r="T7" s="8"/>
      <c r="U7" s="8"/>
      <c r="V7" s="8"/>
      <c r="W7" s="8"/>
      <c r="X7" s="8"/>
      <c r="Y7" s="16"/>
      <c r="Z7" s="16"/>
      <c r="AA7" s="16"/>
      <c r="AB7" s="16"/>
      <c r="AC7" s="3"/>
    </row>
    <row r="8" spans="1:29" ht="16.5" thickBot="1" x14ac:dyDescent="0.35">
      <c r="A8" s="111" t="s">
        <v>148</v>
      </c>
      <c r="B8" s="174" t="str">
        <f ca="1">IF(OR('Data Input'!H4="BEV",'Data Input'!H4="PHEV20",'Data Input'!H4="PHEV40"),INDIRECT(ADDRESS(7+K3+3*H3,7+A3)),"0")</f>
        <v>0</v>
      </c>
      <c r="C8" s="152" t="s">
        <v>187</v>
      </c>
      <c r="D8" s="132">
        <v>223.67417214785442</v>
      </c>
      <c r="E8" s="133">
        <v>193.43636493603148</v>
      </c>
      <c r="F8" s="133">
        <v>210.14139588417535</v>
      </c>
      <c r="G8" s="133">
        <v>103.64428316724482</v>
      </c>
      <c r="H8" s="988">
        <v>214.87996852931624</v>
      </c>
      <c r="I8" s="984">
        <v>222.5195697173632</v>
      </c>
      <c r="J8" s="989">
        <v>0</v>
      </c>
      <c r="K8" s="988">
        <v>69.411956271524176</v>
      </c>
      <c r="L8" s="984">
        <v>71.695984977491918</v>
      </c>
      <c r="M8" s="989">
        <v>68.95</v>
      </c>
      <c r="N8" s="156" t="s">
        <v>193</v>
      </c>
      <c r="Q8" s="7"/>
      <c r="R8" s="8"/>
      <c r="S8" s="8"/>
      <c r="T8" s="8"/>
      <c r="U8" s="8"/>
      <c r="V8" s="8"/>
      <c r="W8" s="8"/>
      <c r="X8" s="8"/>
      <c r="Y8" s="16"/>
      <c r="Z8" s="16"/>
      <c r="AA8" s="16"/>
      <c r="AB8" s="16"/>
      <c r="AC8" s="3"/>
    </row>
    <row r="9" spans="1:29" ht="13.5" thickBot="1" x14ac:dyDescent="0.25">
      <c r="B9" s="102"/>
      <c r="C9" s="105" t="s">
        <v>116</v>
      </c>
      <c r="D9" s="134">
        <v>331.92487821809618</v>
      </c>
      <c r="E9" s="135">
        <v>274.87058892036708</v>
      </c>
      <c r="F9" s="135">
        <v>323.29576098049182</v>
      </c>
      <c r="G9" s="135">
        <v>150.67482579166949</v>
      </c>
      <c r="H9" s="988" t="s">
        <v>90</v>
      </c>
      <c r="I9" s="984" t="s">
        <v>90</v>
      </c>
      <c r="J9" s="989" t="s">
        <v>90</v>
      </c>
      <c r="K9" s="988" t="s">
        <v>90</v>
      </c>
      <c r="L9" s="984" t="s">
        <v>90</v>
      </c>
      <c r="M9" s="989" t="s">
        <v>90</v>
      </c>
      <c r="N9" s="156"/>
      <c r="Q9" s="7"/>
      <c r="R9" s="8"/>
      <c r="S9" s="8"/>
      <c r="T9" s="8"/>
      <c r="U9" s="8"/>
      <c r="V9" s="8"/>
      <c r="W9" s="8"/>
      <c r="X9" s="8"/>
      <c r="Y9" s="16"/>
      <c r="Z9" s="16"/>
      <c r="AA9" s="16"/>
      <c r="AB9" s="16"/>
      <c r="AC9" s="3"/>
    </row>
    <row r="10" spans="1:29" x14ac:dyDescent="0.2">
      <c r="B10" s="102"/>
      <c r="C10" s="152" t="s">
        <v>188</v>
      </c>
      <c r="D10" s="130">
        <v>163.53296711907504</v>
      </c>
      <c r="E10" s="131">
        <v>161.56162291248287</v>
      </c>
      <c r="F10" s="131">
        <v>122.33334166018507</v>
      </c>
      <c r="G10" s="131">
        <v>79.250712631134135</v>
      </c>
      <c r="H10" s="990">
        <v>116.93989084175467</v>
      </c>
      <c r="I10" s="991">
        <v>125.58806053939482</v>
      </c>
      <c r="J10" s="992">
        <v>0</v>
      </c>
      <c r="K10" s="990">
        <v>38.052662454224617</v>
      </c>
      <c r="L10" s="991">
        <v>40.782736309520594</v>
      </c>
      <c r="M10" s="992">
        <v>37.74</v>
      </c>
      <c r="N10" s="156" t="s">
        <v>191</v>
      </c>
      <c r="Q10" s="7"/>
      <c r="R10" s="8"/>
      <c r="S10" s="8"/>
      <c r="T10" s="8"/>
      <c r="U10" s="8"/>
      <c r="V10" s="8"/>
      <c r="W10" s="8"/>
      <c r="X10" s="8"/>
      <c r="Y10" s="16"/>
      <c r="Z10" s="16"/>
      <c r="AA10" s="16"/>
      <c r="AB10" s="16"/>
      <c r="AC10" s="3"/>
    </row>
    <row r="11" spans="1:29" x14ac:dyDescent="0.2">
      <c r="A11" s="9"/>
      <c r="B11" s="118"/>
      <c r="C11" s="152" t="s">
        <v>189</v>
      </c>
      <c r="D11" s="132">
        <v>233.97296034984456</v>
      </c>
      <c r="E11" s="133">
        <v>194.75519424072715</v>
      </c>
      <c r="F11" s="133">
        <v>160.92807546397228</v>
      </c>
      <c r="G11" s="133">
        <v>88.940947822863293</v>
      </c>
      <c r="H11" s="988">
        <v>142.45390860893272</v>
      </c>
      <c r="I11" s="984">
        <v>150.30898781448533</v>
      </c>
      <c r="J11" s="989">
        <v>0</v>
      </c>
      <c r="K11" s="988">
        <v>46.353968525258864</v>
      </c>
      <c r="L11" s="984">
        <v>48.807232237255171</v>
      </c>
      <c r="M11" s="989">
        <v>45.92</v>
      </c>
      <c r="N11" s="156" t="s">
        <v>194</v>
      </c>
      <c r="Q11" s="7"/>
      <c r="R11" s="8"/>
      <c r="S11" s="8"/>
      <c r="T11" s="8"/>
      <c r="U11" s="8"/>
      <c r="V11" s="8"/>
      <c r="W11" s="8"/>
      <c r="X11" s="8"/>
      <c r="Y11" s="16"/>
      <c r="Z11" s="16"/>
      <c r="AA11" s="16"/>
      <c r="AB11" s="16"/>
      <c r="AC11" s="3"/>
    </row>
    <row r="12" spans="1:29" ht="13.5" thickBot="1" x14ac:dyDescent="0.25">
      <c r="A12" s="732"/>
      <c r="B12" s="733"/>
      <c r="C12" s="105" t="s">
        <v>119</v>
      </c>
      <c r="D12" s="134">
        <v>324.9913513562675</v>
      </c>
      <c r="E12" s="135">
        <v>263.53118164319028</v>
      </c>
      <c r="F12" s="135">
        <v>251.35139530069691</v>
      </c>
      <c r="G12" s="135">
        <v>120.65631438890571</v>
      </c>
      <c r="H12" s="985" t="s">
        <v>90</v>
      </c>
      <c r="I12" s="986" t="s">
        <v>90</v>
      </c>
      <c r="J12" s="987" t="s">
        <v>90</v>
      </c>
      <c r="K12" s="985" t="s">
        <v>90</v>
      </c>
      <c r="L12" s="986" t="s">
        <v>90</v>
      </c>
      <c r="M12" s="987" t="s">
        <v>90</v>
      </c>
      <c r="N12" s="156"/>
      <c r="Q12" s="7"/>
      <c r="R12" s="8"/>
      <c r="S12" s="8"/>
      <c r="T12" s="8"/>
      <c r="U12" s="8"/>
      <c r="V12" s="8"/>
      <c r="W12" s="8"/>
      <c r="X12" s="8"/>
      <c r="Y12" s="16"/>
      <c r="Z12" s="16"/>
      <c r="AA12" s="16"/>
      <c r="AB12" s="16"/>
      <c r="AC12" s="3"/>
    </row>
    <row r="13" spans="1:29" x14ac:dyDescent="0.2">
      <c r="A13" s="127"/>
      <c r="B13" s="128"/>
      <c r="C13" s="152" t="s">
        <v>856</v>
      </c>
      <c r="D13" s="130">
        <v>148.61417190119533</v>
      </c>
      <c r="E13" s="131">
        <v>141.863825820448</v>
      </c>
      <c r="F13" s="131">
        <v>121.19662356930971</v>
      </c>
      <c r="G13" s="131">
        <v>71.264207079537741</v>
      </c>
      <c r="H13" s="988">
        <v>107.9879984201301</v>
      </c>
      <c r="I13" s="984">
        <v>115.64815265591349</v>
      </c>
      <c r="J13" s="989">
        <v>0</v>
      </c>
      <c r="K13" s="988">
        <v>35.156049876521394</v>
      </c>
      <c r="L13" s="984">
        <v>37.568804403064348</v>
      </c>
      <c r="M13" s="989">
        <v>34.78</v>
      </c>
      <c r="N13" s="156" t="s">
        <v>192</v>
      </c>
      <c r="Q13" s="7"/>
      <c r="R13" s="8"/>
      <c r="S13" s="8"/>
      <c r="T13" s="8"/>
      <c r="U13" s="8"/>
      <c r="V13" s="8"/>
      <c r="W13" s="8"/>
      <c r="X13" s="8"/>
      <c r="Y13" s="16"/>
      <c r="Z13" s="16"/>
      <c r="AA13" s="16"/>
      <c r="AB13" s="16"/>
      <c r="AC13" s="3"/>
    </row>
    <row r="14" spans="1:29" x14ac:dyDescent="0.2">
      <c r="A14" s="127"/>
      <c r="B14" s="128"/>
      <c r="C14" s="152" t="s">
        <v>857</v>
      </c>
      <c r="D14" s="132">
        <v>198.23899228330407</v>
      </c>
      <c r="E14" s="133">
        <v>169.14124347603794</v>
      </c>
      <c r="F14" s="133">
        <v>163.39370568934436</v>
      </c>
      <c r="G14" s="133">
        <v>79.453230891456741</v>
      </c>
      <c r="H14" s="988">
        <v>132.80413404135481</v>
      </c>
      <c r="I14" s="984">
        <v>139.78121111709672</v>
      </c>
      <c r="J14" s="989">
        <v>0</v>
      </c>
      <c r="K14" s="988">
        <v>43.234633087917473</v>
      </c>
      <c r="L14" s="984">
        <v>45.408784342536265</v>
      </c>
      <c r="M14" s="989">
        <v>42.83</v>
      </c>
      <c r="N14" s="156" t="s">
        <v>195</v>
      </c>
      <c r="Q14" s="7"/>
      <c r="R14" s="8"/>
      <c r="S14" s="8"/>
      <c r="T14" s="8"/>
      <c r="U14" s="118"/>
      <c r="V14" s="118"/>
      <c r="W14" s="118"/>
      <c r="X14" s="118"/>
      <c r="Y14" s="9"/>
      <c r="Z14" s="3"/>
      <c r="AA14" s="3"/>
      <c r="AB14" s="3"/>
      <c r="AC14" s="3"/>
    </row>
    <row r="15" spans="1:29" s="106" customFormat="1" ht="16.5" customHeight="1" thickBot="1" x14ac:dyDescent="0.25">
      <c r="A15" s="127"/>
      <c r="B15" s="128"/>
      <c r="C15" s="105" t="s">
        <v>858</v>
      </c>
      <c r="D15" s="134">
        <v>285.11353050073473</v>
      </c>
      <c r="E15" s="135">
        <v>231.23113190463445</v>
      </c>
      <c r="F15" s="135">
        <v>247.92107872486002</v>
      </c>
      <c r="G15" s="135">
        <v>109.26922577180083</v>
      </c>
      <c r="H15" s="985" t="s">
        <v>90</v>
      </c>
      <c r="I15" s="986" t="s">
        <v>90</v>
      </c>
      <c r="J15" s="987" t="s">
        <v>90</v>
      </c>
      <c r="K15" s="985" t="s">
        <v>90</v>
      </c>
      <c r="L15" s="986" t="s">
        <v>90</v>
      </c>
      <c r="M15" s="987" t="s">
        <v>90</v>
      </c>
      <c r="N15" s="156"/>
      <c r="Q15" s="107"/>
      <c r="R15" s="107"/>
      <c r="S15" s="107"/>
      <c r="U15" s="119"/>
      <c r="V15" s="119"/>
      <c r="W15" s="119"/>
      <c r="X15" s="119"/>
      <c r="Y15" s="119"/>
      <c r="Z15" s="107"/>
      <c r="AA15" s="107"/>
      <c r="AB15" s="107"/>
      <c r="AC15" s="107"/>
    </row>
    <row r="16" spans="1:29" s="106" customFormat="1" ht="16.5" customHeight="1" x14ac:dyDescent="0.2">
      <c r="A16" s="127"/>
      <c r="B16" s="128"/>
      <c r="C16" s="105" t="s">
        <v>480</v>
      </c>
      <c r="D16" s="130">
        <v>167.5986801418841</v>
      </c>
      <c r="E16" s="864">
        <v>143.66152579661517</v>
      </c>
      <c r="F16" s="133"/>
      <c r="G16" s="133"/>
      <c r="H16" s="990">
        <v>142.39702293233685</v>
      </c>
      <c r="I16" s="991">
        <v>149.80230684168765</v>
      </c>
      <c r="J16" s="989">
        <v>0</v>
      </c>
      <c r="K16" s="990">
        <v>46.615973263693306</v>
      </c>
      <c r="L16" s="991">
        <v>48.744574460272808</v>
      </c>
      <c r="M16" s="992">
        <v>45.612690513223001</v>
      </c>
      <c r="N16" s="1029" t="s">
        <v>765</v>
      </c>
      <c r="Q16" s="107"/>
      <c r="R16" s="107"/>
      <c r="S16" s="107"/>
      <c r="U16" s="119"/>
      <c r="V16" s="119"/>
      <c r="W16" s="119"/>
      <c r="X16" s="119"/>
      <c r="Y16" s="119"/>
      <c r="Z16" s="107"/>
      <c r="AA16" s="107"/>
      <c r="AB16" s="107"/>
      <c r="AC16" s="107"/>
    </row>
    <row r="17" spans="1:29" s="106" customFormat="1" ht="16.5" customHeight="1" x14ac:dyDescent="0.2">
      <c r="A17" s="127"/>
      <c r="B17" s="128"/>
      <c r="C17" s="105" t="s">
        <v>481</v>
      </c>
      <c r="D17" s="132">
        <v>220.27481286302435</v>
      </c>
      <c r="E17" s="865">
        <v>169.07325730397551</v>
      </c>
      <c r="F17" s="133"/>
      <c r="G17" s="133"/>
      <c r="H17" s="988">
        <v>170.3416435666937</v>
      </c>
      <c r="I17" s="984">
        <v>177.05748089479792</v>
      </c>
      <c r="J17" s="989">
        <v>0</v>
      </c>
      <c r="K17" s="988">
        <v>55.76384088881457</v>
      </c>
      <c r="L17" s="984">
        <v>57.614598300706731</v>
      </c>
      <c r="M17" s="989">
        <v>54.495050899936579</v>
      </c>
      <c r="N17" s="1029" t="s">
        <v>766</v>
      </c>
      <c r="Q17" s="107"/>
      <c r="R17" s="107"/>
      <c r="S17" s="107"/>
      <c r="U17" s="119"/>
      <c r="V17" s="119"/>
      <c r="W17" s="119"/>
      <c r="X17" s="119"/>
      <c r="Y17" s="119"/>
      <c r="Z17" s="107"/>
      <c r="AA17" s="107"/>
      <c r="AB17" s="107"/>
      <c r="AC17" s="107"/>
    </row>
    <row r="18" spans="1:29" s="106" customFormat="1" ht="16.5" customHeight="1" thickBot="1" x14ac:dyDescent="0.25">
      <c r="A18" s="127"/>
      <c r="B18" s="128"/>
      <c r="C18" s="105" t="s">
        <v>482</v>
      </c>
      <c r="D18" s="134">
        <v>326.19840408963807</v>
      </c>
      <c r="E18" s="866">
        <v>232.51502628325434</v>
      </c>
      <c r="F18" s="133"/>
      <c r="G18" s="133"/>
      <c r="H18" s="985" t="s">
        <v>90</v>
      </c>
      <c r="I18" s="986" t="s">
        <v>90</v>
      </c>
      <c r="J18" s="987" t="s">
        <v>90</v>
      </c>
      <c r="K18" s="985" t="s">
        <v>90</v>
      </c>
      <c r="L18" s="986" t="s">
        <v>90</v>
      </c>
      <c r="M18" s="987" t="s">
        <v>90</v>
      </c>
      <c r="N18" s="156"/>
      <c r="Q18" s="1098"/>
      <c r="R18" s="1177" t="s">
        <v>855</v>
      </c>
      <c r="S18" s="1178"/>
      <c r="T18" s="1177" t="s">
        <v>851</v>
      </c>
      <c r="U18" s="1178"/>
      <c r="V18" s="1179" t="s">
        <v>852</v>
      </c>
      <c r="W18" s="1180"/>
      <c r="X18" s="119"/>
      <c r="Y18" s="119"/>
      <c r="Z18" s="107"/>
      <c r="AA18" s="107"/>
      <c r="AB18" s="107"/>
      <c r="AC18" s="107"/>
    </row>
    <row r="19" spans="1:29" ht="14.25" x14ac:dyDescent="0.25">
      <c r="A19" s="9"/>
      <c r="B19" s="118"/>
      <c r="K19" s="116" t="s">
        <v>179</v>
      </c>
      <c r="N19" s="155"/>
      <c r="Q19" s="1098"/>
      <c r="R19" s="1177"/>
      <c r="S19" s="1178"/>
      <c r="T19" s="1177"/>
      <c r="U19" s="1178"/>
      <c r="V19" s="1179"/>
      <c r="W19" s="1180"/>
      <c r="X19" s="118"/>
      <c r="Y19" s="9"/>
      <c r="Z19" s="3"/>
      <c r="AA19" s="3"/>
      <c r="AB19" s="3"/>
      <c r="AC19" s="3"/>
    </row>
    <row r="20" spans="1:29" ht="13.5" customHeight="1" thickBot="1" x14ac:dyDescent="0.3">
      <c r="B20" s="118"/>
      <c r="C20" s="6"/>
      <c r="D20" s="2" t="s">
        <v>176</v>
      </c>
      <c r="K20" s="150" t="s">
        <v>178</v>
      </c>
      <c r="L20" s="115"/>
      <c r="M20" s="115"/>
      <c r="N20" s="155"/>
      <c r="P20" s="199"/>
      <c r="Q20" s="1098"/>
      <c r="R20" s="1099" t="s">
        <v>16</v>
      </c>
      <c r="S20" s="1100" t="s">
        <v>53</v>
      </c>
      <c r="T20" s="1099" t="s">
        <v>16</v>
      </c>
      <c r="U20" s="1100" t="s">
        <v>53</v>
      </c>
      <c r="V20" s="1101" t="s">
        <v>16</v>
      </c>
      <c r="W20" s="1102" t="s">
        <v>53</v>
      </c>
      <c r="X20" s="118"/>
      <c r="Y20" s="120"/>
      <c r="Z20" s="16"/>
      <c r="AA20" s="16"/>
      <c r="AB20" s="16"/>
      <c r="AC20" s="3"/>
    </row>
    <row r="21" spans="1:29" ht="13.5" thickBot="1" x14ac:dyDescent="0.25">
      <c r="A21" s="121" t="s">
        <v>155</v>
      </c>
      <c r="B21" s="102"/>
      <c r="D21" s="103" t="s">
        <v>16</v>
      </c>
      <c r="E21" s="104" t="s">
        <v>53</v>
      </c>
      <c r="F21" s="104" t="s">
        <v>17</v>
      </c>
      <c r="G21" s="104" t="s">
        <v>86</v>
      </c>
      <c r="H21" s="160" t="s">
        <v>72</v>
      </c>
      <c r="I21" s="161" t="s">
        <v>75</v>
      </c>
      <c r="J21" s="161" t="s">
        <v>74</v>
      </c>
      <c r="K21" s="162" t="s">
        <v>72</v>
      </c>
      <c r="L21" s="163" t="s">
        <v>75</v>
      </c>
      <c r="M21" s="164" t="s">
        <v>74</v>
      </c>
      <c r="N21" s="155"/>
      <c r="P21" s="199"/>
      <c r="Q21" s="1103" t="s">
        <v>853</v>
      </c>
      <c r="R21" s="1104"/>
      <c r="S21" s="1105"/>
      <c r="T21" s="1104"/>
      <c r="U21" s="1105"/>
      <c r="V21" s="1104"/>
      <c r="W21" s="1105"/>
      <c r="X21" s="118"/>
      <c r="Y21" s="120"/>
      <c r="Z21" s="16"/>
      <c r="AA21" s="16"/>
      <c r="AB21" s="16"/>
      <c r="AC21" s="3"/>
    </row>
    <row r="22" spans="1:29" ht="15.75" x14ac:dyDescent="0.3">
      <c r="A22" s="110" t="s">
        <v>197</v>
      </c>
      <c r="B22" s="175">
        <f ca="1">INDIRECT(ADDRESS(22+K3+3*H3+15*F3,4+A3))</f>
        <v>7.7683498644051676</v>
      </c>
      <c r="C22" s="152" t="s">
        <v>186</v>
      </c>
      <c r="D22" s="136">
        <v>5.4952155770030098</v>
      </c>
      <c r="E22" s="137">
        <v>4.7719620158335054</v>
      </c>
      <c r="F22" s="137">
        <v>3.4492222268524655</v>
      </c>
      <c r="G22" s="137">
        <v>3.3502646192258765</v>
      </c>
      <c r="H22" s="996">
        <v>4.6596213824348274</v>
      </c>
      <c r="I22" s="994">
        <v>4.8536603121879827</v>
      </c>
      <c r="J22" s="994">
        <v>0</v>
      </c>
      <c r="K22" s="999">
        <v>1.4562946897284228</v>
      </c>
      <c r="L22" s="995">
        <v>1.5299236076751219</v>
      </c>
      <c r="M22" s="1000">
        <v>1.4500000000000002</v>
      </c>
      <c r="N22" s="156" t="s">
        <v>190</v>
      </c>
      <c r="P22" s="572"/>
      <c r="Q22" s="1106" t="s">
        <v>114</v>
      </c>
      <c r="R22" s="1154">
        <f>D22</f>
        <v>5.4952155770030098</v>
      </c>
      <c r="S22" s="1154">
        <f>E22</f>
        <v>4.7719620158335054</v>
      </c>
      <c r="T22" s="1111">
        <f>R22/'Use '!J$4</f>
        <v>0.17239892006283952</v>
      </c>
      <c r="U22" s="1153">
        <f>S22/'Use '!J$6</f>
        <v>0.13273147574080735</v>
      </c>
      <c r="V22" s="1112">
        <f>R22*('LCA Calculations'!E$96+'LCA Calculations'!E$108)/100</f>
        <v>4.81930406103164</v>
      </c>
      <c r="W22" s="1113">
        <f>S22*('LCA Calculations'!E$92+'LCA Calculations'!E$106)/100</f>
        <v>4.24704619409182</v>
      </c>
      <c r="X22" s="118"/>
      <c r="Y22" s="120"/>
      <c r="Z22" s="16"/>
      <c r="AA22" s="16"/>
      <c r="AB22" s="16"/>
      <c r="AC22" s="3"/>
    </row>
    <row r="23" spans="1:29" ht="16.5" thickBot="1" x14ac:dyDescent="0.35">
      <c r="A23" s="95" t="s">
        <v>198</v>
      </c>
      <c r="B23" s="176" t="str">
        <f ca="1">IF(OR('Data Input'!H4="BEV",'Data Input'!H4="PHEV20",'Data Input'!H4="PHEV40"),INDIRECT(ADDRESS(22+K3+3*H3+15*F3,7+A3)),"0")</f>
        <v>0</v>
      </c>
      <c r="C23" s="152" t="s">
        <v>187</v>
      </c>
      <c r="D23" s="138">
        <v>5.3527940878099329</v>
      </c>
      <c r="E23" s="139">
        <v>4.6119856841499063</v>
      </c>
      <c r="F23" s="139">
        <v>4.0863279712259155</v>
      </c>
      <c r="G23" s="139">
        <v>2.6894073521179247</v>
      </c>
      <c r="H23" s="996">
        <v>5.0457931343021958</v>
      </c>
      <c r="I23" s="994">
        <v>4.9947839147885427</v>
      </c>
      <c r="J23" s="994">
        <v>0</v>
      </c>
      <c r="K23" s="999">
        <v>1.7159168869381696</v>
      </c>
      <c r="L23" s="995">
        <v>1.5778562862666656</v>
      </c>
      <c r="M23" s="1000">
        <v>1.5582329317269115</v>
      </c>
      <c r="N23" s="156" t="s">
        <v>193</v>
      </c>
      <c r="P23" s="572"/>
      <c r="Q23" s="1106" t="s">
        <v>115</v>
      </c>
      <c r="R23" s="1154">
        <f t="shared" ref="R23:R33" si="0">D23</f>
        <v>5.3527940878099329</v>
      </c>
      <c r="S23" s="1154">
        <f t="shared" ref="S23:S33" si="1">E23</f>
        <v>4.6119856841499063</v>
      </c>
      <c r="T23" s="1111">
        <f>R23/'Use '!J$4</f>
        <v>0.16793079491168417</v>
      </c>
      <c r="U23" s="1153">
        <f>S23/'Use '!J$6</f>
        <v>0.12828175578966139</v>
      </c>
      <c r="V23" s="1112">
        <f>R23*('LCA Calculations'!E$96+'LCA Calculations'!E$108)/100</f>
        <v>4.6944004150093113</v>
      </c>
      <c r="W23" s="1113">
        <f>S23*('LCA Calculations'!E$92+'LCA Calculations'!E$106)/100</f>
        <v>4.104667258893417</v>
      </c>
      <c r="X23" s="118"/>
      <c r="Y23" s="120"/>
      <c r="Z23" s="16"/>
      <c r="AA23" s="16"/>
      <c r="AB23" s="16"/>
      <c r="AC23" s="3"/>
    </row>
    <row r="24" spans="1:29" ht="13.5" thickBot="1" x14ac:dyDescent="0.25">
      <c r="A24" s="446"/>
      <c r="B24" s="444"/>
      <c r="C24" s="105" t="s">
        <v>116</v>
      </c>
      <c r="D24" s="140">
        <v>4.8993764644071014</v>
      </c>
      <c r="E24" s="141">
        <v>4.6493837404121647</v>
      </c>
      <c r="F24" s="141">
        <v>2.655751875350536</v>
      </c>
      <c r="G24" s="141">
        <v>2.6396676854040848</v>
      </c>
      <c r="H24" s="1002" t="s">
        <v>90</v>
      </c>
      <c r="I24" s="993" t="s">
        <v>90</v>
      </c>
      <c r="J24" s="993" t="s">
        <v>90</v>
      </c>
      <c r="K24" s="1002" t="s">
        <v>90</v>
      </c>
      <c r="L24" s="993" t="s">
        <v>90</v>
      </c>
      <c r="M24" s="1003" t="s">
        <v>90</v>
      </c>
      <c r="N24" s="156"/>
      <c r="P24" s="572"/>
      <c r="Q24" s="1107" t="s">
        <v>116</v>
      </c>
      <c r="R24" s="1154">
        <f t="shared" si="0"/>
        <v>4.8993764644071014</v>
      </c>
      <c r="S24" s="1154">
        <f t="shared" si="1"/>
        <v>4.6493837404121647</v>
      </c>
      <c r="T24" s="1111">
        <f>R24/'Use '!J$4</f>
        <v>0.15370592829512475</v>
      </c>
      <c r="U24" s="1153">
        <f>S24/'Use '!J$6</f>
        <v>0.12932197764831344</v>
      </c>
      <c r="V24" s="1112">
        <f>R24*('LCA Calculations'!E$96+'LCA Calculations'!E$108)/100</f>
        <v>4.2967531592850285</v>
      </c>
      <c r="W24" s="1113">
        <f>S24*('LCA Calculations'!E$92+'LCA Calculations'!E$106)/100</f>
        <v>4.1379515289668269</v>
      </c>
      <c r="X24" s="118"/>
      <c r="Y24" s="120"/>
      <c r="Z24" s="16"/>
      <c r="AA24" s="16"/>
      <c r="AB24" s="16"/>
      <c r="AC24" s="3"/>
    </row>
    <row r="25" spans="1:29" x14ac:dyDescent="0.2">
      <c r="A25" s="447"/>
      <c r="B25" s="445"/>
      <c r="C25" s="152" t="s">
        <v>188</v>
      </c>
      <c r="D25" s="136">
        <v>5.6846053376713073</v>
      </c>
      <c r="E25" s="137">
        <v>4.9379305859460123</v>
      </c>
      <c r="F25" s="137">
        <v>2.5748082330104838</v>
      </c>
      <c r="G25" s="137">
        <v>2.6298949566048226</v>
      </c>
      <c r="H25" s="1010">
        <v>4.9063075229439432</v>
      </c>
      <c r="I25" s="1011">
        <v>4.9166034226073778</v>
      </c>
      <c r="J25" s="1011">
        <v>0</v>
      </c>
      <c r="K25" s="1010">
        <v>1.5964627034463705</v>
      </c>
      <c r="L25" s="1011">
        <v>1.596818673867999</v>
      </c>
      <c r="M25" s="1012">
        <v>1.5937500000000027</v>
      </c>
      <c r="N25" s="156" t="s">
        <v>191</v>
      </c>
      <c r="P25" s="572"/>
      <c r="Q25" s="1106" t="s">
        <v>117</v>
      </c>
      <c r="R25" s="1154">
        <f t="shared" si="0"/>
        <v>5.6846053376713073</v>
      </c>
      <c r="S25" s="1154">
        <f t="shared" si="1"/>
        <v>4.9379305859460123</v>
      </c>
      <c r="T25" s="1111">
        <f>R25/'Use '!J$4</f>
        <v>0.17834055961321749</v>
      </c>
      <c r="U25" s="1153">
        <f>S25/'Use '!J$6</f>
        <v>0.13734786899048768</v>
      </c>
      <c r="V25" s="1112">
        <f>R25*('LCA Calculations'!E$96+'LCA Calculations'!E$108)/100</f>
        <v>4.985398881137737</v>
      </c>
      <c r="W25" s="1113">
        <f>S25*('LCA Calculations'!E$92+'LCA Calculations'!E$106)/100</f>
        <v>4.3947582214919514</v>
      </c>
      <c r="X25" s="118"/>
      <c r="Y25" s="120"/>
      <c r="Z25" s="16"/>
      <c r="AA25" s="16"/>
      <c r="AB25" s="16"/>
      <c r="AC25" s="3"/>
    </row>
    <row r="26" spans="1:29" x14ac:dyDescent="0.2">
      <c r="A26" s="9"/>
      <c r="B26" s="118"/>
      <c r="C26" s="152" t="s">
        <v>189</v>
      </c>
      <c r="D26" s="138">
        <v>4.6367337062923406</v>
      </c>
      <c r="E26" s="139">
        <v>5.108351022127974</v>
      </c>
      <c r="F26" s="139">
        <v>3.1655486252554041</v>
      </c>
      <c r="G26" s="139">
        <v>2.1371266035626033</v>
      </c>
      <c r="H26" s="996">
        <v>5.1105406475347284</v>
      </c>
      <c r="I26" s="994">
        <v>5.0429071220343227</v>
      </c>
      <c r="J26" s="994">
        <v>0</v>
      </c>
      <c r="K26" s="996">
        <v>1.6627637425563346</v>
      </c>
      <c r="L26" s="994">
        <v>1.6365903081074347</v>
      </c>
      <c r="M26" s="1000">
        <v>1.6546184738955843</v>
      </c>
      <c r="N26" s="156" t="s">
        <v>194</v>
      </c>
      <c r="P26" s="572"/>
      <c r="Q26" s="1106" t="s">
        <v>118</v>
      </c>
      <c r="R26" s="1154">
        <f t="shared" si="0"/>
        <v>4.6367337062923406</v>
      </c>
      <c r="S26" s="1154">
        <f t="shared" si="1"/>
        <v>5.108351022127974</v>
      </c>
      <c r="T26" s="1111">
        <f>R26/'Use '!J$4</f>
        <v>0.14546615549152442</v>
      </c>
      <c r="U26" s="1153">
        <f>S26/'Use '!J$6</f>
        <v>0.14208809029060898</v>
      </c>
      <c r="V26" s="1112">
        <f>R26*('LCA Calculations'!E$96+'LCA Calculations'!E$108)/100</f>
        <v>4.0664154604183826</v>
      </c>
      <c r="W26" s="1113">
        <f>S26*('LCA Calculations'!E$92+'LCA Calculations'!E$106)/100</f>
        <v>4.5464324096938968</v>
      </c>
      <c r="X26" s="118"/>
      <c r="Y26" s="120"/>
      <c r="Z26" s="16"/>
      <c r="AA26" s="16"/>
      <c r="AB26" s="16"/>
      <c r="AC26" s="3"/>
    </row>
    <row r="27" spans="1:29" ht="13.5" thickBot="1" x14ac:dyDescent="0.25">
      <c r="A27" s="732"/>
      <c r="B27" s="733"/>
      <c r="C27" s="105" t="s">
        <v>119</v>
      </c>
      <c r="D27" s="140">
        <v>5.3079174296138429</v>
      </c>
      <c r="E27" s="141">
        <v>5.145311185073111</v>
      </c>
      <c r="F27" s="141">
        <v>2.6471608852290078</v>
      </c>
      <c r="G27" s="141">
        <v>2.0690835845599658</v>
      </c>
      <c r="H27" s="997" t="s">
        <v>90</v>
      </c>
      <c r="I27" s="998" t="s">
        <v>90</v>
      </c>
      <c r="J27" s="998" t="s">
        <v>90</v>
      </c>
      <c r="K27" s="997" t="s">
        <v>90</v>
      </c>
      <c r="L27" s="998" t="s">
        <v>90</v>
      </c>
      <c r="M27" s="1001" t="s">
        <v>90</v>
      </c>
      <c r="N27" s="156"/>
      <c r="P27" s="572"/>
      <c r="Q27" s="1107" t="s">
        <v>119</v>
      </c>
      <c r="R27" s="1154">
        <f t="shared" si="0"/>
        <v>5.3079174296138429</v>
      </c>
      <c r="S27" s="1154">
        <f t="shared" si="1"/>
        <v>5.145311185073111</v>
      </c>
      <c r="T27" s="1111">
        <f>R27/'Use '!J$4</f>
        <v>0.16652289975259116</v>
      </c>
      <c r="U27" s="1153">
        <f>S27/'Use '!J$6</f>
        <v>0.14311613220608344</v>
      </c>
      <c r="V27" s="1112">
        <f>R27*('LCA Calculations'!E$96+'LCA Calculations'!E$108)/100</f>
        <v>4.6550435857713408</v>
      </c>
      <c r="W27" s="1113">
        <f>S27*('LCA Calculations'!E$92+'LCA Calculations'!E$106)/100</f>
        <v>4.5793269547150688</v>
      </c>
      <c r="X27" s="9"/>
      <c r="Y27" s="9"/>
      <c r="Z27" s="3"/>
      <c r="AA27" s="3"/>
      <c r="AB27" s="3"/>
      <c r="AC27" s="3"/>
    </row>
    <row r="28" spans="1:29" x14ac:dyDescent="0.2">
      <c r="A28" s="127"/>
      <c r="B28" s="128"/>
      <c r="C28" s="152" t="s">
        <v>856</v>
      </c>
      <c r="D28" s="142">
        <v>4.9923299392430565</v>
      </c>
      <c r="E28" s="143">
        <v>4.339604430749878</v>
      </c>
      <c r="F28" s="143">
        <v>2.9939992163156863</v>
      </c>
      <c r="G28" s="143">
        <v>2.4725053507735</v>
      </c>
      <c r="H28" s="1007">
        <v>4.2826193002584629</v>
      </c>
      <c r="I28" s="1008">
        <v>4.2979321169867921</v>
      </c>
      <c r="J28" s="993">
        <v>0</v>
      </c>
      <c r="K28" s="1007">
        <v>1.3939571109101274</v>
      </c>
      <c r="L28" s="1008">
        <v>1.3956749749852693</v>
      </c>
      <c r="M28" s="1009">
        <v>1.392812499999998</v>
      </c>
      <c r="N28" s="156" t="s">
        <v>192</v>
      </c>
      <c r="P28" s="572"/>
      <c r="Q28" s="1106" t="s">
        <v>859</v>
      </c>
      <c r="R28" s="1154">
        <f t="shared" si="0"/>
        <v>4.9923299392430565</v>
      </c>
      <c r="S28" s="1154">
        <f t="shared" si="1"/>
        <v>4.339604430749878</v>
      </c>
      <c r="T28" s="1111">
        <f>R28/'Use '!J$4</f>
        <v>0.15662211574095863</v>
      </c>
      <c r="U28" s="1153">
        <f>S28/'Use '!J$6</f>
        <v>0.12070550819842786</v>
      </c>
      <c r="V28" s="1112">
        <f>R28*('LCA Calculations'!E$96+'LCA Calculations'!E$108)/100</f>
        <v>4.3782733567161607</v>
      </c>
      <c r="W28" s="1113">
        <f>S28*('LCA Calculations'!E$92+'LCA Calculations'!E$106)/100</f>
        <v>3.8622479433673913</v>
      </c>
      <c r="X28" s="9"/>
      <c r="Y28" s="9"/>
      <c r="Z28" s="3"/>
      <c r="AA28" s="3"/>
      <c r="AB28" s="3"/>
      <c r="AC28" s="3"/>
    </row>
    <row r="29" spans="1:29" x14ac:dyDescent="0.2">
      <c r="A29" s="127"/>
      <c r="B29" s="128"/>
      <c r="C29" s="152" t="s">
        <v>857</v>
      </c>
      <c r="D29" s="138">
        <v>4.6349518318354637</v>
      </c>
      <c r="E29" s="139">
        <v>4.4700205508231656</v>
      </c>
      <c r="F29" s="139">
        <v>3.3287294017594764</v>
      </c>
      <c r="G29" s="139">
        <v>1.9532229966839108</v>
      </c>
      <c r="H29" s="996">
        <v>4.4476928082816229</v>
      </c>
      <c r="I29" s="994">
        <v>4.4253489991873698</v>
      </c>
      <c r="J29" s="993">
        <v>0</v>
      </c>
      <c r="K29" s="996">
        <v>1.4411383183283371</v>
      </c>
      <c r="L29" s="994">
        <v>1.4373270829872378</v>
      </c>
      <c r="M29" s="1000">
        <v>1.4463855421686753</v>
      </c>
      <c r="N29" s="156" t="s">
        <v>195</v>
      </c>
      <c r="P29" s="572"/>
      <c r="Q29" s="1106" t="s">
        <v>860</v>
      </c>
      <c r="R29" s="1154">
        <f t="shared" si="0"/>
        <v>4.6349518318354637</v>
      </c>
      <c r="S29" s="1154">
        <f t="shared" si="1"/>
        <v>4.4700205508231656</v>
      </c>
      <c r="T29" s="1111">
        <f>R29/'Use '!J$4</f>
        <v>0.14541025354777926</v>
      </c>
      <c r="U29" s="1153">
        <f>S29/'Use '!J$6</f>
        <v>0.12433301487603377</v>
      </c>
      <c r="V29" s="1112">
        <f>R29*('LCA Calculations'!E$96+'LCA Calculations'!E$108)/100</f>
        <v>4.0648527565197021</v>
      </c>
      <c r="W29" s="1113">
        <f>S29*('LCA Calculations'!E$92+'LCA Calculations'!E$106)/100</f>
        <v>3.9783182902326173</v>
      </c>
      <c r="X29" s="9"/>
      <c r="Y29" s="9"/>
    </row>
    <row r="30" spans="1:29" ht="13.5" thickBot="1" x14ac:dyDescent="0.25">
      <c r="A30" s="447"/>
      <c r="B30" s="734"/>
      <c r="C30" s="105" t="s">
        <v>858</v>
      </c>
      <c r="D30" s="140">
        <v>4.7753108754861104</v>
      </c>
      <c r="E30" s="141">
        <v>4.3111314239888898</v>
      </c>
      <c r="F30" s="141">
        <v>2.9267350239855539</v>
      </c>
      <c r="G30" s="141">
        <v>1.9059518682726833</v>
      </c>
      <c r="H30" s="997" t="s">
        <v>90</v>
      </c>
      <c r="I30" s="998" t="s">
        <v>90</v>
      </c>
      <c r="J30" s="998" t="s">
        <v>90</v>
      </c>
      <c r="K30" s="997" t="s">
        <v>90</v>
      </c>
      <c r="L30" s="998" t="s">
        <v>90</v>
      </c>
      <c r="M30" s="1001" t="s">
        <v>90</v>
      </c>
      <c r="N30" s="156"/>
      <c r="P30" s="572"/>
      <c r="Q30" s="1107" t="s">
        <v>858</v>
      </c>
      <c r="R30" s="1154">
        <f t="shared" si="0"/>
        <v>4.7753108754861104</v>
      </c>
      <c r="S30" s="1154">
        <f t="shared" si="1"/>
        <v>4.3111314239888898</v>
      </c>
      <c r="T30" s="1111">
        <f>R30/'Use '!J$4</f>
        <v>0.14981367452505445</v>
      </c>
      <c r="U30" s="1153">
        <f>S30/'Use '!J$6</f>
        <v>0.11991353538019832</v>
      </c>
      <c r="V30" s="1112">
        <f>R30*('LCA Calculations'!E$96+'LCA Calculations'!E$108)/100</f>
        <v>4.1879476378013187</v>
      </c>
      <c r="W30" s="1113">
        <f>S30*('LCA Calculations'!E$92+'LCA Calculations'!E$106)/100</f>
        <v>3.8369069673501119</v>
      </c>
    </row>
    <row r="31" spans="1:29" x14ac:dyDescent="0.2">
      <c r="A31" s="447"/>
      <c r="B31" s="734"/>
      <c r="C31" s="105" t="s">
        <v>480</v>
      </c>
      <c r="D31" s="136">
        <v>5.8229401596280308</v>
      </c>
      <c r="E31" s="867">
        <v>4.4039642670499539</v>
      </c>
      <c r="F31" s="139"/>
      <c r="G31" s="139"/>
      <c r="H31" s="1004">
        <v>4.4643831366553215</v>
      </c>
      <c r="I31" s="1005">
        <v>4.50744987934769</v>
      </c>
      <c r="J31" s="1006">
        <v>0</v>
      </c>
      <c r="K31" s="1004">
        <v>1.8829791276155254</v>
      </c>
      <c r="L31" s="1005">
        <v>1.4667156768063441</v>
      </c>
      <c r="M31" s="1006">
        <v>1.4654826049257386</v>
      </c>
      <c r="N31" s="1027" t="s">
        <v>765</v>
      </c>
      <c r="P31" s="572"/>
      <c r="Q31" s="1106" t="s">
        <v>480</v>
      </c>
      <c r="R31" s="1154">
        <f t="shared" si="0"/>
        <v>5.8229401596280308</v>
      </c>
      <c r="S31" s="1154">
        <f t="shared" si="1"/>
        <v>4.4039642670499539</v>
      </c>
      <c r="T31" s="1111">
        <f>R31/'Use '!J$4</f>
        <v>0.18268047559617351</v>
      </c>
      <c r="U31" s="1153">
        <f>S31/'Use '!J$6</f>
        <v>0.12249566830913312</v>
      </c>
      <c r="V31" s="1112">
        <f>R31*('LCA Calculations'!E$96+'LCA Calculations'!E$108)/100</f>
        <v>5.106718519993783</v>
      </c>
      <c r="W31" s="1113">
        <f>S31*('LCA Calculations'!E$92+'LCA Calculations'!E$106)/100</f>
        <v>3.9195281976744587</v>
      </c>
    </row>
    <row r="32" spans="1:29" x14ac:dyDescent="0.2">
      <c r="A32" s="447"/>
      <c r="B32" s="734"/>
      <c r="C32" s="105" t="s">
        <v>481</v>
      </c>
      <c r="D32" s="138">
        <v>5.2331218831584572</v>
      </c>
      <c r="E32" s="868">
        <v>4.4877592643603839</v>
      </c>
      <c r="F32" s="139"/>
      <c r="G32" s="139"/>
      <c r="H32" s="1002">
        <v>4.8949368623028553</v>
      </c>
      <c r="I32" s="993">
        <v>4.9172721904098822</v>
      </c>
      <c r="J32" s="1003">
        <v>0</v>
      </c>
      <c r="K32" s="1002">
        <v>1.8840053379407462</v>
      </c>
      <c r="L32" s="993">
        <v>1.5848259127557369</v>
      </c>
      <c r="M32" s="1003">
        <v>1.6002680441498212</v>
      </c>
      <c r="N32" s="1027" t="s">
        <v>766</v>
      </c>
      <c r="P32" s="572"/>
      <c r="Q32" s="1106" t="s">
        <v>481</v>
      </c>
      <c r="R32" s="1154">
        <f t="shared" si="0"/>
        <v>5.2331218831584572</v>
      </c>
      <c r="S32" s="1154">
        <f t="shared" si="1"/>
        <v>4.4877592643603839</v>
      </c>
      <c r="T32" s="1111">
        <f>R32/'Use '!J$4</f>
        <v>0.16417637280497122</v>
      </c>
      <c r="U32" s="1153">
        <f>S32/'Use '!J$6</f>
        <v>0.12482641478527993</v>
      </c>
      <c r="V32" s="1112">
        <f>R32*('LCA Calculations'!E$96+'LCA Calculations'!E$108)/100</f>
        <v>4.589447891529967</v>
      </c>
      <c r="W32" s="1113">
        <f>S32*('LCA Calculations'!E$92+'LCA Calculations'!E$106)/100</f>
        <v>3.9941057452807418</v>
      </c>
    </row>
    <row r="33" spans="1:23" ht="13.5" thickBot="1" x14ac:dyDescent="0.25">
      <c r="A33" s="447"/>
      <c r="B33" s="734"/>
      <c r="C33" s="105" t="s">
        <v>482</v>
      </c>
      <c r="D33" s="140">
        <v>5.2657984108067444</v>
      </c>
      <c r="E33" s="869">
        <v>4.4530989343674312</v>
      </c>
      <c r="F33" s="139"/>
      <c r="G33" s="139"/>
      <c r="H33" s="997" t="s">
        <v>90</v>
      </c>
      <c r="I33" s="998" t="s">
        <v>90</v>
      </c>
      <c r="J33" s="998" t="s">
        <v>90</v>
      </c>
      <c r="K33" s="997" t="s">
        <v>90</v>
      </c>
      <c r="L33" s="998" t="s">
        <v>90</v>
      </c>
      <c r="M33" s="1001" t="s">
        <v>90</v>
      </c>
      <c r="N33" s="156"/>
      <c r="P33" s="572"/>
      <c r="Q33" s="1106" t="s">
        <v>482</v>
      </c>
      <c r="R33" s="1154">
        <f t="shared" si="0"/>
        <v>5.2657984108067444</v>
      </c>
      <c r="S33" s="1154">
        <f t="shared" si="1"/>
        <v>4.4530989343674312</v>
      </c>
      <c r="T33" s="1111">
        <f>R33/'Use '!J$4</f>
        <v>0.16520151877040767</v>
      </c>
      <c r="U33" s="1153">
        <f>S33/'Use '!J$6</f>
        <v>0.12386234241119914</v>
      </c>
      <c r="V33" s="1112">
        <f>R33*('LCA Calculations'!E$96+'LCA Calculations'!E$108)/100</f>
        <v>4.618105206277515</v>
      </c>
      <c r="W33" s="1113">
        <f>S33*('LCA Calculations'!E$92+'LCA Calculations'!E$106)/100</f>
        <v>3.9632580515870135</v>
      </c>
    </row>
    <row r="34" spans="1:23" ht="14.25" x14ac:dyDescent="0.25">
      <c r="A34" s="447"/>
      <c r="B34" s="445"/>
      <c r="K34" s="116" t="s">
        <v>181</v>
      </c>
      <c r="N34" s="155"/>
      <c r="P34" s="199"/>
      <c r="Q34" s="1108" t="s">
        <v>854</v>
      </c>
      <c r="R34" s="1104"/>
      <c r="S34" s="1105"/>
      <c r="T34" s="1104"/>
      <c r="U34" s="1105"/>
      <c r="V34" s="1109"/>
      <c r="W34" s="1110"/>
    </row>
    <row r="35" spans="1:23" ht="15" thickBot="1" x14ac:dyDescent="0.3">
      <c r="D35" s="2" t="s">
        <v>177</v>
      </c>
      <c r="K35" s="2" t="s">
        <v>180</v>
      </c>
      <c r="L35" s="115"/>
      <c r="M35" s="115"/>
      <c r="N35" s="155"/>
      <c r="P35" s="199"/>
    </row>
    <row r="36" spans="1:23" ht="13.5" thickBot="1" x14ac:dyDescent="0.25">
      <c r="D36" s="103" t="s">
        <v>16</v>
      </c>
      <c r="E36" s="104" t="s">
        <v>53</v>
      </c>
      <c r="F36" s="104" t="s">
        <v>17</v>
      </c>
      <c r="G36" s="104" t="s">
        <v>86</v>
      </c>
      <c r="H36" s="160" t="s">
        <v>72</v>
      </c>
      <c r="I36" s="161" t="s">
        <v>75</v>
      </c>
      <c r="J36" s="165" t="s">
        <v>74</v>
      </c>
      <c r="K36" s="162" t="s">
        <v>72</v>
      </c>
      <c r="L36" s="163" t="s">
        <v>75</v>
      </c>
      <c r="M36" s="164" t="s">
        <v>74</v>
      </c>
      <c r="N36" s="155"/>
      <c r="P36" s="199"/>
    </row>
    <row r="37" spans="1:23" x14ac:dyDescent="0.2">
      <c r="C37" s="152" t="s">
        <v>186</v>
      </c>
      <c r="D37" s="136">
        <v>7.1175750673799776</v>
      </c>
      <c r="E37" s="137">
        <v>7.0139075367319172</v>
      </c>
      <c r="F37" s="137">
        <v>5.7277136271832827</v>
      </c>
      <c r="G37" s="137">
        <v>1.738567168645315</v>
      </c>
      <c r="H37" s="1016">
        <v>7.8624914368946408</v>
      </c>
      <c r="I37" s="1014">
        <v>7.8056361391023632</v>
      </c>
      <c r="J37" s="1020">
        <v>0</v>
      </c>
      <c r="K37" s="1019">
        <v>2.5005157705244305</v>
      </c>
      <c r="L37" s="1015">
        <v>2.4916748079405293</v>
      </c>
      <c r="M37" s="1020">
        <v>2.487499999999998</v>
      </c>
      <c r="N37" s="156" t="s">
        <v>190</v>
      </c>
      <c r="P37" s="572"/>
      <c r="Q37" s="1106" t="s">
        <v>114</v>
      </c>
      <c r="R37" s="1154">
        <f>D37</f>
        <v>7.1175750673799776</v>
      </c>
      <c r="S37" s="1154">
        <f>E37</f>
        <v>7.0139075367319172</v>
      </c>
      <c r="T37" s="1111">
        <f>R37/'Use '!J$4</f>
        <v>0.22329647270211694</v>
      </c>
      <c r="U37" s="1153">
        <f>S37/'Use '!J$6</f>
        <v>0.19509088609067415</v>
      </c>
      <c r="V37" s="1112">
        <f>R37*('LCA Calculations'!E$96+'LCA Calculations'!E$108)/100</f>
        <v>6.2421133340922408</v>
      </c>
      <c r="W37" s="1113">
        <f>S37*('LCA Calculations'!E$92+'LCA Calculations'!E$106)/100</f>
        <v>6.2423777076914062</v>
      </c>
    </row>
    <row r="38" spans="1:23" x14ac:dyDescent="0.2">
      <c r="C38" s="152" t="s">
        <v>187</v>
      </c>
      <c r="D38" s="138">
        <v>8.9655197838325567</v>
      </c>
      <c r="E38" s="139">
        <v>6.7874378963815083</v>
      </c>
      <c r="F38" s="139">
        <v>6.5694656181572633</v>
      </c>
      <c r="G38" s="139">
        <v>2.7043801565779795</v>
      </c>
      <c r="H38" s="1016">
        <v>7.8828248566233459</v>
      </c>
      <c r="I38" s="1014">
        <v>7.6654261185862582</v>
      </c>
      <c r="J38" s="1020">
        <v>0</v>
      </c>
      <c r="K38" s="1019">
        <v>2.6405708501059002</v>
      </c>
      <c r="L38" s="1015">
        <v>2.4480888401661143</v>
      </c>
      <c r="M38" s="1020">
        <v>2.4939759036144582</v>
      </c>
      <c r="N38" s="156" t="s">
        <v>193</v>
      </c>
      <c r="P38" s="572"/>
      <c r="Q38" s="1106" t="s">
        <v>115</v>
      </c>
      <c r="R38" s="1154">
        <f t="shared" ref="R38:R48" si="2">D38</f>
        <v>8.9655197838325567</v>
      </c>
      <c r="S38" s="1154">
        <f t="shared" ref="S38:S48" si="3">E38</f>
        <v>6.7874378963815083</v>
      </c>
      <c r="T38" s="1111">
        <f>R38/'Use '!J$4</f>
        <v>0.28127120890455082</v>
      </c>
      <c r="U38" s="1153">
        <f>S38/'Use '!J$6</f>
        <v>0.18879166378453238</v>
      </c>
      <c r="V38" s="1112">
        <f>R38*('LCA Calculations'!E$96+'LCA Calculations'!E$108)/100</f>
        <v>7.8627608504211528</v>
      </c>
      <c r="W38" s="1113">
        <f>S38*('LCA Calculations'!E$92+'LCA Calculations'!E$106)/100</f>
        <v>6.0408197277795423</v>
      </c>
    </row>
    <row r="39" spans="1:23" ht="13.5" thickBot="1" x14ac:dyDescent="0.25">
      <c r="C39" s="105" t="s">
        <v>116</v>
      </c>
      <c r="D39" s="140">
        <v>9.2306734118262845</v>
      </c>
      <c r="E39" s="141">
        <v>6.9184889496704054</v>
      </c>
      <c r="F39" s="141">
        <v>5.5213090363938635</v>
      </c>
      <c r="G39" s="141">
        <v>2.6221238381073664</v>
      </c>
      <c r="H39" s="1022" t="s">
        <v>90</v>
      </c>
      <c r="I39" s="1013" t="s">
        <v>90</v>
      </c>
      <c r="J39" s="1023" t="s">
        <v>90</v>
      </c>
      <c r="K39" s="1022" t="s">
        <v>90</v>
      </c>
      <c r="L39" s="1013" t="s">
        <v>90</v>
      </c>
      <c r="M39" s="1023" t="s">
        <v>90</v>
      </c>
      <c r="N39" s="156"/>
      <c r="P39" s="572"/>
      <c r="Q39" s="1107" t="s">
        <v>116</v>
      </c>
      <c r="R39" s="1154">
        <f t="shared" si="2"/>
        <v>9.2306734118262845</v>
      </c>
      <c r="S39" s="1154">
        <f t="shared" si="3"/>
        <v>6.9184889496704054</v>
      </c>
      <c r="T39" s="1111">
        <f>R39/'Use '!J$4</f>
        <v>0.28958975409651089</v>
      </c>
      <c r="U39" s="1153">
        <f>S39/'Use '!J$6</f>
        <v>0.19243683104334686</v>
      </c>
      <c r="V39" s="1112">
        <f>R39*('LCA Calculations'!E$96+'LCA Calculations'!E$108)/100</f>
        <v>8.095300582171653</v>
      </c>
      <c r="W39" s="1113">
        <f>S39*('LCA Calculations'!E$92+'LCA Calculations'!E$106)/100</f>
        <v>6.1574551652066614</v>
      </c>
    </row>
    <row r="40" spans="1:23" x14ac:dyDescent="0.2">
      <c r="C40" s="152" t="s">
        <v>188</v>
      </c>
      <c r="D40" s="138">
        <v>8.1156802151676555</v>
      </c>
      <c r="E40" s="139">
        <v>8.2975542182483952</v>
      </c>
      <c r="F40" s="139">
        <v>4.752453975019546</v>
      </c>
      <c r="G40" s="139">
        <v>2.6092716505511038</v>
      </c>
      <c r="H40" s="1024">
        <v>6.9371327717728946</v>
      </c>
      <c r="I40" s="1025">
        <v>6.7140722340502501</v>
      </c>
      <c r="J40" s="1026">
        <v>0</v>
      </c>
      <c r="K40" s="1024">
        <v>2.257429625426377</v>
      </c>
      <c r="L40" s="1025">
        <v>2.1807286150094511</v>
      </c>
      <c r="M40" s="1026">
        <v>2.2500000000000009</v>
      </c>
      <c r="N40" s="156" t="s">
        <v>191</v>
      </c>
      <c r="P40" s="572"/>
      <c r="Q40" s="1106" t="s">
        <v>117</v>
      </c>
      <c r="R40" s="1154">
        <f t="shared" si="2"/>
        <v>8.1156802151676555</v>
      </c>
      <c r="S40" s="1154">
        <f t="shared" si="3"/>
        <v>8.2975542182483952</v>
      </c>
      <c r="T40" s="1111">
        <f>R40/'Use '!J$4</f>
        <v>0.25460957537780882</v>
      </c>
      <c r="U40" s="1153">
        <f>S40/'Use '!J$6</f>
        <v>0.23079534429929893</v>
      </c>
      <c r="V40" s="1112">
        <f>R40*('LCA Calculations'!E$96+'LCA Calculations'!E$108)/100</f>
        <v>7.1174515487020349</v>
      </c>
      <c r="W40" s="1113">
        <f>S40*('LCA Calculations'!E$92+'LCA Calculations'!E$106)/100</f>
        <v>7.3848232542410726</v>
      </c>
    </row>
    <row r="41" spans="1:23" x14ac:dyDescent="0.2">
      <c r="C41" s="152" t="s">
        <v>189</v>
      </c>
      <c r="D41" s="138">
        <v>10.851271476664202</v>
      </c>
      <c r="E41" s="139">
        <v>8.3527013749405903</v>
      </c>
      <c r="F41" s="139">
        <v>5.2291474308542121</v>
      </c>
      <c r="G41" s="139">
        <v>2.9077247678932272</v>
      </c>
      <c r="H41" s="1016">
        <v>7.0478919755419644</v>
      </c>
      <c r="I41" s="1014">
        <v>6.8815959651035135</v>
      </c>
      <c r="J41" s="1020">
        <v>0</v>
      </c>
      <c r="K41" s="1016">
        <v>2.2933213404468624</v>
      </c>
      <c r="L41" s="1014">
        <v>2.2340624600791572</v>
      </c>
      <c r="M41" s="1020">
        <v>2.2811244979919678</v>
      </c>
      <c r="N41" s="156" t="s">
        <v>194</v>
      </c>
      <c r="P41" s="572"/>
      <c r="Q41" s="1106" t="s">
        <v>118</v>
      </c>
      <c r="R41" s="1154">
        <f t="shared" si="2"/>
        <v>10.851271476664202</v>
      </c>
      <c r="S41" s="1154">
        <f t="shared" si="3"/>
        <v>8.3527013749405903</v>
      </c>
      <c r="T41" s="1111">
        <f>R41/'Use '!J$4</f>
        <v>0.34043204632672008</v>
      </c>
      <c r="U41" s="1153">
        <f>S41/'Use '!J$6</f>
        <v>0.23232925497720824</v>
      </c>
      <c r="V41" s="1112">
        <f>R41*('LCA Calculations'!E$96+'LCA Calculations'!E$108)/100</f>
        <v>9.5165650850345056</v>
      </c>
      <c r="W41" s="1113">
        <f>S41*('LCA Calculations'!E$92+'LCA Calculations'!E$106)/100</f>
        <v>7.4339042236971249</v>
      </c>
    </row>
    <row r="42" spans="1:23" ht="13.5" thickBot="1" x14ac:dyDescent="0.25">
      <c r="C42" s="105" t="s">
        <v>119</v>
      </c>
      <c r="D42" s="140">
        <v>11.955268563990963</v>
      </c>
      <c r="E42" s="141">
        <v>8.2830248591529934</v>
      </c>
      <c r="F42" s="141">
        <v>5.4396134975141619</v>
      </c>
      <c r="G42" s="141">
        <v>2.914462338715186</v>
      </c>
      <c r="H42" s="1017" t="s">
        <v>90</v>
      </c>
      <c r="I42" s="1018" t="s">
        <v>90</v>
      </c>
      <c r="J42" s="1021" t="s">
        <v>90</v>
      </c>
      <c r="K42" s="1017" t="s">
        <v>90</v>
      </c>
      <c r="L42" s="1018" t="s">
        <v>90</v>
      </c>
      <c r="M42" s="1021" t="s">
        <v>90</v>
      </c>
      <c r="N42" s="156"/>
      <c r="P42" s="572"/>
      <c r="Q42" s="1107" t="s">
        <v>119</v>
      </c>
      <c r="R42" s="1154">
        <f t="shared" si="2"/>
        <v>11.955268563990963</v>
      </c>
      <c r="S42" s="1154">
        <f t="shared" si="3"/>
        <v>8.2830248591529934</v>
      </c>
      <c r="T42" s="1111">
        <f>R42/'Use '!J$4</f>
        <v>0.37506724906638317</v>
      </c>
      <c r="U42" s="1153">
        <f>S42/'Use '!J$6</f>
        <v>0.23039121214822525</v>
      </c>
      <c r="V42" s="1112">
        <f>R42*('LCA Calculations'!E$96+'LCA Calculations'!E$108)/100</f>
        <v>10.484770530620073</v>
      </c>
      <c r="W42" s="1113">
        <f>S42*('LCA Calculations'!E$92+'LCA Calculations'!E$106)/100</f>
        <v>7.3718921246461635</v>
      </c>
    </row>
    <row r="43" spans="1:23" x14ac:dyDescent="0.2">
      <c r="C43" s="152" t="s">
        <v>856</v>
      </c>
      <c r="D43" s="136">
        <v>7.2024002252589669</v>
      </c>
      <c r="E43" s="137">
        <v>6.957878978467126</v>
      </c>
      <c r="F43" s="137">
        <v>4.9981494543730545</v>
      </c>
      <c r="G43" s="137">
        <v>2.6113130071957276</v>
      </c>
      <c r="H43" s="1016">
        <v>6.0422794662045263</v>
      </c>
      <c r="I43" s="1014">
        <v>5.903606023562153</v>
      </c>
      <c r="J43" s="1023">
        <v>0</v>
      </c>
      <c r="K43" s="1016">
        <v>1.9667434336067013</v>
      </c>
      <c r="L43" s="1014">
        <v>1.917413210670682</v>
      </c>
      <c r="M43" s="1020">
        <v>1.9646874999999973</v>
      </c>
      <c r="N43" s="156" t="s">
        <v>192</v>
      </c>
      <c r="P43" s="572"/>
      <c r="Q43" s="1106" t="s">
        <v>859</v>
      </c>
      <c r="R43" s="1154">
        <f t="shared" si="2"/>
        <v>7.2024002252589669</v>
      </c>
      <c r="S43" s="1154">
        <f t="shared" si="3"/>
        <v>6.957878978467126</v>
      </c>
      <c r="T43" s="1111">
        <f>R43/'Use '!J$4</f>
        <v>0.22595765412577151</v>
      </c>
      <c r="U43" s="1153">
        <f>S43/'Use '!J$6</f>
        <v>0.1935324593476615</v>
      </c>
      <c r="V43" s="1112">
        <f>R43*('LCA Calculations'!E$96+'LCA Calculations'!E$108)/100</f>
        <v>6.3165049975521139</v>
      </c>
      <c r="W43" s="1113">
        <f>S43*('LCA Calculations'!E$92+'LCA Calculations'!E$106)/100</f>
        <v>6.192512290835742</v>
      </c>
    </row>
    <row r="44" spans="1:23" x14ac:dyDescent="0.2">
      <c r="C44" s="152" t="s">
        <v>857</v>
      </c>
      <c r="D44" s="138">
        <v>8.7280366631279698</v>
      </c>
      <c r="E44" s="139">
        <v>7.2717813291805076</v>
      </c>
      <c r="F44" s="139">
        <v>6.3244993784964301</v>
      </c>
      <c r="G44" s="139">
        <v>2.6552141258172459</v>
      </c>
      <c r="H44" s="1016">
        <v>6.3949111368118334</v>
      </c>
      <c r="I44" s="1014">
        <v>6.2037843410991602</v>
      </c>
      <c r="J44" s="1023">
        <v>0</v>
      </c>
      <c r="K44" s="1016">
        <v>2.0815935559809997</v>
      </c>
      <c r="L44" s="1014">
        <v>2.0149600287032809</v>
      </c>
      <c r="M44" s="1020">
        <v>2.0785140562248996</v>
      </c>
      <c r="N44" s="156" t="s">
        <v>195</v>
      </c>
      <c r="P44" s="572"/>
      <c r="Q44" s="1106" t="s">
        <v>860</v>
      </c>
      <c r="R44" s="1154">
        <f t="shared" si="2"/>
        <v>8.7280366631279698</v>
      </c>
      <c r="S44" s="1154">
        <f t="shared" si="3"/>
        <v>7.2717813291805076</v>
      </c>
      <c r="T44" s="1111">
        <f>R44/'Use '!J$4</f>
        <v>0.2738207580589167</v>
      </c>
      <c r="U44" s="1153">
        <f>S44/'Use '!J$6</f>
        <v>0.20226361062473597</v>
      </c>
      <c r="V44" s="1112">
        <f>R44*('LCA Calculations'!E$96+'LCA Calculations'!E$108)/100</f>
        <v>7.6544881535632294</v>
      </c>
      <c r="W44" s="1113">
        <f>S44*('LCA Calculations'!E$92+'LCA Calculations'!E$106)/100</f>
        <v>6.471885382970652</v>
      </c>
    </row>
    <row r="45" spans="1:23" ht="13.5" thickBot="1" x14ac:dyDescent="0.25">
      <c r="C45" s="105" t="s">
        <v>858</v>
      </c>
      <c r="D45" s="140">
        <v>9.766175098571642</v>
      </c>
      <c r="E45" s="141">
        <v>7.1118875600460374</v>
      </c>
      <c r="F45" s="141">
        <v>6.4087239163672374</v>
      </c>
      <c r="G45" s="141">
        <v>2.687497873054876</v>
      </c>
      <c r="H45" s="1017" t="s">
        <v>90</v>
      </c>
      <c r="I45" s="1018" t="s">
        <v>90</v>
      </c>
      <c r="J45" s="1021" t="s">
        <v>90</v>
      </c>
      <c r="K45" s="1017" t="s">
        <v>90</v>
      </c>
      <c r="L45" s="1018" t="s">
        <v>90</v>
      </c>
      <c r="M45" s="1021" t="s">
        <v>90</v>
      </c>
      <c r="N45" s="156"/>
      <c r="P45" s="572"/>
      <c r="Q45" s="1107" t="s">
        <v>858</v>
      </c>
      <c r="R45" s="1154">
        <f t="shared" si="2"/>
        <v>9.766175098571642</v>
      </c>
      <c r="S45" s="1154">
        <f t="shared" si="3"/>
        <v>7.1118875600460374</v>
      </c>
      <c r="T45" s="1111">
        <f>R45/'Use '!J$4</f>
        <v>0.30638980701401231</v>
      </c>
      <c r="U45" s="1153">
        <f>S45/'Use '!J$6</f>
        <v>0.19781618713968729</v>
      </c>
      <c r="V45" s="1112">
        <f>R45*('LCA Calculations'!E$96+'LCA Calculations'!E$108)/100</f>
        <v>8.5649355614473297</v>
      </c>
      <c r="W45" s="1113">
        <f>S45*('LCA Calculations'!E$92+'LCA Calculations'!E$106)/100</f>
        <v>6.3295799284409737</v>
      </c>
    </row>
    <row r="46" spans="1:23" x14ac:dyDescent="0.2">
      <c r="C46" s="105" t="s">
        <v>480</v>
      </c>
      <c r="D46" s="1137">
        <v>7.7683498644051676</v>
      </c>
      <c r="E46" s="1138">
        <v>6.7835332648476587</v>
      </c>
      <c r="F46" s="1139"/>
      <c r="G46" s="1139"/>
      <c r="H46" s="1140">
        <v>7.0019885184360309</v>
      </c>
      <c r="I46" s="1141">
        <v>6.7640370542680976</v>
      </c>
      <c r="J46" s="1142">
        <v>0</v>
      </c>
      <c r="K46" s="1140">
        <v>2.2921883190070358</v>
      </c>
      <c r="L46" s="1141">
        <v>2.2010331042297122</v>
      </c>
      <c r="M46" s="1142">
        <v>2.2623214039321571</v>
      </c>
      <c r="N46" s="1028" t="s">
        <v>765</v>
      </c>
      <c r="P46" s="572"/>
      <c r="Q46" s="1106" t="s">
        <v>480</v>
      </c>
      <c r="R46" s="1154">
        <f t="shared" si="2"/>
        <v>7.7683498644051676</v>
      </c>
      <c r="S46" s="1154">
        <f t="shared" si="3"/>
        <v>6.7835332648476587</v>
      </c>
      <c r="T46" s="1111">
        <f>R46/'Use '!J$4</f>
        <v>0.24371293692251506</v>
      </c>
      <c r="U46" s="1153">
        <f>S46/'Use '!J$6</f>
        <v>0.18868305698841953</v>
      </c>
      <c r="V46" s="1112">
        <f>R46*('LCA Calculations'!E$96+'LCA Calculations'!E$108)/100</f>
        <v>6.8128428310833318</v>
      </c>
      <c r="W46" s="1113">
        <f>S46*('LCA Calculations'!E$92+'LCA Calculations'!E$106)/100</f>
        <v>6.0373446057144164</v>
      </c>
    </row>
    <row r="47" spans="1:23" x14ac:dyDescent="0.2">
      <c r="C47" s="105" t="s">
        <v>481</v>
      </c>
      <c r="D47" s="1143">
        <v>9.3283925662283043</v>
      </c>
      <c r="E47" s="1144">
        <v>7.0375720497993361</v>
      </c>
      <c r="F47" s="1139"/>
      <c r="G47" s="1139"/>
      <c r="H47" s="1145">
        <v>7.1481375876664979</v>
      </c>
      <c r="I47" s="1146">
        <v>7.0150108143363559</v>
      </c>
      <c r="J47" s="1147">
        <v>0</v>
      </c>
      <c r="K47" s="1145">
        <v>2.3399219301665384</v>
      </c>
      <c r="L47" s="1146">
        <v>2.2829036140400101</v>
      </c>
      <c r="M47" s="1147">
        <v>2.3253730716310561</v>
      </c>
      <c r="N47" s="1028" t="s">
        <v>766</v>
      </c>
      <c r="P47" s="572"/>
      <c r="Q47" s="1106" t="s">
        <v>481</v>
      </c>
      <c r="R47" s="1154">
        <f t="shared" si="2"/>
        <v>9.3283925662283043</v>
      </c>
      <c r="S47" s="1154">
        <f t="shared" si="3"/>
        <v>7.0375720497993361</v>
      </c>
      <c r="T47" s="1111">
        <f>R47/'Use '!J$4</f>
        <v>0.29265545305814289</v>
      </c>
      <c r="U47" s="1153">
        <f>S47/'Use '!J$6</f>
        <v>0.19574911130950534</v>
      </c>
      <c r="V47" s="1112">
        <f>R47*('LCA Calculations'!E$96+'LCA Calculations'!E$108)/100</f>
        <v>8.1810002805822233</v>
      </c>
      <c r="W47" s="1113">
        <f>S47*('LCA Calculations'!E$92+'LCA Calculations'!E$106)/100</f>
        <v>6.2634391243214091</v>
      </c>
    </row>
    <row r="48" spans="1:23" ht="13.5" thickBot="1" x14ac:dyDescent="0.25">
      <c r="C48" s="105" t="s">
        <v>482</v>
      </c>
      <c r="D48" s="1148">
        <v>10.263601311188408</v>
      </c>
      <c r="E48" s="1149">
        <v>6.8275396292711141</v>
      </c>
      <c r="F48" s="1139"/>
      <c r="G48" s="1139"/>
      <c r="H48" s="1150" t="s">
        <v>90</v>
      </c>
      <c r="I48" s="1151" t="s">
        <v>90</v>
      </c>
      <c r="J48" s="1152" t="s">
        <v>90</v>
      </c>
      <c r="K48" s="1150" t="s">
        <v>90</v>
      </c>
      <c r="L48" s="1151" t="s">
        <v>90</v>
      </c>
      <c r="M48" s="1152" t="s">
        <v>90</v>
      </c>
      <c r="N48" s="156"/>
      <c r="P48" s="572"/>
      <c r="Q48" s="1106" t="s">
        <v>482</v>
      </c>
      <c r="R48" s="1154">
        <f t="shared" si="2"/>
        <v>10.263601311188408</v>
      </c>
      <c r="S48" s="1154">
        <f t="shared" si="3"/>
        <v>6.8275396292711141</v>
      </c>
      <c r="T48" s="1111">
        <f>R48/'Use '!J$4</f>
        <v>0.32199533525296964</v>
      </c>
      <c r="U48" s="1153">
        <f>S48/'Use '!J$6</f>
        <v>0.1899070880415864</v>
      </c>
      <c r="V48" s="1112">
        <f>R48*('LCA Calculations'!E$96+'LCA Calculations'!E$108)/100</f>
        <v>9.0011783499122338</v>
      </c>
      <c r="W48" s="1113">
        <f>S48*('LCA Calculations'!E$92+'LCA Calculations'!E$106)/100</f>
        <v>6.0765102700512923</v>
      </c>
    </row>
    <row r="49" spans="1:20" x14ac:dyDescent="0.2">
      <c r="P49" s="199"/>
      <c r="Q49" s="199"/>
      <c r="R49" s="199"/>
      <c r="S49" s="199"/>
      <c r="T49" s="199"/>
    </row>
    <row r="50" spans="1:20" ht="15" thickBot="1" x14ac:dyDescent="0.3">
      <c r="A50" s="9"/>
      <c r="D50" s="151" t="s">
        <v>334</v>
      </c>
      <c r="G50" s="9"/>
      <c r="P50" s="199"/>
      <c r="Q50" s="199"/>
      <c r="R50" s="199"/>
      <c r="S50" s="199"/>
      <c r="T50" s="199"/>
    </row>
    <row r="51" spans="1:20" x14ac:dyDescent="0.2">
      <c r="A51" s="1" t="s">
        <v>307</v>
      </c>
      <c r="D51" s="167" t="s">
        <v>22</v>
      </c>
      <c r="E51" s="80" t="s">
        <v>16</v>
      </c>
      <c r="F51" s="81" t="s">
        <v>53</v>
      </c>
      <c r="G51" s="81" t="s">
        <v>17</v>
      </c>
      <c r="H51" s="166" t="s">
        <v>86</v>
      </c>
      <c r="I51" s="168" t="s">
        <v>72</v>
      </c>
      <c r="J51" s="168" t="s">
        <v>75</v>
      </c>
      <c r="K51" s="172" t="s">
        <v>74</v>
      </c>
      <c r="L51" s="169" t="s">
        <v>22</v>
      </c>
      <c r="P51" s="199"/>
      <c r="Q51" s="199"/>
      <c r="R51" s="199"/>
      <c r="S51" s="199"/>
      <c r="T51" s="199"/>
    </row>
    <row r="52" spans="1:20" ht="13.5" thickBot="1" x14ac:dyDescent="0.25">
      <c r="A52" s="6" t="s">
        <v>308</v>
      </c>
      <c r="B52" s="1">
        <f ca="1">INDIRECT(ADDRESS(52+K3,5+A3))</f>
        <v>1260</v>
      </c>
      <c r="D52" s="82" t="s">
        <v>174</v>
      </c>
      <c r="E52" s="191">
        <v>1260</v>
      </c>
      <c r="F52" s="192">
        <v>1350</v>
      </c>
      <c r="G52" s="192">
        <v>1335</v>
      </c>
      <c r="H52" s="192">
        <v>1335</v>
      </c>
      <c r="I52" s="193">
        <v>1107</v>
      </c>
      <c r="J52" s="193">
        <v>1268</v>
      </c>
      <c r="K52" s="194">
        <v>1097</v>
      </c>
      <c r="L52" s="171" t="s">
        <v>173</v>
      </c>
    </row>
    <row r="53" spans="1:20" ht="16.5" thickBot="1" x14ac:dyDescent="0.35">
      <c r="A53" s="108" t="s">
        <v>142</v>
      </c>
      <c r="B53" s="213">
        <f ca="1">CW</f>
        <v>1260</v>
      </c>
      <c r="D53" s="82" t="s">
        <v>196</v>
      </c>
      <c r="E53" s="191">
        <v>1640</v>
      </c>
      <c r="F53" s="192">
        <v>1740</v>
      </c>
      <c r="G53" s="192">
        <v>1752</v>
      </c>
      <c r="H53" s="192">
        <v>1752</v>
      </c>
      <c r="I53" s="195">
        <v>1349</v>
      </c>
      <c r="J53" s="195">
        <v>1512</v>
      </c>
      <c r="K53" s="196">
        <v>1334</v>
      </c>
      <c r="L53" s="170" t="s">
        <v>172</v>
      </c>
    </row>
    <row r="54" spans="1:20" ht="13.5" thickBot="1" x14ac:dyDescent="0.25">
      <c r="D54" s="83" t="s">
        <v>63</v>
      </c>
      <c r="E54" s="197">
        <v>2195</v>
      </c>
      <c r="F54" s="198">
        <v>2320</v>
      </c>
      <c r="G54" s="198">
        <v>2345</v>
      </c>
      <c r="H54" s="197">
        <v>2345</v>
      </c>
      <c r="I54" s="199"/>
      <c r="J54" s="199"/>
      <c r="K54" s="199"/>
    </row>
    <row r="55" spans="1:20" x14ac:dyDescent="0.2">
      <c r="A55" s="1" t="s">
        <v>307</v>
      </c>
    </row>
    <row r="56" spans="1:20" ht="13.5" thickBot="1" x14ac:dyDescent="0.25">
      <c r="A56" s="1" t="s">
        <v>306</v>
      </c>
      <c r="B56" s="1">
        <f ca="1">INDIRECT(ADDRESS(58+K3,5+A3))</f>
        <v>360</v>
      </c>
      <c r="D56" s="151" t="s">
        <v>182</v>
      </c>
    </row>
    <row r="57" spans="1:20" x14ac:dyDescent="0.2">
      <c r="D57" s="167" t="s">
        <v>22</v>
      </c>
      <c r="E57" s="80" t="s">
        <v>16</v>
      </c>
      <c r="F57" s="81" t="s">
        <v>53</v>
      </c>
      <c r="G57" s="81" t="s">
        <v>17</v>
      </c>
      <c r="H57" s="166" t="s">
        <v>86</v>
      </c>
      <c r="I57" s="168" t="s">
        <v>72</v>
      </c>
      <c r="J57" s="168" t="s">
        <v>75</v>
      </c>
      <c r="K57" s="168" t="s">
        <v>74</v>
      </c>
      <c r="L57" s="169" t="s">
        <v>22</v>
      </c>
    </row>
    <row r="58" spans="1:20" ht="13.5" thickBot="1" x14ac:dyDescent="0.25">
      <c r="A58" s="121" t="s">
        <v>183</v>
      </c>
      <c r="D58" s="82" t="s">
        <v>174</v>
      </c>
      <c r="E58" s="191">
        <v>360</v>
      </c>
      <c r="F58" s="191">
        <v>360</v>
      </c>
      <c r="G58" s="191">
        <v>360</v>
      </c>
      <c r="H58" s="192">
        <v>360</v>
      </c>
      <c r="I58" s="193">
        <v>290</v>
      </c>
      <c r="J58" s="193">
        <v>290</v>
      </c>
      <c r="K58" s="193">
        <v>290</v>
      </c>
      <c r="L58" s="171" t="s">
        <v>173</v>
      </c>
    </row>
    <row r="59" spans="1:20" ht="16.5" thickBot="1" x14ac:dyDescent="0.35">
      <c r="A59" s="108" t="s">
        <v>141</v>
      </c>
      <c r="B59" s="124">
        <f ca="1">0.0623*IF(K3=0,2.03,2.26)*B53*IF(A3=6,145,IF(A3=5,40,IF(A3=4,20,0)))*1.609/1000</f>
        <v>0</v>
      </c>
      <c r="D59" s="82" t="s">
        <v>196</v>
      </c>
      <c r="E59" s="191">
        <v>400</v>
      </c>
      <c r="F59" s="191">
        <v>400</v>
      </c>
      <c r="G59" s="191">
        <v>400</v>
      </c>
      <c r="H59" s="192">
        <v>400</v>
      </c>
      <c r="I59" s="195">
        <v>360</v>
      </c>
      <c r="J59" s="195">
        <v>360</v>
      </c>
      <c r="K59" s="195">
        <v>360</v>
      </c>
      <c r="L59" s="170" t="s">
        <v>172</v>
      </c>
    </row>
    <row r="60" spans="1:20" ht="13.5" thickBot="1" x14ac:dyDescent="0.25">
      <c r="A60" s="121" t="s">
        <v>139</v>
      </c>
      <c r="D60" s="83" t="s">
        <v>63</v>
      </c>
      <c r="E60" s="197">
        <v>540</v>
      </c>
      <c r="F60" s="197">
        <v>540</v>
      </c>
      <c r="G60" s="197">
        <v>540</v>
      </c>
      <c r="H60" s="197">
        <v>540</v>
      </c>
      <c r="I60" s="199"/>
      <c r="J60" s="199"/>
      <c r="K60" s="199"/>
    </row>
    <row r="61" spans="1:20" ht="16.5" thickBot="1" x14ac:dyDescent="0.35">
      <c r="A61" s="123" t="s">
        <v>143</v>
      </c>
      <c r="B61" s="214">
        <f ca="1">B59/B70</f>
        <v>0</v>
      </c>
    </row>
    <row r="62" spans="1:20" ht="15" thickBot="1" x14ac:dyDescent="0.3">
      <c r="D62" s="2" t="s">
        <v>335</v>
      </c>
    </row>
    <row r="63" spans="1:20" ht="15" thickBot="1" x14ac:dyDescent="0.25">
      <c r="A63" s="121" t="s">
        <v>200</v>
      </c>
      <c r="D63" s="167" t="s">
        <v>22</v>
      </c>
      <c r="E63" s="80" t="s">
        <v>16</v>
      </c>
      <c r="F63" s="81" t="s">
        <v>53</v>
      </c>
      <c r="G63" s="81" t="s">
        <v>17</v>
      </c>
      <c r="H63" s="166" t="s">
        <v>86</v>
      </c>
      <c r="I63" s="168" t="s">
        <v>72</v>
      </c>
      <c r="J63" s="168" t="s">
        <v>75</v>
      </c>
      <c r="K63" s="168" t="s">
        <v>74</v>
      </c>
      <c r="L63" s="169" t="s">
        <v>22</v>
      </c>
    </row>
    <row r="64" spans="1:20" ht="13.5" thickBot="1" x14ac:dyDescent="0.25">
      <c r="A64" s="108" t="s">
        <v>132</v>
      </c>
      <c r="B64" s="126">
        <f ca="1">INDIRECT(ADDRESS(70+K3,5+A3))</f>
        <v>2.16</v>
      </c>
      <c r="D64" s="82" t="s">
        <v>174</v>
      </c>
      <c r="E64" s="200">
        <v>0</v>
      </c>
      <c r="F64" s="200">
        <v>0</v>
      </c>
      <c r="G64" s="200">
        <v>0</v>
      </c>
      <c r="H64" s="201">
        <v>0</v>
      </c>
      <c r="I64" s="202">
        <f>14*331/1000</f>
        <v>4.6340000000000003</v>
      </c>
      <c r="J64" s="202">
        <f>31*331/1000</f>
        <v>10.260999999999999</v>
      </c>
      <c r="K64" s="202">
        <f>95*331/1000</f>
        <v>31.445</v>
      </c>
      <c r="L64" s="171" t="s">
        <v>173</v>
      </c>
    </row>
    <row r="65" spans="1:17" ht="13.5" thickBot="1" x14ac:dyDescent="0.25">
      <c r="A65" s="121" t="s">
        <v>135</v>
      </c>
      <c r="D65" s="82" t="s">
        <v>196</v>
      </c>
      <c r="E65" s="200">
        <v>0</v>
      </c>
      <c r="F65" s="200">
        <v>0</v>
      </c>
      <c r="G65" s="200">
        <v>0</v>
      </c>
      <c r="H65" s="201">
        <v>0</v>
      </c>
      <c r="I65" s="203">
        <f>17*331/1000</f>
        <v>5.6269999999999998</v>
      </c>
      <c r="J65" s="203">
        <f>36*331/1000</f>
        <v>11.916</v>
      </c>
      <c r="K65" s="203">
        <f>117*331/1000</f>
        <v>38.726999999999997</v>
      </c>
      <c r="L65" s="170" t="s">
        <v>172</v>
      </c>
    </row>
    <row r="66" spans="1:17" ht="13.5" thickBot="1" x14ac:dyDescent="0.25">
      <c r="A66" s="123" t="s">
        <v>133</v>
      </c>
      <c r="B66" s="125">
        <f ca="1">0.0623*B64</f>
        <v>0.13456800000000002</v>
      </c>
      <c r="D66" s="83" t="s">
        <v>63</v>
      </c>
      <c r="E66" s="204">
        <v>0</v>
      </c>
      <c r="F66" s="204">
        <v>0</v>
      </c>
      <c r="G66" s="204">
        <v>0</v>
      </c>
      <c r="H66" s="204">
        <v>0</v>
      </c>
      <c r="I66" s="205"/>
      <c r="J66" s="205"/>
      <c r="K66" s="205"/>
    </row>
    <row r="67" spans="1:17" ht="13.5" thickBot="1" x14ac:dyDescent="0.25">
      <c r="A67" s="121" t="s">
        <v>131</v>
      </c>
      <c r="I67" s="122"/>
      <c r="J67" s="122"/>
      <c r="K67" s="122"/>
    </row>
    <row r="68" spans="1:17" ht="15" thickBot="1" x14ac:dyDescent="0.25">
      <c r="A68" s="123" t="s">
        <v>134</v>
      </c>
      <c r="B68" s="125">
        <f ca="1">1000*B59/(B66*B53)</f>
        <v>0</v>
      </c>
      <c r="D68" s="2" t="s">
        <v>184</v>
      </c>
    </row>
    <row r="69" spans="1:17" ht="13.5" thickBot="1" x14ac:dyDescent="0.25">
      <c r="A69" s="121" t="s">
        <v>138</v>
      </c>
      <c r="D69" s="167" t="s">
        <v>22</v>
      </c>
      <c r="E69" s="80" t="s">
        <v>16</v>
      </c>
      <c r="F69" s="81" t="s">
        <v>53</v>
      </c>
      <c r="G69" s="81" t="s">
        <v>17</v>
      </c>
      <c r="H69" s="166" t="s">
        <v>86</v>
      </c>
      <c r="I69" s="168" t="s">
        <v>72</v>
      </c>
      <c r="J69" s="168" t="s">
        <v>75</v>
      </c>
      <c r="K69" s="168" t="s">
        <v>74</v>
      </c>
      <c r="L69" s="169" t="s">
        <v>22</v>
      </c>
    </row>
    <row r="70" spans="1:17" ht="13.5" thickBot="1" x14ac:dyDescent="0.25">
      <c r="A70" s="123" t="s">
        <v>140</v>
      </c>
      <c r="B70" s="183">
        <f>'Expert Data Input'!B28</f>
        <v>0.155</v>
      </c>
      <c r="D70" s="82" t="s">
        <v>174</v>
      </c>
      <c r="E70" s="206">
        <v>2.16</v>
      </c>
      <c r="F70" s="206">
        <v>2.16</v>
      </c>
      <c r="G70" s="206">
        <v>2.16</v>
      </c>
      <c r="H70" s="207">
        <v>2.16</v>
      </c>
      <c r="I70" s="208">
        <v>2.0299999999999998</v>
      </c>
      <c r="J70" s="208">
        <v>2.0299999999999998</v>
      </c>
      <c r="K70" s="208">
        <v>2.0299999999999998</v>
      </c>
      <c r="L70" s="171" t="s">
        <v>173</v>
      </c>
    </row>
    <row r="71" spans="1:17" ht="13.5" thickBot="1" x14ac:dyDescent="0.25">
      <c r="A71" s="121" t="s">
        <v>136</v>
      </c>
      <c r="D71" s="82" t="s">
        <v>196</v>
      </c>
      <c r="E71" s="206">
        <v>2.2400000000000002</v>
      </c>
      <c r="F71" s="206">
        <v>2.2400000000000002</v>
      </c>
      <c r="G71" s="206">
        <v>2.2400000000000002</v>
      </c>
      <c r="H71" s="207">
        <v>2.2400000000000002</v>
      </c>
      <c r="I71" s="209">
        <v>2.2599999999999998</v>
      </c>
      <c r="J71" s="209">
        <v>2.2599999999999998</v>
      </c>
      <c r="K71" s="209">
        <v>2.2599999999999998</v>
      </c>
      <c r="L71" s="170" t="s">
        <v>172</v>
      </c>
    </row>
    <row r="72" spans="1:17" ht="13.5" thickBot="1" x14ac:dyDescent="0.25">
      <c r="A72" s="123" t="s">
        <v>137</v>
      </c>
      <c r="B72" s="109">
        <f ca="1">(B66*B68)/(1000*B70-B66*B68)</f>
        <v>0</v>
      </c>
      <c r="D72" s="83" t="s">
        <v>63</v>
      </c>
      <c r="E72" s="210">
        <v>2.78</v>
      </c>
      <c r="F72" s="210">
        <v>2.78</v>
      </c>
      <c r="G72" s="210">
        <v>2.78</v>
      </c>
      <c r="H72" s="210">
        <v>2.78</v>
      </c>
      <c r="I72" s="211"/>
      <c r="J72" s="211"/>
      <c r="K72" s="211"/>
    </row>
    <row r="74" spans="1:17" x14ac:dyDescent="0.2">
      <c r="A74" s="121" t="s">
        <v>121</v>
      </c>
    </row>
    <row r="75" spans="1:17" x14ac:dyDescent="0.2">
      <c r="A75" s="1" t="s">
        <v>478</v>
      </c>
      <c r="D75" s="1" t="s">
        <v>847</v>
      </c>
    </row>
    <row r="76" spans="1:17" x14ac:dyDescent="0.2">
      <c r="A76" s="121" t="s">
        <v>122</v>
      </c>
      <c r="D76" s="121" t="s">
        <v>479</v>
      </c>
      <c r="H76" s="9"/>
      <c r="I76" s="9"/>
      <c r="J76" s="9"/>
      <c r="K76" s="9"/>
      <c r="L76" s="9"/>
      <c r="M76" s="9"/>
    </row>
    <row r="77" spans="1:17" x14ac:dyDescent="0.2">
      <c r="A77" s="121" t="s">
        <v>123</v>
      </c>
      <c r="D77" s="121" t="s">
        <v>848</v>
      </c>
      <c r="H77" s="9"/>
      <c r="I77" s="9"/>
      <c r="J77" s="9"/>
      <c r="K77" s="9"/>
      <c r="L77" s="9"/>
      <c r="M77" s="9"/>
    </row>
    <row r="78" spans="1:17" x14ac:dyDescent="0.2">
      <c r="H78" s="145"/>
      <c r="I78" s="118"/>
      <c r="J78" s="118"/>
      <c r="K78" s="145"/>
      <c r="L78" s="118"/>
      <c r="M78" s="118"/>
    </row>
    <row r="79" spans="1:17" x14ac:dyDescent="0.2">
      <c r="H79" s="118"/>
      <c r="I79" s="145"/>
      <c r="J79" s="145"/>
      <c r="K79" s="118"/>
      <c r="L79" s="145"/>
      <c r="M79" s="145"/>
      <c r="N79" s="121"/>
      <c r="Q79" s="121"/>
    </row>
    <row r="80" spans="1:17" x14ac:dyDescent="0.2">
      <c r="H80" s="145"/>
      <c r="I80" s="118"/>
      <c r="J80" s="118"/>
      <c r="K80" s="145"/>
      <c r="L80" s="118"/>
      <c r="M80" s="118"/>
      <c r="N80" s="121"/>
      <c r="Q80" s="121"/>
    </row>
    <row r="81" spans="1:17" x14ac:dyDescent="0.2">
      <c r="H81" s="118"/>
      <c r="I81" s="146"/>
      <c r="J81" s="146"/>
      <c r="K81" s="118"/>
      <c r="L81" s="146"/>
      <c r="M81" s="146"/>
      <c r="N81" s="121"/>
      <c r="Q81" s="121"/>
    </row>
    <row r="82" spans="1:17" x14ac:dyDescent="0.2">
      <c r="H82" s="144"/>
      <c r="I82" s="147"/>
      <c r="J82" s="118"/>
      <c r="K82" s="9"/>
      <c r="L82" s="9"/>
      <c r="M82" s="9"/>
      <c r="N82" s="121"/>
      <c r="Q82" s="121"/>
    </row>
    <row r="83" spans="1:17" x14ac:dyDescent="0.2">
      <c r="H83" s="144"/>
      <c r="I83" s="118"/>
      <c r="J83" s="118"/>
      <c r="K83" s="9"/>
      <c r="L83" s="9"/>
      <c r="M83" s="9"/>
      <c r="N83" s="121"/>
      <c r="Q83" s="121"/>
    </row>
    <row r="84" spans="1:17" x14ac:dyDescent="0.2">
      <c r="H84" s="144"/>
      <c r="I84" s="147"/>
      <c r="J84" s="118"/>
      <c r="K84" s="9"/>
      <c r="L84" s="9"/>
      <c r="M84" s="9"/>
      <c r="N84" s="121"/>
      <c r="Q84" s="121"/>
    </row>
    <row r="85" spans="1:17" x14ac:dyDescent="0.2">
      <c r="H85" s="144"/>
      <c r="I85" s="118"/>
      <c r="J85" s="118"/>
      <c r="K85" s="9"/>
      <c r="L85" s="9"/>
      <c r="M85" s="9"/>
    </row>
    <row r="86" spans="1:17" x14ac:dyDescent="0.2">
      <c r="H86" s="9"/>
      <c r="I86" s="9"/>
      <c r="J86" s="9"/>
      <c r="K86" s="9"/>
      <c r="L86" s="9"/>
      <c r="M86" s="9"/>
    </row>
    <row r="87" spans="1:17" x14ac:dyDescent="0.2">
      <c r="H87" s="9"/>
      <c r="I87" s="9"/>
      <c r="J87" s="9"/>
      <c r="K87" s="9"/>
      <c r="L87" s="9"/>
      <c r="M87" s="9"/>
    </row>
    <row r="91" spans="1:17" x14ac:dyDescent="0.2">
      <c r="A91" s="22"/>
    </row>
    <row r="92" spans="1:17" x14ac:dyDescent="0.2">
      <c r="A92" s="22"/>
    </row>
  </sheetData>
  <mergeCells count="3">
    <mergeCell ref="R18:S19"/>
    <mergeCell ref="T18:U19"/>
    <mergeCell ref="V18:W19"/>
  </mergeCells>
  <phoneticPr fontId="6" type="noConversion"/>
  <pageMargins left="0.75" right="0.75" top="1" bottom="1" header="0.5" footer="0.5"/>
  <pageSetup scale="69" orientation="landscape" horizontalDpi="4294967292" verticalDpi="4294967292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6">
    <tabColor rgb="FFCCFFCC"/>
  </sheetPr>
  <dimension ref="A1:U132"/>
  <sheetViews>
    <sheetView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E21" sqref="E21"/>
    </sheetView>
  </sheetViews>
  <sheetFormatPr defaultColWidth="9" defaultRowHeight="12.75" x14ac:dyDescent="0.2"/>
  <cols>
    <col min="1" max="1" width="28.125" style="217" bestFit="1" customWidth="1"/>
    <col min="2" max="2" width="3.75" style="217" bestFit="1" customWidth="1"/>
    <col min="3" max="3" width="10.5" style="578" bestFit="1" customWidth="1"/>
    <col min="4" max="5" width="12.375" style="578" bestFit="1" customWidth="1"/>
    <col min="6" max="8" width="9.75" style="577" bestFit="1" customWidth="1"/>
    <col min="9" max="9" width="15.125" style="217" bestFit="1" customWidth="1"/>
    <col min="10" max="11" width="9.625" style="217" bestFit="1" customWidth="1"/>
    <col min="12" max="12" width="9.75" style="217" bestFit="1" customWidth="1"/>
    <col min="13" max="13" width="10.125" style="217" customWidth="1"/>
    <col min="14" max="14" width="12.375" style="217" bestFit="1" customWidth="1"/>
    <col min="15" max="15" width="9.75" style="217" bestFit="1" customWidth="1"/>
    <col min="16" max="16" width="10.625" style="217" bestFit="1" customWidth="1"/>
    <col min="17" max="17" width="12.375" style="217" bestFit="1" customWidth="1"/>
    <col min="18" max="18" width="13.75" style="217" customWidth="1"/>
    <col min="19" max="16384" width="9" style="217"/>
  </cols>
  <sheetData>
    <row r="1" spans="1:19" x14ac:dyDescent="0.2">
      <c r="B1" s="577" t="s">
        <v>337</v>
      </c>
      <c r="C1" s="910" t="s">
        <v>41</v>
      </c>
      <c r="D1" s="910" t="s">
        <v>42</v>
      </c>
      <c r="E1" s="910" t="s">
        <v>3</v>
      </c>
      <c r="F1" s="577" t="s">
        <v>69</v>
      </c>
      <c r="G1" s="577" t="s">
        <v>44</v>
      </c>
      <c r="H1" s="577" t="s">
        <v>45</v>
      </c>
      <c r="I1" s="577" t="s">
        <v>69</v>
      </c>
      <c r="J1" s="577" t="s">
        <v>44</v>
      </c>
      <c r="K1" s="577" t="s">
        <v>45</v>
      </c>
      <c r="L1" s="577" t="s">
        <v>69</v>
      </c>
      <c r="M1" s="577" t="s">
        <v>44</v>
      </c>
      <c r="N1" s="577" t="s">
        <v>45</v>
      </c>
      <c r="O1" s="577" t="s">
        <v>69</v>
      </c>
      <c r="P1" s="577" t="s">
        <v>44</v>
      </c>
      <c r="Q1" s="577" t="s">
        <v>45</v>
      </c>
    </row>
    <row r="2" spans="1:19" ht="13.5" thickBot="1" x14ac:dyDescent="0.25">
      <c r="B2" s="577"/>
      <c r="C2" s="910" t="s">
        <v>362</v>
      </c>
      <c r="D2" s="910" t="s">
        <v>362</v>
      </c>
      <c r="E2" s="910" t="s">
        <v>452</v>
      </c>
      <c r="F2" s="577" t="s">
        <v>361</v>
      </c>
      <c r="G2" s="577" t="s">
        <v>361</v>
      </c>
      <c r="H2" s="577" t="s">
        <v>361</v>
      </c>
      <c r="I2" s="577" t="s">
        <v>0</v>
      </c>
      <c r="J2" s="577" t="s">
        <v>0</v>
      </c>
      <c r="K2" s="577" t="s">
        <v>0</v>
      </c>
      <c r="L2" s="577" t="s">
        <v>418</v>
      </c>
      <c r="M2" s="577" t="s">
        <v>418</v>
      </c>
      <c r="N2" s="577" t="s">
        <v>418</v>
      </c>
      <c r="O2" s="577" t="s">
        <v>419</v>
      </c>
      <c r="P2" s="577" t="s">
        <v>419</v>
      </c>
      <c r="Q2" s="577" t="s">
        <v>419</v>
      </c>
      <c r="R2" s="217" t="s">
        <v>485</v>
      </c>
    </row>
    <row r="3" spans="1:19" x14ac:dyDescent="0.2">
      <c r="A3" s="682" t="s">
        <v>484</v>
      </c>
      <c r="B3" s="580" t="s">
        <v>94</v>
      </c>
      <c r="C3" s="911">
        <v>154</v>
      </c>
      <c r="D3" s="911">
        <v>109</v>
      </c>
      <c r="E3" s="911">
        <v>10.7</v>
      </c>
      <c r="F3" s="696">
        <f>IF('Expert Data Input'!D15="Global",0,SUM('Material Flows'!C11:C13))</f>
        <v>0</v>
      </c>
      <c r="G3" s="696">
        <f>IF('Expert Data Input'!D15="Global",0,SUM('Material Flows'!G11:G13))</f>
        <v>0</v>
      </c>
      <c r="H3" s="696">
        <f>IF('Expert Data Input'!D15="Global",0,SUM('Material Flows'!K11:K13))</f>
        <v>0</v>
      </c>
      <c r="I3" s="683">
        <f>$E3*F3</f>
        <v>0</v>
      </c>
      <c r="J3" s="683">
        <f t="shared" ref="J3:J24" si="0">$E3*G3</f>
        <v>0</v>
      </c>
      <c r="K3" s="683">
        <f t="shared" ref="K3:K24" si="1">$E3*H3</f>
        <v>0</v>
      </c>
      <c r="L3" s="687">
        <f>$C3*F3</f>
        <v>0</v>
      </c>
      <c r="M3" s="687">
        <f t="shared" ref="M3:N3" si="2">$C3*G3</f>
        <v>0</v>
      </c>
      <c r="N3" s="687">
        <f t="shared" si="2"/>
        <v>0</v>
      </c>
      <c r="O3" s="687">
        <f>$D3*F3</f>
        <v>0</v>
      </c>
      <c r="P3" s="687">
        <f t="shared" ref="P3:Q3" si="3">$D3*G3</f>
        <v>0</v>
      </c>
      <c r="Q3" s="688">
        <f t="shared" si="3"/>
        <v>0</v>
      </c>
      <c r="R3" s="217" t="s">
        <v>486</v>
      </c>
    </row>
    <row r="4" spans="1:19" x14ac:dyDescent="0.2">
      <c r="A4" s="216" t="s">
        <v>483</v>
      </c>
      <c r="B4" s="216" t="s">
        <v>94</v>
      </c>
      <c r="C4" s="912">
        <v>191</v>
      </c>
      <c r="D4" s="912">
        <v>163</v>
      </c>
      <c r="E4" s="912">
        <v>16.399999999999999</v>
      </c>
      <c r="F4" s="697">
        <f ca="1">IF('Expert Data Input'!D15="Global",SUM('Material Flows'!C11:C13),0)</f>
        <v>48.143076923076933</v>
      </c>
      <c r="G4" s="697">
        <f ca="1">IF('Expert Data Input'!D15="Global",SUM('Material Flows'!G11:G13),0)</f>
        <v>38.057019230769235</v>
      </c>
      <c r="H4" s="697">
        <f ca="1">IF('Expert Data Input'!D15="Global",SUM('Material Flows'!K11:K13),0)</f>
        <v>449.97178846153844</v>
      </c>
      <c r="I4" s="457">
        <f ca="1">$E4*F4</f>
        <v>789.54646153846159</v>
      </c>
      <c r="J4" s="457">
        <f ca="1">$E4*G4</f>
        <v>624.13511538461535</v>
      </c>
      <c r="K4" s="457">
        <f ca="1">$E4*H4</f>
        <v>7379.5373307692298</v>
      </c>
      <c r="L4" s="186">
        <f ca="1">$C4*F4</f>
        <v>9195.3276923076937</v>
      </c>
      <c r="M4" s="186">
        <f ca="1">$C4*G4</f>
        <v>7268.890673076924</v>
      </c>
      <c r="N4" s="186">
        <f ca="1">$C4*H4</f>
        <v>85944.611596153845</v>
      </c>
      <c r="O4" s="186">
        <f ca="1">$D4*F4</f>
        <v>7847.3215384615396</v>
      </c>
      <c r="P4" s="186">
        <f ca="1">$D4*G4</f>
        <v>6203.2941346153857</v>
      </c>
      <c r="Q4" s="689">
        <f ca="1">$D4*H4</f>
        <v>73345.401519230771</v>
      </c>
      <c r="R4" s="907" t="s">
        <v>487</v>
      </c>
    </row>
    <row r="5" spans="1:19" x14ac:dyDescent="0.2">
      <c r="A5" s="93" t="s">
        <v>434</v>
      </c>
      <c r="B5" s="216" t="s">
        <v>94</v>
      </c>
      <c r="C5" s="912">
        <v>8.5500000000000007</v>
      </c>
      <c r="D5" s="912">
        <v>8.27</v>
      </c>
      <c r="E5" s="912">
        <v>0.51100000000000001</v>
      </c>
      <c r="F5" s="697">
        <f ca="1">SUM('Material Flows'!D11:D13)</f>
        <v>62.22</v>
      </c>
      <c r="G5" s="697">
        <f ca="1">SUM('Material Flows'!H11:H13)</f>
        <v>53.613749999999996</v>
      </c>
      <c r="H5" s="697">
        <f ca="1">SUM('Material Flows'!L11:L13)</f>
        <v>50.859749999999998</v>
      </c>
      <c r="I5" s="457">
        <f ca="1">$E5*F5</f>
        <v>31.794419999999999</v>
      </c>
      <c r="J5" s="457">
        <f t="shared" ca="1" si="0"/>
        <v>27.396626249999997</v>
      </c>
      <c r="K5" s="457">
        <f t="shared" ca="1" si="1"/>
        <v>25.98933225</v>
      </c>
      <c r="L5" s="186">
        <f t="shared" ref="L5:L24" ca="1" si="4">$C5*F5</f>
        <v>531.98099999999999</v>
      </c>
      <c r="M5" s="186">
        <f t="shared" ref="M5:M24" ca="1" si="5">$C5*G5</f>
        <v>458.39756249999999</v>
      </c>
      <c r="N5" s="186">
        <f t="shared" ref="N5:N24" ca="1" si="6">$C5*H5</f>
        <v>434.85086250000001</v>
      </c>
      <c r="O5" s="186">
        <f t="shared" ref="O5:O24" ca="1" si="7">$D5*F5</f>
        <v>514.55939999999998</v>
      </c>
      <c r="P5" s="186">
        <f t="shared" ref="P5:P24" ca="1" si="8">$D5*G5</f>
        <v>443.38571249999995</v>
      </c>
      <c r="Q5" s="689">
        <f t="shared" ref="Q5:Q23" ca="1" si="9">$D5*H5</f>
        <v>420.61013249999996</v>
      </c>
      <c r="R5" s="217" t="s">
        <v>488</v>
      </c>
    </row>
    <row r="6" spans="1:19" x14ac:dyDescent="0.2">
      <c r="A6" s="93" t="s">
        <v>130</v>
      </c>
      <c r="B6" s="216" t="s">
        <v>94</v>
      </c>
      <c r="C6" s="912">
        <v>266</v>
      </c>
      <c r="D6" s="912">
        <v>244</v>
      </c>
      <c r="E6" s="912">
        <v>19.899999999999999</v>
      </c>
      <c r="F6" s="697">
        <f ca="1">'Material Flows'!C25</f>
        <v>0</v>
      </c>
      <c r="G6" s="697">
        <f ca="1">'Material Flows'!G25</f>
        <v>0</v>
      </c>
      <c r="H6" s="697">
        <f ca="1">'Material Flows'!K25</f>
        <v>0</v>
      </c>
      <c r="I6" s="457">
        <f ca="1">$E6*F6</f>
        <v>0</v>
      </c>
      <c r="J6" s="457">
        <f ca="1">$E6*G6</f>
        <v>0</v>
      </c>
      <c r="K6" s="457">
        <f ca="1">$E6*H6</f>
        <v>0</v>
      </c>
      <c r="L6" s="186">
        <f ca="1">$C6*F6</f>
        <v>0</v>
      </c>
      <c r="M6" s="186">
        <f t="shared" ca="1" si="5"/>
        <v>0</v>
      </c>
      <c r="N6" s="186">
        <f t="shared" ca="1" si="6"/>
        <v>0</v>
      </c>
      <c r="O6" s="186">
        <f t="shared" ca="1" si="7"/>
        <v>0</v>
      </c>
      <c r="P6" s="186">
        <f t="shared" ca="1" si="8"/>
        <v>0</v>
      </c>
      <c r="Q6" s="689">
        <f t="shared" ca="1" si="9"/>
        <v>0</v>
      </c>
      <c r="R6" s="217" t="s">
        <v>489</v>
      </c>
      <c r="S6" s="101"/>
    </row>
    <row r="7" spans="1:19" x14ac:dyDescent="0.2">
      <c r="A7" s="684" t="s">
        <v>435</v>
      </c>
      <c r="B7" s="216" t="s">
        <v>94</v>
      </c>
      <c r="C7" s="912">
        <v>402</v>
      </c>
      <c r="D7" s="912">
        <v>355</v>
      </c>
      <c r="E7" s="912">
        <v>20.2</v>
      </c>
      <c r="F7" s="697">
        <f ca="1">'Material Flows'!C18</f>
        <v>0</v>
      </c>
      <c r="G7" s="697">
        <f ca="1">'Material Flows'!G18</f>
        <v>0</v>
      </c>
      <c r="H7" s="697">
        <f ca="1">'Material Flows'!K18</f>
        <v>0</v>
      </c>
      <c r="I7" s="457">
        <f t="shared" ref="I7:I24" ca="1" si="10">$E7*F7</f>
        <v>0</v>
      </c>
      <c r="J7" s="457">
        <f t="shared" ca="1" si="0"/>
        <v>0</v>
      </c>
      <c r="K7" s="457">
        <f t="shared" ca="1" si="1"/>
        <v>0</v>
      </c>
      <c r="L7" s="186">
        <f t="shared" ca="1" si="4"/>
        <v>0</v>
      </c>
      <c r="M7" s="186">
        <f t="shared" ca="1" si="5"/>
        <v>0</v>
      </c>
      <c r="N7" s="186">
        <f t="shared" ca="1" si="6"/>
        <v>0</v>
      </c>
      <c r="O7" s="186">
        <f t="shared" ca="1" si="7"/>
        <v>0</v>
      </c>
      <c r="P7" s="186">
        <f t="shared" ca="1" si="8"/>
        <v>0</v>
      </c>
      <c r="Q7" s="689">
        <f t="shared" ca="1" si="9"/>
        <v>0</v>
      </c>
      <c r="R7" s="217" t="s">
        <v>490</v>
      </c>
    </row>
    <row r="8" spans="1:19" x14ac:dyDescent="0.2">
      <c r="A8" s="684" t="s">
        <v>436</v>
      </c>
      <c r="B8" s="216" t="s">
        <v>94</v>
      </c>
      <c r="C8" s="912"/>
      <c r="D8" s="912"/>
      <c r="E8" s="912"/>
      <c r="F8" s="697">
        <f ca="1">'Material Flows'!D18</f>
        <v>0</v>
      </c>
      <c r="G8" s="697">
        <f ca="1">'Material Flows'!H18</f>
        <v>0</v>
      </c>
      <c r="H8" s="697">
        <f ca="1">'Material Flows'!L18</f>
        <v>0</v>
      </c>
      <c r="I8" s="457">
        <f t="shared" ca="1" si="10"/>
        <v>0</v>
      </c>
      <c r="J8" s="457">
        <f t="shared" ca="1" si="0"/>
        <v>0</v>
      </c>
      <c r="K8" s="457">
        <f t="shared" ca="1" si="1"/>
        <v>0</v>
      </c>
      <c r="L8" s="186">
        <f t="shared" ca="1" si="4"/>
        <v>0</v>
      </c>
      <c r="M8" s="186">
        <f t="shared" ca="1" si="5"/>
        <v>0</v>
      </c>
      <c r="N8" s="186">
        <f t="shared" ca="1" si="6"/>
        <v>0</v>
      </c>
      <c r="O8" s="186">
        <f t="shared" ca="1" si="7"/>
        <v>0</v>
      </c>
      <c r="P8" s="186">
        <f t="shared" ca="1" si="8"/>
        <v>0</v>
      </c>
      <c r="Q8" s="689">
        <f t="shared" ca="1" si="9"/>
        <v>0</v>
      </c>
      <c r="R8" s="909"/>
    </row>
    <row r="9" spans="1:19" x14ac:dyDescent="0.2">
      <c r="A9" s="684" t="s">
        <v>215</v>
      </c>
      <c r="B9" s="216" t="s">
        <v>94</v>
      </c>
      <c r="C9" s="912">
        <v>41.5</v>
      </c>
      <c r="D9" s="912">
        <v>35.799999999999997</v>
      </c>
      <c r="E9" s="912">
        <v>3.78</v>
      </c>
      <c r="F9" s="697">
        <f ca="1">'Material Flows'!C22</f>
        <v>23.424000000000003</v>
      </c>
      <c r="G9" s="697">
        <f ca="1">'Material Flows'!G22</f>
        <v>23.424000000000003</v>
      </c>
      <c r="H9" s="697">
        <f ca="1">'Material Flows'!K22</f>
        <v>23.424000000000003</v>
      </c>
      <c r="I9" s="457">
        <f t="shared" ca="1" si="10"/>
        <v>88.542720000000003</v>
      </c>
      <c r="J9" s="457">
        <f t="shared" ca="1" si="0"/>
        <v>88.542720000000003</v>
      </c>
      <c r="K9" s="457">
        <f t="shared" ca="1" si="1"/>
        <v>88.542720000000003</v>
      </c>
      <c r="L9" s="186">
        <f t="shared" ca="1" si="4"/>
        <v>972.09600000000012</v>
      </c>
      <c r="M9" s="186">
        <f t="shared" ca="1" si="5"/>
        <v>972.09600000000012</v>
      </c>
      <c r="N9" s="186">
        <f t="shared" ca="1" si="6"/>
        <v>972.09600000000012</v>
      </c>
      <c r="O9" s="186">
        <f t="shared" ca="1" si="7"/>
        <v>838.57920000000001</v>
      </c>
      <c r="P9" s="186">
        <f t="shared" ca="1" si="8"/>
        <v>838.57920000000001</v>
      </c>
      <c r="Q9" s="689">
        <f t="shared" ca="1" si="9"/>
        <v>838.57920000000001</v>
      </c>
      <c r="R9" s="217" t="s">
        <v>491</v>
      </c>
    </row>
    <row r="10" spans="1:19" x14ac:dyDescent="0.2">
      <c r="A10" s="684" t="s">
        <v>437</v>
      </c>
      <c r="B10" s="216" t="s">
        <v>94</v>
      </c>
      <c r="C10" s="912">
        <v>104</v>
      </c>
      <c r="D10" s="912">
        <v>104</v>
      </c>
      <c r="E10" s="912">
        <v>7.26</v>
      </c>
      <c r="F10" s="697">
        <f ca="1">'Material Flows'!C17</f>
        <v>0</v>
      </c>
      <c r="G10" s="697">
        <f ca="1">'Material Flows'!G17</f>
        <v>0</v>
      </c>
      <c r="H10" s="697">
        <f ca="1">'Material Flows'!K17</f>
        <v>0</v>
      </c>
      <c r="I10" s="457">
        <f t="shared" ca="1" si="10"/>
        <v>0</v>
      </c>
      <c r="J10" s="457">
        <f t="shared" ca="1" si="0"/>
        <v>0</v>
      </c>
      <c r="K10" s="457">
        <f t="shared" ca="1" si="1"/>
        <v>0</v>
      </c>
      <c r="L10" s="186">
        <f t="shared" ca="1" si="4"/>
        <v>0</v>
      </c>
      <c r="M10" s="186">
        <f t="shared" ca="1" si="5"/>
        <v>0</v>
      </c>
      <c r="N10" s="186">
        <f t="shared" ca="1" si="6"/>
        <v>0</v>
      </c>
      <c r="O10" s="186">
        <f t="shared" ca="1" si="7"/>
        <v>0</v>
      </c>
      <c r="P10" s="186">
        <f t="shared" ca="1" si="8"/>
        <v>0</v>
      </c>
      <c r="Q10" s="689">
        <f t="shared" ca="1" si="9"/>
        <v>0</v>
      </c>
      <c r="R10" s="217" t="s">
        <v>492</v>
      </c>
    </row>
    <row r="11" spans="1:19" x14ac:dyDescent="0.2">
      <c r="A11" s="684" t="s">
        <v>438</v>
      </c>
      <c r="B11" s="216" t="s">
        <v>94</v>
      </c>
      <c r="C11" s="912"/>
      <c r="D11" s="912"/>
      <c r="E11" s="912"/>
      <c r="F11" s="697">
        <f ca="1">'Material Flows'!D17</f>
        <v>0</v>
      </c>
      <c r="G11" s="697">
        <f ca="1">'Material Flows'!H17</f>
        <v>0</v>
      </c>
      <c r="H11" s="697">
        <f ca="1">'Material Flows'!L17</f>
        <v>0</v>
      </c>
      <c r="I11" s="457">
        <f t="shared" ca="1" si="10"/>
        <v>0</v>
      </c>
      <c r="J11" s="457">
        <f t="shared" ca="1" si="0"/>
        <v>0</v>
      </c>
      <c r="K11" s="457">
        <f t="shared" ca="1" si="1"/>
        <v>0</v>
      </c>
      <c r="L11" s="186">
        <f t="shared" ca="1" si="4"/>
        <v>0</v>
      </c>
      <c r="M11" s="186">
        <f t="shared" ca="1" si="5"/>
        <v>0</v>
      </c>
      <c r="N11" s="186">
        <f t="shared" ca="1" si="6"/>
        <v>0</v>
      </c>
      <c r="O11" s="186">
        <f t="shared" ca="1" si="7"/>
        <v>0</v>
      </c>
      <c r="P11" s="186">
        <f t="shared" ca="1" si="8"/>
        <v>0</v>
      </c>
      <c r="Q11" s="689">
        <f t="shared" ca="1" si="9"/>
        <v>0</v>
      </c>
      <c r="R11" s="909"/>
    </row>
    <row r="12" spans="1:19" x14ac:dyDescent="0.2">
      <c r="A12" s="684" t="s">
        <v>214</v>
      </c>
      <c r="B12" s="216" t="s">
        <v>94</v>
      </c>
      <c r="C12" s="912">
        <v>14.8</v>
      </c>
      <c r="D12" s="912">
        <v>14.1</v>
      </c>
      <c r="E12" s="912">
        <v>1.1299999999999999</v>
      </c>
      <c r="F12" s="697">
        <f ca="1">'Material Flows'!C21</f>
        <v>35.136000000000003</v>
      </c>
      <c r="G12" s="697">
        <f ca="1">'Material Flows'!G21</f>
        <v>35.136000000000003</v>
      </c>
      <c r="H12" s="697">
        <f ca="1">'Material Flows'!K21</f>
        <v>35.136000000000003</v>
      </c>
      <c r="I12" s="457">
        <f ca="1">$E12*F12</f>
        <v>39.703679999999999</v>
      </c>
      <c r="J12" s="457">
        <f t="shared" ca="1" si="0"/>
        <v>39.703679999999999</v>
      </c>
      <c r="K12" s="457">
        <f t="shared" ca="1" si="1"/>
        <v>39.703679999999999</v>
      </c>
      <c r="L12" s="186">
        <f t="shared" ca="1" si="4"/>
        <v>520.01280000000008</v>
      </c>
      <c r="M12" s="186">
        <f t="shared" ca="1" si="5"/>
        <v>520.01280000000008</v>
      </c>
      <c r="N12" s="186">
        <f t="shared" ca="1" si="6"/>
        <v>520.01280000000008</v>
      </c>
      <c r="O12" s="186">
        <f t="shared" ca="1" si="7"/>
        <v>495.41760000000005</v>
      </c>
      <c r="P12" s="186">
        <f t="shared" ca="1" si="8"/>
        <v>495.41760000000005</v>
      </c>
      <c r="Q12" s="689">
        <f t="shared" ca="1" si="9"/>
        <v>495.41760000000005</v>
      </c>
      <c r="R12" s="217" t="s">
        <v>493</v>
      </c>
    </row>
    <row r="13" spans="1:19" x14ac:dyDescent="0.2">
      <c r="A13" s="93" t="s">
        <v>439</v>
      </c>
      <c r="B13" s="216" t="s">
        <v>94</v>
      </c>
      <c r="C13" s="912">
        <v>146</v>
      </c>
      <c r="D13" s="912">
        <v>30</v>
      </c>
      <c r="E13" s="912">
        <v>20.5</v>
      </c>
      <c r="F13" s="697">
        <f ca="1">(1-'Expert Data Input'!D14)*SUM('Material Flows'!C14:C15)</f>
        <v>0</v>
      </c>
      <c r="G13" s="697">
        <f ca="1">(1-'Expert Data Input'!D14)*SUM('Material Flows'!G14:G15)</f>
        <v>0</v>
      </c>
      <c r="H13" s="697">
        <f ca="1">(1-'Expert Data Input'!D14)*SUM('Material Flows'!K14:K15)</f>
        <v>0</v>
      </c>
      <c r="I13" s="457">
        <f t="shared" ca="1" si="10"/>
        <v>0</v>
      </c>
      <c r="J13" s="457">
        <f t="shared" ca="1" si="0"/>
        <v>0</v>
      </c>
      <c r="K13" s="457">
        <f t="shared" ca="1" si="1"/>
        <v>0</v>
      </c>
      <c r="L13" s="186">
        <f t="shared" ca="1" si="4"/>
        <v>0</v>
      </c>
      <c r="M13" s="186">
        <f t="shared" ca="1" si="5"/>
        <v>0</v>
      </c>
      <c r="N13" s="186">
        <f t="shared" ca="1" si="6"/>
        <v>0</v>
      </c>
      <c r="O13" s="186">
        <f t="shared" ca="1" si="7"/>
        <v>0</v>
      </c>
      <c r="P13" s="186">
        <f t="shared" ca="1" si="8"/>
        <v>0</v>
      </c>
      <c r="Q13" s="689">
        <f t="shared" ca="1" si="9"/>
        <v>0</v>
      </c>
      <c r="R13" s="217" t="s">
        <v>494</v>
      </c>
    </row>
    <row r="14" spans="1:19" x14ac:dyDescent="0.2">
      <c r="A14" s="93" t="s">
        <v>440</v>
      </c>
      <c r="B14" s="216" t="s">
        <v>94</v>
      </c>
      <c r="C14" s="912">
        <v>358</v>
      </c>
      <c r="D14" s="912">
        <v>320</v>
      </c>
      <c r="E14" s="912">
        <v>35.799999999999997</v>
      </c>
      <c r="F14" s="697">
        <f ca="1">'Expert Data Input'!D14*SUM('Material Flows'!C14:C15)</f>
        <v>0</v>
      </c>
      <c r="G14" s="697">
        <f ca="1">'Expert Data Input'!D14*SUM('Material Flows'!G14:G15)</f>
        <v>0</v>
      </c>
      <c r="H14" s="697">
        <f ca="1">'Expert Data Input'!D14*SUM('Material Flows'!K14:K15)</f>
        <v>0</v>
      </c>
      <c r="I14" s="457">
        <f t="shared" ca="1" si="10"/>
        <v>0</v>
      </c>
      <c r="J14" s="457">
        <f t="shared" ca="1" si="0"/>
        <v>0</v>
      </c>
      <c r="K14" s="457">
        <f t="shared" ca="1" si="1"/>
        <v>0</v>
      </c>
      <c r="L14" s="186">
        <f t="shared" ca="1" si="4"/>
        <v>0</v>
      </c>
      <c r="M14" s="186">
        <f t="shared" ca="1" si="5"/>
        <v>0</v>
      </c>
      <c r="N14" s="186">
        <f t="shared" ca="1" si="6"/>
        <v>0</v>
      </c>
      <c r="O14" s="186">
        <f t="shared" ca="1" si="7"/>
        <v>0</v>
      </c>
      <c r="P14" s="186">
        <f t="shared" ca="1" si="8"/>
        <v>0</v>
      </c>
      <c r="Q14" s="689">
        <f t="shared" ca="1" si="9"/>
        <v>0</v>
      </c>
      <c r="R14" s="217" t="s">
        <v>495</v>
      </c>
      <c r="S14" s="101"/>
    </row>
    <row r="15" spans="1:19" x14ac:dyDescent="0.2">
      <c r="A15" s="93" t="s">
        <v>441</v>
      </c>
      <c r="B15" s="216" t="s">
        <v>94</v>
      </c>
      <c r="C15" s="912">
        <v>11.4</v>
      </c>
      <c r="D15" s="912">
        <v>11.172000000000001</v>
      </c>
      <c r="E15" s="912">
        <v>3.6</v>
      </c>
      <c r="F15" s="697">
        <f ca="1">SUM('Material Flows'!D14:D15)</f>
        <v>0</v>
      </c>
      <c r="G15" s="697">
        <f ca="1">SUM('Material Flows'!H14:H15)</f>
        <v>0</v>
      </c>
      <c r="H15" s="697">
        <f ca="1">SUM('Material Flows'!L14:L15)</f>
        <v>0</v>
      </c>
      <c r="I15" s="457">
        <f t="shared" ca="1" si="10"/>
        <v>0</v>
      </c>
      <c r="J15" s="457">
        <f t="shared" ca="1" si="0"/>
        <v>0</v>
      </c>
      <c r="K15" s="457">
        <f t="shared" ca="1" si="1"/>
        <v>0</v>
      </c>
      <c r="L15" s="186">
        <f t="shared" ca="1" si="4"/>
        <v>0</v>
      </c>
      <c r="M15" s="186">
        <f t="shared" ca="1" si="5"/>
        <v>0</v>
      </c>
      <c r="N15" s="186">
        <f t="shared" ca="1" si="6"/>
        <v>0</v>
      </c>
      <c r="O15" s="186">
        <f t="shared" ca="1" si="7"/>
        <v>0</v>
      </c>
      <c r="P15" s="186">
        <f t="shared" ca="1" si="8"/>
        <v>0</v>
      </c>
      <c r="Q15" s="689">
        <f t="shared" ca="1" si="9"/>
        <v>0</v>
      </c>
      <c r="R15" s="217" t="s">
        <v>496</v>
      </c>
    </row>
    <row r="16" spans="1:19" x14ac:dyDescent="0.2">
      <c r="A16" s="93" t="s">
        <v>213</v>
      </c>
      <c r="B16" s="216" t="s">
        <v>94</v>
      </c>
      <c r="C16" s="912">
        <v>95.4</v>
      </c>
      <c r="D16" s="912">
        <v>93</v>
      </c>
      <c r="E16" s="912">
        <v>3.38</v>
      </c>
      <c r="F16" s="697">
        <f ca="1">'Material Flows'!C20</f>
        <v>35.136000000000003</v>
      </c>
      <c r="G16" s="697">
        <f ca="1">'Material Flows'!G20</f>
        <v>35.136000000000003</v>
      </c>
      <c r="H16" s="697">
        <f ca="1">'Material Flows'!K20</f>
        <v>35.136000000000003</v>
      </c>
      <c r="I16" s="457">
        <f t="shared" ca="1" si="10"/>
        <v>118.75968</v>
      </c>
      <c r="J16" s="457">
        <f t="shared" ca="1" si="0"/>
        <v>118.75968</v>
      </c>
      <c r="K16" s="457">
        <f t="shared" ca="1" si="1"/>
        <v>118.75968</v>
      </c>
      <c r="L16" s="186">
        <f t="shared" ca="1" si="4"/>
        <v>3351.9744000000005</v>
      </c>
      <c r="M16" s="186">
        <f t="shared" ca="1" si="5"/>
        <v>3351.9744000000005</v>
      </c>
      <c r="N16" s="186">
        <f t="shared" ca="1" si="6"/>
        <v>3351.9744000000005</v>
      </c>
      <c r="O16" s="186">
        <f t="shared" ca="1" si="7"/>
        <v>3267.6480000000001</v>
      </c>
      <c r="P16" s="186">
        <f t="shared" ca="1" si="8"/>
        <v>3267.6480000000001</v>
      </c>
      <c r="Q16" s="689">
        <f t="shared" ca="1" si="9"/>
        <v>3267.6480000000001</v>
      </c>
      <c r="R16" s="217" t="s">
        <v>497</v>
      </c>
    </row>
    <row r="17" spans="1:21" x14ac:dyDescent="0.2">
      <c r="A17" s="93" t="s">
        <v>442</v>
      </c>
      <c r="B17" s="216" t="s">
        <v>94</v>
      </c>
      <c r="C17" s="912">
        <v>54.5</v>
      </c>
      <c r="D17" s="912">
        <v>49.5</v>
      </c>
      <c r="E17" s="912">
        <v>2.65</v>
      </c>
      <c r="F17" s="697">
        <f ca="1">'Material Flows'!C16</f>
        <v>0</v>
      </c>
      <c r="G17" s="697">
        <f ca="1">'Material Flows'!G16</f>
        <v>0</v>
      </c>
      <c r="H17" s="697">
        <f ca="1">'Material Flows'!K16</f>
        <v>0</v>
      </c>
      <c r="I17" s="457">
        <f t="shared" ca="1" si="10"/>
        <v>0</v>
      </c>
      <c r="J17" s="457">
        <f t="shared" ca="1" si="0"/>
        <v>0</v>
      </c>
      <c r="K17" s="457">
        <f t="shared" ca="1" si="1"/>
        <v>0</v>
      </c>
      <c r="L17" s="186">
        <f t="shared" ca="1" si="4"/>
        <v>0</v>
      </c>
      <c r="M17" s="186">
        <f t="shared" ca="1" si="5"/>
        <v>0</v>
      </c>
      <c r="N17" s="186">
        <f t="shared" ca="1" si="6"/>
        <v>0</v>
      </c>
      <c r="O17" s="186">
        <f t="shared" ca="1" si="7"/>
        <v>0</v>
      </c>
      <c r="P17" s="186">
        <f t="shared" ca="1" si="8"/>
        <v>0</v>
      </c>
      <c r="Q17" s="689">
        <f t="shared" ca="1" si="9"/>
        <v>0</v>
      </c>
      <c r="R17" s="217" t="s">
        <v>498</v>
      </c>
    </row>
    <row r="18" spans="1:21" x14ac:dyDescent="0.2">
      <c r="A18" s="93" t="s">
        <v>443</v>
      </c>
      <c r="B18" s="216" t="s">
        <v>94</v>
      </c>
      <c r="C18" s="912"/>
      <c r="D18" s="912"/>
      <c r="E18" s="912"/>
      <c r="F18" s="697">
        <f ca="1">'Material Flows'!D16</f>
        <v>0</v>
      </c>
      <c r="G18" s="697">
        <f ca="1">'Material Flows'!H16</f>
        <v>0</v>
      </c>
      <c r="H18" s="697">
        <f ca="1">'Material Flows'!L16</f>
        <v>0</v>
      </c>
      <c r="I18" s="457">
        <f t="shared" ca="1" si="10"/>
        <v>0</v>
      </c>
      <c r="J18" s="457">
        <f t="shared" ca="1" si="0"/>
        <v>0</v>
      </c>
      <c r="K18" s="457">
        <f t="shared" ca="1" si="1"/>
        <v>0</v>
      </c>
      <c r="L18" s="186">
        <f t="shared" ca="1" si="4"/>
        <v>0</v>
      </c>
      <c r="M18" s="186">
        <f t="shared" ca="1" si="5"/>
        <v>0</v>
      </c>
      <c r="N18" s="186">
        <f t="shared" ca="1" si="6"/>
        <v>0</v>
      </c>
      <c r="O18" s="186">
        <f t="shared" ca="1" si="7"/>
        <v>0</v>
      </c>
      <c r="P18" s="186">
        <f t="shared" ca="1" si="8"/>
        <v>0</v>
      </c>
      <c r="Q18" s="689">
        <f t="shared" ca="1" si="9"/>
        <v>0</v>
      </c>
      <c r="R18" s="909"/>
      <c r="S18" s="101"/>
      <c r="T18" s="101"/>
    </row>
    <row r="19" spans="1:21" x14ac:dyDescent="0.2">
      <c r="A19" s="93" t="s">
        <v>445</v>
      </c>
      <c r="B19" s="216" t="s">
        <v>94</v>
      </c>
      <c r="C19" s="912">
        <v>60.3</v>
      </c>
      <c r="D19" s="912">
        <v>56</v>
      </c>
      <c r="E19" s="912">
        <v>4.93</v>
      </c>
      <c r="F19" s="697">
        <f ca="1">'Material Flows'!C23</f>
        <v>0</v>
      </c>
      <c r="G19" s="697">
        <f ca="1">'Material Flows'!G23</f>
        <v>0</v>
      </c>
      <c r="H19" s="697">
        <f ca="1">'Material Flows'!K23</f>
        <v>0</v>
      </c>
      <c r="I19" s="457">
        <f t="shared" ca="1" si="10"/>
        <v>0</v>
      </c>
      <c r="J19" s="457">
        <f t="shared" ca="1" si="0"/>
        <v>0</v>
      </c>
      <c r="K19" s="457">
        <f t="shared" ca="1" si="1"/>
        <v>0</v>
      </c>
      <c r="L19" s="186">
        <f t="shared" ca="1" si="4"/>
        <v>0</v>
      </c>
      <c r="M19" s="186">
        <f t="shared" ca="1" si="5"/>
        <v>0</v>
      </c>
      <c r="N19" s="186">
        <f t="shared" ca="1" si="6"/>
        <v>0</v>
      </c>
      <c r="O19" s="186">
        <f t="shared" ca="1" si="7"/>
        <v>0</v>
      </c>
      <c r="P19" s="186">
        <f t="shared" ca="1" si="8"/>
        <v>0</v>
      </c>
      <c r="Q19" s="689">
        <f t="shared" ca="1" si="9"/>
        <v>0</v>
      </c>
      <c r="R19" s="217" t="s">
        <v>536</v>
      </c>
      <c r="S19" s="101"/>
      <c r="T19" s="101"/>
    </row>
    <row r="20" spans="1:21" x14ac:dyDescent="0.2">
      <c r="A20" s="93" t="s">
        <v>444</v>
      </c>
      <c r="B20" s="216" t="s">
        <v>94</v>
      </c>
      <c r="C20" s="912">
        <v>15.877564956908</v>
      </c>
      <c r="D20" s="912">
        <v>13.96481384419242</v>
      </c>
      <c r="E20" s="912">
        <v>1.228</v>
      </c>
      <c r="F20" s="697">
        <f ca="1">'Material Flows'!D23</f>
        <v>0</v>
      </c>
      <c r="G20" s="697">
        <f ca="1">'Material Flows'!H23</f>
        <v>0</v>
      </c>
      <c r="H20" s="697">
        <f ca="1">'Material Flows'!L23</f>
        <v>0</v>
      </c>
      <c r="I20" s="457">
        <f t="shared" ca="1" si="10"/>
        <v>0</v>
      </c>
      <c r="J20" s="457">
        <f t="shared" ca="1" si="0"/>
        <v>0</v>
      </c>
      <c r="K20" s="457">
        <f t="shared" ca="1" si="1"/>
        <v>0</v>
      </c>
      <c r="L20" s="186">
        <f t="shared" ca="1" si="4"/>
        <v>0</v>
      </c>
      <c r="M20" s="186">
        <f t="shared" ca="1" si="5"/>
        <v>0</v>
      </c>
      <c r="N20" s="186">
        <f t="shared" ca="1" si="6"/>
        <v>0</v>
      </c>
      <c r="O20" s="186">
        <f t="shared" ca="1" si="7"/>
        <v>0</v>
      </c>
      <c r="P20" s="186">
        <f t="shared" ca="1" si="8"/>
        <v>0</v>
      </c>
      <c r="Q20" s="689">
        <f t="shared" ca="1" si="9"/>
        <v>0</v>
      </c>
      <c r="R20" s="217" t="s">
        <v>543</v>
      </c>
      <c r="S20" s="101"/>
      <c r="T20" s="101"/>
    </row>
    <row r="21" spans="1:21" x14ac:dyDescent="0.2">
      <c r="A21" s="93" t="s">
        <v>446</v>
      </c>
      <c r="B21" s="216" t="s">
        <v>94</v>
      </c>
      <c r="C21" s="912">
        <v>21.27</v>
      </c>
      <c r="D21" s="912">
        <v>20.89</v>
      </c>
      <c r="E21" s="912">
        <v>2.08</v>
      </c>
      <c r="F21" s="697">
        <f ca="1">SUM('Material Flows'!C5:C10)</f>
        <v>844.32872727272718</v>
      </c>
      <c r="G21" s="697">
        <f ca="1">SUM('Material Flows'!G5:G10)</f>
        <v>687.54872727272721</v>
      </c>
      <c r="H21" s="697">
        <f ca="1">SUM('Material Flows'!K5:K10)</f>
        <v>257.59876363636363</v>
      </c>
      <c r="I21" s="457">
        <f t="shared" ca="1" si="10"/>
        <v>1756.2037527272726</v>
      </c>
      <c r="J21" s="457">
        <f t="shared" ca="1" si="0"/>
        <v>1430.1013527272726</v>
      </c>
      <c r="K21" s="457">
        <f t="shared" ca="1" si="1"/>
        <v>535.80542836363634</v>
      </c>
      <c r="L21" s="186">
        <f t="shared" ca="1" si="4"/>
        <v>17958.872029090908</v>
      </c>
      <c r="M21" s="186">
        <f t="shared" ca="1" si="5"/>
        <v>14624.161429090907</v>
      </c>
      <c r="N21" s="186">
        <f t="shared" ca="1" si="6"/>
        <v>5479.1257025454543</v>
      </c>
      <c r="O21" s="186">
        <f t="shared" ca="1" si="7"/>
        <v>17638.027112727272</v>
      </c>
      <c r="P21" s="186">
        <f t="shared" ca="1" si="8"/>
        <v>14362.892912727271</v>
      </c>
      <c r="Q21" s="689">
        <f t="shared" ca="1" si="9"/>
        <v>5381.2381723636363</v>
      </c>
      <c r="R21" s="217" t="s">
        <v>861</v>
      </c>
      <c r="S21" s="101"/>
      <c r="T21" s="101"/>
    </row>
    <row r="22" spans="1:21" x14ac:dyDescent="0.2">
      <c r="A22" s="93" t="s">
        <v>447</v>
      </c>
      <c r="B22" s="216" t="s">
        <v>94</v>
      </c>
      <c r="C22" s="912">
        <v>7.73</v>
      </c>
      <c r="D22" s="912">
        <v>6.34</v>
      </c>
      <c r="E22" s="912">
        <v>0.48</v>
      </c>
      <c r="F22" s="697">
        <f ca="1">SUM('Material Flows'!D5:D10)</f>
        <v>388.09309090909096</v>
      </c>
      <c r="G22" s="697">
        <f ca="1">SUM('Material Flows'!H5:H10)</f>
        <v>363.67309090909094</v>
      </c>
      <c r="H22" s="697">
        <f ca="1">SUM('Material Flows'!L5:L10)</f>
        <v>308.78814545454549</v>
      </c>
      <c r="I22" s="457">
        <f t="shared" ca="1" si="10"/>
        <v>186.28468363636367</v>
      </c>
      <c r="J22" s="457">
        <f t="shared" ca="1" si="0"/>
        <v>174.56308363636364</v>
      </c>
      <c r="K22" s="457">
        <f t="shared" ca="1" si="1"/>
        <v>148.21830981818184</v>
      </c>
      <c r="L22" s="186">
        <f t="shared" ca="1" si="4"/>
        <v>2999.9595927272735</v>
      </c>
      <c r="M22" s="186">
        <f t="shared" ca="1" si="5"/>
        <v>2811.1929927272731</v>
      </c>
      <c r="N22" s="186">
        <f t="shared" ca="1" si="6"/>
        <v>2386.9323643636367</v>
      </c>
      <c r="O22" s="186">
        <f t="shared" ca="1" si="7"/>
        <v>2460.5101963636366</v>
      </c>
      <c r="P22" s="186">
        <f t="shared" ca="1" si="8"/>
        <v>2305.6873963636367</v>
      </c>
      <c r="Q22" s="689">
        <f t="shared" ca="1" si="9"/>
        <v>1957.7168421818183</v>
      </c>
      <c r="R22" s="217" t="s">
        <v>861</v>
      </c>
      <c r="S22" s="101"/>
      <c r="T22" s="101"/>
    </row>
    <row r="23" spans="1:21" x14ac:dyDescent="0.2">
      <c r="A23" s="93" t="s">
        <v>448</v>
      </c>
      <c r="B23" s="216" t="s">
        <v>94</v>
      </c>
      <c r="C23" s="913">
        <f>C16</f>
        <v>95.4</v>
      </c>
      <c r="D23" s="913">
        <f t="shared" ref="D23" si="11">D16</f>
        <v>93</v>
      </c>
      <c r="E23" s="913">
        <f>E16</f>
        <v>3.38</v>
      </c>
      <c r="F23" s="697">
        <f>(1-'Expert Data Input'!D23)*'Material Flows'!C28</f>
        <v>120.00000000000001</v>
      </c>
      <c r="G23" s="697">
        <f>(1-'Expert Data Input'!D23)*'Material Flows'!G28</f>
        <v>120.00000000000001</v>
      </c>
      <c r="H23" s="697">
        <f>(1-'Expert Data Input'!D23)*'Material Flows'!K28</f>
        <v>120.00000000000001</v>
      </c>
      <c r="I23" s="457">
        <f t="shared" si="10"/>
        <v>405.6</v>
      </c>
      <c r="J23" s="457">
        <f t="shared" si="0"/>
        <v>405.6</v>
      </c>
      <c r="K23" s="457">
        <f t="shared" si="1"/>
        <v>405.6</v>
      </c>
      <c r="L23" s="186">
        <f t="shared" si="4"/>
        <v>11448.000000000002</v>
      </c>
      <c r="M23" s="186">
        <f t="shared" si="5"/>
        <v>11448.000000000002</v>
      </c>
      <c r="N23" s="186">
        <f t="shared" si="6"/>
        <v>11448.000000000002</v>
      </c>
      <c r="O23" s="186">
        <f t="shared" si="7"/>
        <v>11160.000000000002</v>
      </c>
      <c r="P23" s="186">
        <f t="shared" si="8"/>
        <v>11160.000000000002</v>
      </c>
      <c r="Q23" s="689">
        <f t="shared" si="9"/>
        <v>11160.000000000002</v>
      </c>
      <c r="R23" s="217" t="s">
        <v>543</v>
      </c>
      <c r="S23" s="101"/>
      <c r="T23" s="101"/>
    </row>
    <row r="24" spans="1:21" x14ac:dyDescent="0.2">
      <c r="A24" s="93" t="s">
        <v>449</v>
      </c>
      <c r="B24" s="216" t="s">
        <v>94</v>
      </c>
      <c r="C24" s="913">
        <f>C21</f>
        <v>21.27</v>
      </c>
      <c r="D24" s="913">
        <f t="shared" ref="D24" si="12">D21</f>
        <v>20.89</v>
      </c>
      <c r="E24" s="913">
        <f>E21</f>
        <v>2.08</v>
      </c>
      <c r="F24" s="697">
        <f>'Expert Data Input'!D23*'Material Flows'!C28</f>
        <v>60</v>
      </c>
      <c r="G24" s="697">
        <f>'Expert Data Input'!D23*'Material Flows'!G28</f>
        <v>60</v>
      </c>
      <c r="H24" s="697">
        <f>'Expert Data Input'!D23*'Material Flows'!K28</f>
        <v>60</v>
      </c>
      <c r="I24" s="457">
        <f t="shared" si="10"/>
        <v>124.80000000000001</v>
      </c>
      <c r="J24" s="457">
        <f t="shared" si="0"/>
        <v>124.80000000000001</v>
      </c>
      <c r="K24" s="457">
        <f t="shared" si="1"/>
        <v>124.80000000000001</v>
      </c>
      <c r="L24" s="186">
        <f t="shared" si="4"/>
        <v>1276.2</v>
      </c>
      <c r="M24" s="186">
        <f t="shared" si="5"/>
        <v>1276.2</v>
      </c>
      <c r="N24" s="186">
        <f t="shared" si="6"/>
        <v>1276.2</v>
      </c>
      <c r="O24" s="186">
        <f t="shared" si="7"/>
        <v>1253.4000000000001</v>
      </c>
      <c r="P24" s="186">
        <f t="shared" si="8"/>
        <v>1253.4000000000001</v>
      </c>
      <c r="Q24" s="689">
        <f>$D24*H24</f>
        <v>1253.4000000000001</v>
      </c>
      <c r="R24" s="217" t="s">
        <v>543</v>
      </c>
      <c r="S24" s="101"/>
      <c r="T24" s="101"/>
    </row>
    <row r="25" spans="1:21" ht="13.5" thickBot="1" x14ac:dyDescent="0.25">
      <c r="A25" s="898" t="s">
        <v>391</v>
      </c>
      <c r="B25" s="686"/>
      <c r="C25" s="914"/>
      <c r="D25" s="914"/>
      <c r="E25" s="914"/>
      <c r="F25" s="900"/>
      <c r="G25" s="900"/>
      <c r="H25" s="900"/>
      <c r="I25" s="901">
        <f ca="1">SUM(I3:I24)</f>
        <v>3541.2353979020982</v>
      </c>
      <c r="J25" s="901">
        <f ca="1">SUM(J3:J24)</f>
        <v>3033.6022579982514</v>
      </c>
      <c r="K25" s="901">
        <f ca="1">SUM(K3:K24)</f>
        <v>8866.9564812010485</v>
      </c>
      <c r="L25" s="901">
        <f t="shared" ref="L25:N25" ca="1" si="13">SUM(L3:L24)</f>
        <v>48254.423514125876</v>
      </c>
      <c r="M25" s="901">
        <f t="shared" ca="1" si="13"/>
        <v>42730.925857395101</v>
      </c>
      <c r="N25" s="901">
        <f t="shared" ca="1" si="13"/>
        <v>111813.80372556293</v>
      </c>
      <c r="O25" s="901">
        <f t="shared" ref="O25" ca="1" si="14">SUM(O3:O24)</f>
        <v>45475.463047552446</v>
      </c>
      <c r="P25" s="901">
        <f t="shared" ref="P25" ca="1" si="15">SUM(P3:P24)</f>
        <v>40330.304956206295</v>
      </c>
      <c r="Q25" s="902">
        <f t="shared" ref="Q25" ca="1" si="16">SUM(Q3:Q24)</f>
        <v>98120.011466276221</v>
      </c>
      <c r="R25" s="909"/>
      <c r="S25" s="680"/>
      <c r="T25" s="101"/>
    </row>
    <row r="26" spans="1:21" x14ac:dyDescent="0.2">
      <c r="A26" s="682" t="s">
        <v>396</v>
      </c>
      <c r="B26" s="580" t="s">
        <v>94</v>
      </c>
      <c r="C26" s="911">
        <v>11.81</v>
      </c>
      <c r="D26" s="911">
        <v>10.87</v>
      </c>
      <c r="E26" s="911">
        <v>0.73799999999999999</v>
      </c>
      <c r="F26" s="696">
        <f ca="1">'Material Flows'!E13</f>
        <v>73.2</v>
      </c>
      <c r="G26" s="696">
        <f ca="1">'Material Flows'!I13</f>
        <v>63.074999999999996</v>
      </c>
      <c r="H26" s="696">
        <f ca="1">'Material Flows'!M13</f>
        <v>59.835000000000001</v>
      </c>
      <c r="I26" s="687">
        <f t="shared" ref="I26:I43" ca="1" si="17">$E26*F26</f>
        <v>54.021599999999999</v>
      </c>
      <c r="J26" s="687">
        <f t="shared" ref="J26:J43" ca="1" si="18">$E26*G26</f>
        <v>46.549349999999997</v>
      </c>
      <c r="K26" s="687">
        <f t="shared" ref="K26:K43" ca="1" si="19">$E26*H26</f>
        <v>44.158230000000003</v>
      </c>
      <c r="L26" s="687">
        <f ca="1">$C26*F26</f>
        <v>864.49200000000008</v>
      </c>
      <c r="M26" s="687">
        <f t="shared" ref="M26:N26" ca="1" si="20">$C26*G26</f>
        <v>744.91575</v>
      </c>
      <c r="N26" s="687">
        <f t="shared" ca="1" si="20"/>
        <v>706.65135000000009</v>
      </c>
      <c r="O26" s="687">
        <f ca="1">$D26*F26</f>
        <v>795.68399999999997</v>
      </c>
      <c r="P26" s="687">
        <f t="shared" ref="P26:Q26" ca="1" si="21">$D26*G26</f>
        <v>685.62524999999994</v>
      </c>
      <c r="Q26" s="688">
        <f t="shared" ca="1" si="21"/>
        <v>650.40644999999995</v>
      </c>
      <c r="R26" s="187" t="s">
        <v>539</v>
      </c>
      <c r="S26" s="101"/>
      <c r="T26" s="101"/>
    </row>
    <row r="27" spans="1:21" x14ac:dyDescent="0.2">
      <c r="A27" s="93" t="s">
        <v>397</v>
      </c>
      <c r="B27" s="216" t="s">
        <v>94</v>
      </c>
      <c r="C27" s="912">
        <v>14.9</v>
      </c>
      <c r="D27" s="912">
        <v>12.3</v>
      </c>
      <c r="E27" s="912">
        <v>0.72499999999999998</v>
      </c>
      <c r="F27" s="697">
        <f ca="1">'Material Flows'!E12</f>
        <v>14.64</v>
      </c>
      <c r="G27" s="697">
        <f ca="1">'Material Flows'!I12</f>
        <v>11.265000000000001</v>
      </c>
      <c r="H27" s="697">
        <f ca="1">'Material Flows'!M12</f>
        <v>100.63500000000001</v>
      </c>
      <c r="I27" s="186">
        <f t="shared" ca="1" si="17"/>
        <v>10.614000000000001</v>
      </c>
      <c r="J27" s="186">
        <f t="shared" ca="1" si="18"/>
        <v>8.1671250000000004</v>
      </c>
      <c r="K27" s="186">
        <f t="shared" ca="1" si="19"/>
        <v>72.960374999999999</v>
      </c>
      <c r="L27" s="186">
        <f t="shared" ref="L27:L43" ca="1" si="22">$C27*F27</f>
        <v>218.13600000000002</v>
      </c>
      <c r="M27" s="186">
        <f t="shared" ref="M27:M43" ca="1" si="23">$C27*G27</f>
        <v>167.8485</v>
      </c>
      <c r="N27" s="186">
        <f t="shared" ref="N27:N43" ca="1" si="24">$C27*H27</f>
        <v>1499.4615000000001</v>
      </c>
      <c r="O27" s="186">
        <f t="shared" ref="O27:O43" ca="1" si="25">$D27*F27</f>
        <v>180.07200000000003</v>
      </c>
      <c r="P27" s="186">
        <f t="shared" ref="P27:P43" ca="1" si="26">$D27*G27</f>
        <v>138.55950000000001</v>
      </c>
      <c r="Q27" s="689">
        <f t="shared" ref="Q27:Q43" ca="1" si="27">$D27*H27</f>
        <v>1237.8105</v>
      </c>
      <c r="R27" s="187" t="s">
        <v>540</v>
      </c>
      <c r="S27" s="101"/>
    </row>
    <row r="28" spans="1:21" x14ac:dyDescent="0.2">
      <c r="A28" s="93" t="s">
        <v>398</v>
      </c>
      <c r="B28" s="216" t="s">
        <v>94</v>
      </c>
      <c r="C28" s="912">
        <v>10.4</v>
      </c>
      <c r="D28" s="912">
        <v>8.4</v>
      </c>
      <c r="E28" s="912">
        <v>0.501</v>
      </c>
      <c r="F28" s="697">
        <f ca="1">'Material Flows'!E11</f>
        <v>22.523076923076925</v>
      </c>
      <c r="G28" s="697">
        <f ca="1">'Material Flows'!I11</f>
        <v>17.330769230769231</v>
      </c>
      <c r="H28" s="697">
        <f ca="1">'Material Flows'!M11</f>
        <v>340.36153846153843</v>
      </c>
      <c r="I28" s="186">
        <f t="shared" ca="1" si="17"/>
        <v>11.28406153846154</v>
      </c>
      <c r="J28" s="186">
        <f t="shared" ca="1" si="18"/>
        <v>8.6827153846153848</v>
      </c>
      <c r="K28" s="186">
        <f t="shared" ca="1" si="19"/>
        <v>170.52113076923075</v>
      </c>
      <c r="L28" s="186">
        <f t="shared" ca="1" si="22"/>
        <v>234.24000000000004</v>
      </c>
      <c r="M28" s="186">
        <f t="shared" ca="1" si="23"/>
        <v>180.24</v>
      </c>
      <c r="N28" s="186">
        <f t="shared" ca="1" si="24"/>
        <v>3539.7599999999998</v>
      </c>
      <c r="O28" s="186">
        <f t="shared" ca="1" si="25"/>
        <v>189.19384615384618</v>
      </c>
      <c r="P28" s="186">
        <f t="shared" ca="1" si="26"/>
        <v>145.57846153846154</v>
      </c>
      <c r="Q28" s="689">
        <f t="shared" ca="1" si="27"/>
        <v>2859.0369230769229</v>
      </c>
      <c r="R28" s="187" t="s">
        <v>541</v>
      </c>
      <c r="S28" s="101"/>
    </row>
    <row r="29" spans="1:21" x14ac:dyDescent="0.2">
      <c r="A29" s="93" t="s">
        <v>399</v>
      </c>
      <c r="B29" s="216" t="s">
        <v>94</v>
      </c>
      <c r="C29" s="912">
        <v>0</v>
      </c>
      <c r="D29" s="912">
        <v>0</v>
      </c>
      <c r="E29" s="912">
        <v>0</v>
      </c>
      <c r="F29" s="697">
        <f ca="1">'Material Flows'!E18</f>
        <v>0</v>
      </c>
      <c r="G29" s="697">
        <f ca="1">'Material Flows'!I18</f>
        <v>0</v>
      </c>
      <c r="H29" s="697">
        <f ca="1">'Material Flows'!M18</f>
        <v>0</v>
      </c>
      <c r="I29" s="186">
        <f t="shared" ca="1" si="17"/>
        <v>0</v>
      </c>
      <c r="J29" s="186">
        <f t="shared" ca="1" si="18"/>
        <v>0</v>
      </c>
      <c r="K29" s="186">
        <f t="shared" ca="1" si="19"/>
        <v>0</v>
      </c>
      <c r="L29" s="186">
        <f t="shared" ca="1" si="22"/>
        <v>0</v>
      </c>
      <c r="M29" s="186">
        <f t="shared" ca="1" si="23"/>
        <v>0</v>
      </c>
      <c r="N29" s="186">
        <f t="shared" ca="1" si="24"/>
        <v>0</v>
      </c>
      <c r="O29" s="186">
        <f t="shared" ca="1" si="25"/>
        <v>0</v>
      </c>
      <c r="P29" s="186">
        <f t="shared" ca="1" si="26"/>
        <v>0</v>
      </c>
      <c r="Q29" s="689">
        <f t="shared" ca="1" si="27"/>
        <v>0</v>
      </c>
      <c r="R29" s="909"/>
    </row>
    <row r="30" spans="1:21" x14ac:dyDescent="0.2">
      <c r="A30" s="93" t="s">
        <v>400</v>
      </c>
      <c r="B30" s="216" t="s">
        <v>94</v>
      </c>
      <c r="C30" s="912">
        <v>0</v>
      </c>
      <c r="D30" s="912">
        <v>0</v>
      </c>
      <c r="E30" s="912">
        <v>0</v>
      </c>
      <c r="F30" s="697">
        <f ca="1">'Material Flows'!E22</f>
        <v>23.424000000000003</v>
      </c>
      <c r="G30" s="697">
        <f ca="1">'Material Flows'!I22</f>
        <v>23.424000000000003</v>
      </c>
      <c r="H30" s="697">
        <f ca="1">'Material Flows'!M22</f>
        <v>23.424000000000003</v>
      </c>
      <c r="I30" s="186">
        <f t="shared" ca="1" si="17"/>
        <v>0</v>
      </c>
      <c r="J30" s="186">
        <f t="shared" ca="1" si="18"/>
        <v>0</v>
      </c>
      <c r="K30" s="186">
        <f t="shared" ca="1" si="19"/>
        <v>0</v>
      </c>
      <c r="L30" s="186">
        <f t="shared" ca="1" si="22"/>
        <v>0</v>
      </c>
      <c r="M30" s="186">
        <f t="shared" ca="1" si="23"/>
        <v>0</v>
      </c>
      <c r="N30" s="186">
        <f t="shared" ca="1" si="24"/>
        <v>0</v>
      </c>
      <c r="O30" s="186">
        <f t="shared" ca="1" si="25"/>
        <v>0</v>
      </c>
      <c r="P30" s="186">
        <f t="shared" ca="1" si="26"/>
        <v>0</v>
      </c>
      <c r="Q30" s="689">
        <f t="shared" ca="1" si="27"/>
        <v>0</v>
      </c>
      <c r="R30" s="909"/>
    </row>
    <row r="31" spans="1:21" x14ac:dyDescent="0.2">
      <c r="A31" s="93" t="s">
        <v>401</v>
      </c>
      <c r="B31" s="216" t="s">
        <v>94</v>
      </c>
      <c r="C31" s="912">
        <v>0</v>
      </c>
      <c r="D31" s="912">
        <v>0</v>
      </c>
      <c r="E31" s="912">
        <v>0</v>
      </c>
      <c r="F31" s="697">
        <f ca="1">'Material Flows'!E17</f>
        <v>0</v>
      </c>
      <c r="G31" s="697">
        <f ca="1">'Material Flows'!I17</f>
        <v>0</v>
      </c>
      <c r="H31" s="697">
        <f ca="1">'Material Flows'!M17</f>
        <v>0</v>
      </c>
      <c r="I31" s="186">
        <f t="shared" ca="1" si="17"/>
        <v>0</v>
      </c>
      <c r="J31" s="186">
        <f t="shared" ca="1" si="18"/>
        <v>0</v>
      </c>
      <c r="K31" s="186">
        <f t="shared" ca="1" si="19"/>
        <v>0</v>
      </c>
      <c r="L31" s="186">
        <f t="shared" ca="1" si="22"/>
        <v>0</v>
      </c>
      <c r="M31" s="186">
        <f t="shared" ca="1" si="23"/>
        <v>0</v>
      </c>
      <c r="N31" s="186">
        <f t="shared" ca="1" si="24"/>
        <v>0</v>
      </c>
      <c r="O31" s="186">
        <f t="shared" ca="1" si="25"/>
        <v>0</v>
      </c>
      <c r="P31" s="186">
        <f t="shared" ca="1" si="26"/>
        <v>0</v>
      </c>
      <c r="Q31" s="689">
        <f t="shared" ca="1" si="27"/>
        <v>0</v>
      </c>
      <c r="R31" s="909"/>
    </row>
    <row r="32" spans="1:21" x14ac:dyDescent="0.2">
      <c r="A32" s="93" t="s">
        <v>402</v>
      </c>
      <c r="B32" s="216" t="s">
        <v>94</v>
      </c>
      <c r="C32" s="912">
        <v>0</v>
      </c>
      <c r="D32" s="912">
        <v>0</v>
      </c>
      <c r="E32" s="912">
        <v>0</v>
      </c>
      <c r="F32" s="697">
        <f ca="1">'Material Flows'!E21</f>
        <v>35.136000000000003</v>
      </c>
      <c r="G32" s="697">
        <f ca="1">'Material Flows'!I21</f>
        <v>35.136000000000003</v>
      </c>
      <c r="H32" s="697">
        <f ca="1">'Material Flows'!M21</f>
        <v>35.136000000000003</v>
      </c>
      <c r="I32" s="186">
        <f t="shared" ca="1" si="17"/>
        <v>0</v>
      </c>
      <c r="J32" s="186">
        <f t="shared" ca="1" si="18"/>
        <v>0</v>
      </c>
      <c r="K32" s="186">
        <f t="shared" ca="1" si="19"/>
        <v>0</v>
      </c>
      <c r="L32" s="186">
        <f t="shared" ca="1" si="22"/>
        <v>0</v>
      </c>
      <c r="M32" s="186">
        <f t="shared" ca="1" si="23"/>
        <v>0</v>
      </c>
      <c r="N32" s="186">
        <f t="shared" ca="1" si="24"/>
        <v>0</v>
      </c>
      <c r="O32" s="186">
        <f t="shared" ca="1" si="25"/>
        <v>0</v>
      </c>
      <c r="P32" s="186">
        <f t="shared" ca="1" si="26"/>
        <v>0</v>
      </c>
      <c r="Q32" s="689">
        <f t="shared" ca="1" si="27"/>
        <v>0</v>
      </c>
      <c r="R32" s="909"/>
      <c r="S32" s="101"/>
      <c r="T32" s="101"/>
      <c r="U32" s="101"/>
    </row>
    <row r="33" spans="1:21" x14ac:dyDescent="0.2">
      <c r="A33" s="93" t="s">
        <v>403</v>
      </c>
      <c r="B33" s="216" t="s">
        <v>94</v>
      </c>
      <c r="C33" s="912">
        <v>15.4</v>
      </c>
      <c r="D33" s="912">
        <v>13.9</v>
      </c>
      <c r="E33" s="912">
        <v>0.94499999999999995</v>
      </c>
      <c r="F33" s="697">
        <f ca="1">'Material Flows'!E15</f>
        <v>0</v>
      </c>
      <c r="G33" s="697">
        <f ca="1">'Material Flows'!I15</f>
        <v>0</v>
      </c>
      <c r="H33" s="697">
        <f ca="1">'Material Flows'!M15</f>
        <v>0</v>
      </c>
      <c r="I33" s="186">
        <f t="shared" ca="1" si="17"/>
        <v>0</v>
      </c>
      <c r="J33" s="186">
        <f t="shared" ca="1" si="18"/>
        <v>0</v>
      </c>
      <c r="K33" s="186">
        <f t="shared" ca="1" si="19"/>
        <v>0</v>
      </c>
      <c r="L33" s="186">
        <f t="shared" ca="1" si="22"/>
        <v>0</v>
      </c>
      <c r="M33" s="186">
        <f t="shared" ca="1" si="23"/>
        <v>0</v>
      </c>
      <c r="N33" s="186">
        <f t="shared" ca="1" si="24"/>
        <v>0</v>
      </c>
      <c r="O33" s="186">
        <f t="shared" ca="1" si="25"/>
        <v>0</v>
      </c>
      <c r="P33" s="186">
        <f t="shared" ca="1" si="26"/>
        <v>0</v>
      </c>
      <c r="Q33" s="689">
        <f t="shared" ca="1" si="27"/>
        <v>0</v>
      </c>
      <c r="R33" s="217" t="s">
        <v>542</v>
      </c>
      <c r="S33" s="101"/>
      <c r="T33" s="101"/>
      <c r="U33" s="101"/>
    </row>
    <row r="34" spans="1:21" x14ac:dyDescent="0.2">
      <c r="A34" s="93" t="s">
        <v>404</v>
      </c>
      <c r="B34" s="216" t="s">
        <v>94</v>
      </c>
      <c r="C34" s="912">
        <v>10.4</v>
      </c>
      <c r="D34" s="912">
        <v>8.4</v>
      </c>
      <c r="E34" s="912">
        <v>0.501</v>
      </c>
      <c r="F34" s="697">
        <f ca="1">'Material Flows'!E14</f>
        <v>0</v>
      </c>
      <c r="G34" s="697">
        <f ca="1">'Material Flows'!I14</f>
        <v>0</v>
      </c>
      <c r="H34" s="697">
        <f ca="1">'Material Flows'!M14</f>
        <v>0</v>
      </c>
      <c r="I34" s="186">
        <f t="shared" ca="1" si="17"/>
        <v>0</v>
      </c>
      <c r="J34" s="186">
        <f t="shared" ca="1" si="18"/>
        <v>0</v>
      </c>
      <c r="K34" s="186">
        <f t="shared" ca="1" si="19"/>
        <v>0</v>
      </c>
      <c r="L34" s="186">
        <f t="shared" ca="1" si="22"/>
        <v>0</v>
      </c>
      <c r="M34" s="186">
        <f t="shared" ca="1" si="23"/>
        <v>0</v>
      </c>
      <c r="N34" s="186">
        <f t="shared" ca="1" si="24"/>
        <v>0</v>
      </c>
      <c r="O34" s="186">
        <f t="shared" ca="1" si="25"/>
        <v>0</v>
      </c>
      <c r="P34" s="186">
        <f t="shared" ca="1" si="26"/>
        <v>0</v>
      </c>
      <c r="Q34" s="689">
        <f t="shared" ca="1" si="27"/>
        <v>0</v>
      </c>
      <c r="R34" s="187" t="s">
        <v>541</v>
      </c>
      <c r="S34" s="101"/>
      <c r="T34" s="101"/>
      <c r="U34" s="101"/>
    </row>
    <row r="35" spans="1:21" x14ac:dyDescent="0.2">
      <c r="A35" s="93" t="s">
        <v>405</v>
      </c>
      <c r="B35" s="216" t="s">
        <v>94</v>
      </c>
      <c r="C35" s="912">
        <v>11.182</v>
      </c>
      <c r="D35" s="912">
        <v>10.401</v>
      </c>
      <c r="E35" s="912">
        <v>0.81299999999999994</v>
      </c>
      <c r="F35" s="697">
        <f ca="1">'Expert Data Input'!D17*'Material Flows'!E20</f>
        <v>31.271040000000003</v>
      </c>
      <c r="G35" s="697">
        <f ca="1">'Expert Data Input'!D17*'Material Flows'!I20</f>
        <v>31.271040000000003</v>
      </c>
      <c r="H35" s="697">
        <f ca="1">'Expert Data Input'!D17*'Material Flows'!M20</f>
        <v>31.271040000000003</v>
      </c>
      <c r="I35" s="186">
        <f t="shared" ca="1" si="17"/>
        <v>25.423355520000001</v>
      </c>
      <c r="J35" s="186">
        <f t="shared" ca="1" si="18"/>
        <v>25.423355520000001</v>
      </c>
      <c r="K35" s="186">
        <f t="shared" ca="1" si="19"/>
        <v>25.423355520000001</v>
      </c>
      <c r="L35" s="186">
        <f t="shared" ca="1" si="22"/>
        <v>349.67276928000007</v>
      </c>
      <c r="M35" s="186">
        <f t="shared" ca="1" si="23"/>
        <v>349.67276928000007</v>
      </c>
      <c r="N35" s="186">
        <f t="shared" ca="1" si="24"/>
        <v>349.67276928000007</v>
      </c>
      <c r="O35" s="186">
        <f t="shared" ca="1" si="25"/>
        <v>325.25008704000004</v>
      </c>
      <c r="P35" s="186">
        <f t="shared" ca="1" si="26"/>
        <v>325.25008704000004</v>
      </c>
      <c r="Q35" s="689">
        <f t="shared" ca="1" si="27"/>
        <v>325.25008704000004</v>
      </c>
      <c r="R35" s="217" t="s">
        <v>543</v>
      </c>
      <c r="S35" s="101"/>
      <c r="T35" s="101"/>
      <c r="U35" s="101"/>
    </row>
    <row r="36" spans="1:21" x14ac:dyDescent="0.2">
      <c r="A36" s="93" t="s">
        <v>406</v>
      </c>
      <c r="B36" s="216" t="s">
        <v>94</v>
      </c>
      <c r="C36" s="912">
        <v>10.784000000000001</v>
      </c>
      <c r="D36" s="912">
        <v>9.3279999999999994</v>
      </c>
      <c r="E36" s="912">
        <v>0.83199999999999996</v>
      </c>
      <c r="F36" s="697">
        <f ca="1">(1-'Expert Data Input'!D17)*'Material Flows'!E20</f>
        <v>3.86496</v>
      </c>
      <c r="G36" s="697">
        <f ca="1">(1-'Expert Data Input'!D17)*'Material Flows'!I20</f>
        <v>3.86496</v>
      </c>
      <c r="H36" s="697">
        <f ca="1">(1-'Expert Data Input'!D17)*'Material Flows'!M20</f>
        <v>3.86496</v>
      </c>
      <c r="I36" s="186">
        <f t="shared" ca="1" si="17"/>
        <v>3.2156467199999996</v>
      </c>
      <c r="J36" s="186">
        <f t="shared" ca="1" si="18"/>
        <v>3.2156467199999996</v>
      </c>
      <c r="K36" s="186">
        <f t="shared" ca="1" si="19"/>
        <v>3.2156467199999996</v>
      </c>
      <c r="L36" s="186">
        <f t="shared" ca="1" si="22"/>
        <v>41.67972864</v>
      </c>
      <c r="M36" s="186">
        <f t="shared" ca="1" si="23"/>
        <v>41.67972864</v>
      </c>
      <c r="N36" s="186">
        <f t="shared" ca="1" si="24"/>
        <v>41.67972864</v>
      </c>
      <c r="O36" s="186">
        <f t="shared" ca="1" si="25"/>
        <v>36.052346879999995</v>
      </c>
      <c r="P36" s="186">
        <f t="shared" ca="1" si="26"/>
        <v>36.052346879999995</v>
      </c>
      <c r="Q36" s="689">
        <f t="shared" ca="1" si="27"/>
        <v>36.052346879999995</v>
      </c>
      <c r="R36" s="217" t="s">
        <v>543</v>
      </c>
      <c r="S36" s="101"/>
    </row>
    <row r="37" spans="1:21" x14ac:dyDescent="0.2">
      <c r="A37" s="93" t="s">
        <v>407</v>
      </c>
      <c r="B37" s="216" t="s">
        <v>94</v>
      </c>
      <c r="C37" s="912">
        <v>0</v>
      </c>
      <c r="D37" s="912">
        <v>0</v>
      </c>
      <c r="E37" s="912">
        <v>0</v>
      </c>
      <c r="F37" s="697">
        <f ca="1">'Material Flows'!E16</f>
        <v>0</v>
      </c>
      <c r="G37" s="697">
        <f ca="1">'Material Flows'!I16</f>
        <v>0</v>
      </c>
      <c r="H37" s="697">
        <f ca="1">'Material Flows'!M16</f>
        <v>0</v>
      </c>
      <c r="I37" s="186">
        <f t="shared" ca="1" si="17"/>
        <v>0</v>
      </c>
      <c r="J37" s="186">
        <f t="shared" ca="1" si="18"/>
        <v>0</v>
      </c>
      <c r="K37" s="186">
        <f t="shared" ca="1" si="19"/>
        <v>0</v>
      </c>
      <c r="L37" s="186">
        <f t="shared" ca="1" si="22"/>
        <v>0</v>
      </c>
      <c r="M37" s="186">
        <f t="shared" ca="1" si="23"/>
        <v>0</v>
      </c>
      <c r="N37" s="186">
        <f t="shared" ca="1" si="24"/>
        <v>0</v>
      </c>
      <c r="O37" s="186">
        <f t="shared" ca="1" si="25"/>
        <v>0</v>
      </c>
      <c r="P37" s="186">
        <f t="shared" ca="1" si="26"/>
        <v>0</v>
      </c>
      <c r="Q37" s="689">
        <f t="shared" ca="1" si="27"/>
        <v>0</v>
      </c>
      <c r="R37" s="909"/>
      <c r="S37" s="101"/>
    </row>
    <row r="38" spans="1:21" x14ac:dyDescent="0.2">
      <c r="A38" s="93" t="s">
        <v>412</v>
      </c>
      <c r="B38" s="216" t="s">
        <v>94</v>
      </c>
      <c r="C38" s="912">
        <v>7.3397207592394649</v>
      </c>
      <c r="D38" s="912">
        <v>6.7193969317114535</v>
      </c>
      <c r="E38" s="912">
        <v>0.54099999999999993</v>
      </c>
      <c r="F38" s="697">
        <f ca="1">'Material Flows'!E23</f>
        <v>0</v>
      </c>
      <c r="G38" s="697">
        <f ca="1">'Material Flows'!I23</f>
        <v>0</v>
      </c>
      <c r="H38" s="697">
        <f ca="1">'Material Flows'!M23</f>
        <v>0</v>
      </c>
      <c r="I38" s="186">
        <f t="shared" ca="1" si="17"/>
        <v>0</v>
      </c>
      <c r="J38" s="186">
        <f t="shared" ca="1" si="18"/>
        <v>0</v>
      </c>
      <c r="K38" s="186">
        <f t="shared" ca="1" si="19"/>
        <v>0</v>
      </c>
      <c r="L38" s="186">
        <f t="shared" ca="1" si="22"/>
        <v>0</v>
      </c>
      <c r="M38" s="186">
        <f t="shared" ca="1" si="23"/>
        <v>0</v>
      </c>
      <c r="N38" s="186">
        <f t="shared" ca="1" si="24"/>
        <v>0</v>
      </c>
      <c r="O38" s="186">
        <f t="shared" ca="1" si="25"/>
        <v>0</v>
      </c>
      <c r="P38" s="186">
        <f t="shared" ca="1" si="26"/>
        <v>0</v>
      </c>
      <c r="Q38" s="689">
        <f t="shared" ca="1" si="27"/>
        <v>0</v>
      </c>
      <c r="R38" s="217" t="s">
        <v>543</v>
      </c>
      <c r="S38" s="101"/>
    </row>
    <row r="39" spans="1:21" x14ac:dyDescent="0.2">
      <c r="A39" s="93" t="s">
        <v>410</v>
      </c>
      <c r="B39" s="216" t="s">
        <v>94</v>
      </c>
      <c r="C39" s="912">
        <v>2</v>
      </c>
      <c r="D39" s="912">
        <v>1.96</v>
      </c>
      <c r="E39" s="912">
        <v>0.13500000000000001</v>
      </c>
      <c r="F39" s="697">
        <f ca="1">'Material Flows'!E7+'Material Flows'!E10</f>
        <v>146.4</v>
      </c>
      <c r="G39" s="697">
        <f ca="1">'Material Flows'!I7+'Material Flows'!I10</f>
        <v>146.4</v>
      </c>
      <c r="H39" s="697">
        <f ca="1">'Material Flows'!M7+'Material Flows'!M10</f>
        <v>146.4</v>
      </c>
      <c r="I39" s="186">
        <f t="shared" ca="1" si="17"/>
        <v>19.764000000000003</v>
      </c>
      <c r="J39" s="186">
        <f t="shared" ca="1" si="18"/>
        <v>19.764000000000003</v>
      </c>
      <c r="K39" s="186">
        <f t="shared" ca="1" si="19"/>
        <v>19.764000000000003</v>
      </c>
      <c r="L39" s="186">
        <f t="shared" ca="1" si="22"/>
        <v>292.8</v>
      </c>
      <c r="M39" s="186">
        <f t="shared" ca="1" si="23"/>
        <v>292.8</v>
      </c>
      <c r="N39" s="186">
        <f t="shared" ca="1" si="24"/>
        <v>292.8</v>
      </c>
      <c r="O39" s="186">
        <f t="shared" ca="1" si="25"/>
        <v>286.94400000000002</v>
      </c>
      <c r="P39" s="186">
        <f t="shared" ca="1" si="26"/>
        <v>286.94400000000002</v>
      </c>
      <c r="Q39" s="689">
        <f t="shared" ca="1" si="27"/>
        <v>286.94400000000002</v>
      </c>
      <c r="R39" s="217" t="s">
        <v>547</v>
      </c>
      <c r="S39" s="101"/>
    </row>
    <row r="40" spans="1:21" x14ac:dyDescent="0.2">
      <c r="A40" s="93" t="s">
        <v>408</v>
      </c>
      <c r="B40" s="216" t="s">
        <v>94</v>
      </c>
      <c r="C40" s="912">
        <v>8.24</v>
      </c>
      <c r="D40" s="912">
        <v>7.57</v>
      </c>
      <c r="E40" s="912">
        <v>0.62</v>
      </c>
      <c r="F40" s="697">
        <f ca="1">(1-'Expert Data Input'!D16)*('Material Flows'!E5+'Material Flows'!E8)</f>
        <v>638.83636363636356</v>
      </c>
      <c r="G40" s="697">
        <f ca="1">(1-'Expert Data Input'!D16)*('Material Flows'!I5+'Material Flows'!I8)</f>
        <v>517.33636363636356</v>
      </c>
      <c r="H40" s="697">
        <f ca="1">(1-'Expert Data Input'!D16)*('Material Flows'!M5+'Material Flows'!M8)</f>
        <v>182.43818181818182</v>
      </c>
      <c r="I40" s="186">
        <f t="shared" ca="1" si="17"/>
        <v>396.07854545454541</v>
      </c>
      <c r="J40" s="186">
        <f t="shared" ca="1" si="18"/>
        <v>320.74854545454542</v>
      </c>
      <c r="K40" s="186">
        <f t="shared" ca="1" si="19"/>
        <v>113.11167272727273</v>
      </c>
      <c r="L40" s="186">
        <f t="shared" ca="1" si="22"/>
        <v>5264.0116363636362</v>
      </c>
      <c r="M40" s="186">
        <f t="shared" ca="1" si="23"/>
        <v>4262.8516363636354</v>
      </c>
      <c r="N40" s="186">
        <f t="shared" ca="1" si="24"/>
        <v>1503.2906181818182</v>
      </c>
      <c r="O40" s="186">
        <f t="shared" ca="1" si="25"/>
        <v>4835.9912727272722</v>
      </c>
      <c r="P40" s="186">
        <f t="shared" ca="1" si="26"/>
        <v>3916.2362727272721</v>
      </c>
      <c r="Q40" s="689">
        <f t="shared" ca="1" si="27"/>
        <v>1381.0570363636364</v>
      </c>
      <c r="R40" s="217" t="s">
        <v>861</v>
      </c>
      <c r="S40" s="101"/>
    </row>
    <row r="41" spans="1:21" x14ac:dyDescent="0.2">
      <c r="A41" s="93" t="s">
        <v>409</v>
      </c>
      <c r="B41" s="216" t="s">
        <v>94</v>
      </c>
      <c r="C41" s="912">
        <v>2.0099999999999998</v>
      </c>
      <c r="D41" s="912">
        <v>1.85</v>
      </c>
      <c r="E41" s="912">
        <v>0.14000000000000001</v>
      </c>
      <c r="F41" s="697">
        <f ca="1">'Expert Data Input'!D16*('Material Flows'!E5+'Material Flows'!E8)</f>
        <v>212.94545454545454</v>
      </c>
      <c r="G41" s="697">
        <f ca="1">'Expert Data Input'!D16*('Material Flows'!I5+'Material Flows'!I8)</f>
        <v>172.44545454545454</v>
      </c>
      <c r="H41" s="697">
        <f ca="1">'Expert Data Input'!D16*('Material Flows'!M5+'Material Flows'!M8)</f>
        <v>60.812727272727273</v>
      </c>
      <c r="I41" s="186">
        <f t="shared" ca="1" si="17"/>
        <v>29.812363636363639</v>
      </c>
      <c r="J41" s="186">
        <f t="shared" ca="1" si="18"/>
        <v>24.142363636363637</v>
      </c>
      <c r="K41" s="186">
        <f t="shared" ca="1" si="19"/>
        <v>8.513781818181819</v>
      </c>
      <c r="L41" s="186">
        <f t="shared" ca="1" si="22"/>
        <v>428.02036363636358</v>
      </c>
      <c r="M41" s="186">
        <f t="shared" ca="1" si="23"/>
        <v>346.61536363636361</v>
      </c>
      <c r="N41" s="186">
        <f t="shared" ca="1" si="24"/>
        <v>122.2335818181818</v>
      </c>
      <c r="O41" s="186">
        <f t="shared" ca="1" si="25"/>
        <v>393.9490909090909</v>
      </c>
      <c r="P41" s="186">
        <f t="shared" ca="1" si="26"/>
        <v>319.02409090909089</v>
      </c>
      <c r="Q41" s="689">
        <f t="shared" ca="1" si="27"/>
        <v>112.50354545454546</v>
      </c>
      <c r="R41" s="217" t="s">
        <v>861</v>
      </c>
      <c r="S41" s="101"/>
    </row>
    <row r="42" spans="1:21" x14ac:dyDescent="0.2">
      <c r="A42" s="93" t="s">
        <v>411</v>
      </c>
      <c r="B42" s="216" t="s">
        <v>94</v>
      </c>
      <c r="C42" s="912">
        <v>4.6100000000000003</v>
      </c>
      <c r="D42" s="912">
        <v>4.04</v>
      </c>
      <c r="E42" s="912">
        <v>0.15</v>
      </c>
      <c r="F42" s="697">
        <f ca="1">('Material Flows'!E6+'Material Flows'!E9)</f>
        <v>234.24</v>
      </c>
      <c r="G42" s="697">
        <f ca="1">('Material Flows'!I6+'Material Flows'!I9)</f>
        <v>215.04</v>
      </c>
      <c r="H42" s="697">
        <f ca="1">('Material Flows'!M6+'Material Flows'!M9)</f>
        <v>176.73600000000002</v>
      </c>
      <c r="I42" s="186">
        <f t="shared" ca="1" si="17"/>
        <v>35.136000000000003</v>
      </c>
      <c r="J42" s="186">
        <f t="shared" ca="1" si="18"/>
        <v>32.256</v>
      </c>
      <c r="K42" s="186">
        <f t="shared" ca="1" si="19"/>
        <v>26.510400000000001</v>
      </c>
      <c r="L42" s="186">
        <f t="shared" ca="1" si="22"/>
        <v>1079.8464000000001</v>
      </c>
      <c r="M42" s="186">
        <f t="shared" ca="1" si="23"/>
        <v>991.33440000000007</v>
      </c>
      <c r="N42" s="186">
        <f t="shared" ca="1" si="24"/>
        <v>814.75296000000014</v>
      </c>
      <c r="O42" s="186">
        <f t="shared" ca="1" si="25"/>
        <v>946.32960000000003</v>
      </c>
      <c r="P42" s="186">
        <f t="shared" ca="1" si="26"/>
        <v>868.76159999999993</v>
      </c>
      <c r="Q42" s="689">
        <f t="shared" ca="1" si="27"/>
        <v>714.01344000000006</v>
      </c>
      <c r="R42" s="217" t="s">
        <v>861</v>
      </c>
      <c r="S42" s="101"/>
    </row>
    <row r="43" spans="1:21" x14ac:dyDescent="0.2">
      <c r="A43" s="93" t="s">
        <v>414</v>
      </c>
      <c r="B43" s="216" t="s">
        <v>94</v>
      </c>
      <c r="C43" s="913">
        <f>'Expert Data Input'!$D$23*C42+(1-'Expert Data Input'!$D$23)*('Expert Data Input'!D17*C35+(1-'Expert Data Input'!D17)*C36)</f>
        <v>8.9621466666666674</v>
      </c>
      <c r="D43" s="913">
        <f>'Expert Data Input'!$D$23*D42+(1-'Expert Data Input'!$D$23)*('Expert Data Input'!D17*D35+(1-'Expert Data Input'!D17)*D36)</f>
        <v>8.2019800000000025</v>
      </c>
      <c r="E43" s="913">
        <f>'Expert Data Input'!$D$23*E42+(1-'Expert Data Input'!$D$23)*('Expert Data Input'!D17*E35+(1-'Expert Data Input'!D17)*E36)</f>
        <v>0.59339333333333333</v>
      </c>
      <c r="F43" s="697">
        <f>'Material Flows'!E28</f>
        <v>180</v>
      </c>
      <c r="G43" s="697">
        <f>'Material Flows'!I28</f>
        <v>180</v>
      </c>
      <c r="H43" s="697">
        <f>'Material Flows'!M28</f>
        <v>180</v>
      </c>
      <c r="I43" s="186">
        <f t="shared" si="17"/>
        <v>106.8108</v>
      </c>
      <c r="J43" s="186">
        <f t="shared" si="18"/>
        <v>106.8108</v>
      </c>
      <c r="K43" s="186">
        <f t="shared" si="19"/>
        <v>106.8108</v>
      </c>
      <c r="L43" s="186">
        <f t="shared" si="22"/>
        <v>1613.1864</v>
      </c>
      <c r="M43" s="186">
        <f t="shared" si="23"/>
        <v>1613.1864</v>
      </c>
      <c r="N43" s="186">
        <f t="shared" si="24"/>
        <v>1613.1864</v>
      </c>
      <c r="O43" s="186">
        <f t="shared" si="25"/>
        <v>1476.3564000000003</v>
      </c>
      <c r="P43" s="186">
        <f t="shared" si="26"/>
        <v>1476.3564000000003</v>
      </c>
      <c r="Q43" s="689">
        <f t="shared" si="27"/>
        <v>1476.3564000000003</v>
      </c>
      <c r="R43" s="217" t="s">
        <v>543</v>
      </c>
      <c r="S43" s="101"/>
    </row>
    <row r="44" spans="1:21" ht="13.5" thickBot="1" x14ac:dyDescent="0.25">
      <c r="A44" s="898" t="s">
        <v>395</v>
      </c>
      <c r="B44" s="686"/>
      <c r="C44" s="915"/>
      <c r="D44" s="915"/>
      <c r="E44" s="915"/>
      <c r="F44" s="900"/>
      <c r="G44" s="900"/>
      <c r="H44" s="900"/>
      <c r="I44" s="901">
        <f ca="1">SUM(I26:I43)</f>
        <v>692.16037286937058</v>
      </c>
      <c r="J44" s="901">
        <f ca="1">SUM(J26:J43)</f>
        <v>595.75990171552439</v>
      </c>
      <c r="K44" s="901">
        <f ca="1">SUM(K26:K43)</f>
        <v>590.98939255468531</v>
      </c>
      <c r="L44" s="901">
        <f t="shared" ref="L44:Q44" ca="1" si="28">SUM(L26:L43)</f>
        <v>10386.085297920001</v>
      </c>
      <c r="M44" s="901">
        <f t="shared" ca="1" si="28"/>
        <v>8991.1445479199992</v>
      </c>
      <c r="N44" s="901">
        <f t="shared" ca="1" si="28"/>
        <v>10483.48890792</v>
      </c>
      <c r="O44" s="901">
        <f t="shared" ca="1" si="28"/>
        <v>9465.8226437102094</v>
      </c>
      <c r="P44" s="901">
        <f t="shared" ca="1" si="28"/>
        <v>8198.3880090948242</v>
      </c>
      <c r="Q44" s="902">
        <f t="shared" ca="1" si="28"/>
        <v>9079.4307288151049</v>
      </c>
      <c r="R44" s="909"/>
    </row>
    <row r="45" spans="1:21" x14ac:dyDescent="0.2">
      <c r="A45" s="682" t="s">
        <v>259</v>
      </c>
      <c r="B45" s="580" t="s">
        <v>94</v>
      </c>
      <c r="C45" s="911">
        <v>91</v>
      </c>
      <c r="D45" s="911">
        <v>90.8</v>
      </c>
      <c r="E45" s="911">
        <v>3.88</v>
      </c>
      <c r="F45" s="700">
        <f ca="1">'Material Flows'!$F$19*'Expert Data Input'!$B48</f>
        <v>11.4536222613504</v>
      </c>
      <c r="G45" s="700">
        <f ca="1">'Material Flows'!$F$19*'Expert Data Input'!$B48</f>
        <v>11.4536222613504</v>
      </c>
      <c r="H45" s="700">
        <f ca="1">'Material Flows'!$F$19*'Expert Data Input'!$B48</f>
        <v>11.4536222613504</v>
      </c>
      <c r="I45" s="683">
        <f t="shared" ref="I45:I60" ca="1" si="29">$E45*F45</f>
        <v>44.440054374039555</v>
      </c>
      <c r="J45" s="683">
        <f t="shared" ref="J45:J60" ca="1" si="30">$E45*G45</f>
        <v>44.440054374039555</v>
      </c>
      <c r="K45" s="683">
        <f t="shared" ref="K45:K60" ca="1" si="31">$E45*H45</f>
        <v>44.440054374039555</v>
      </c>
      <c r="L45" s="693">
        <f ca="1">$C45*F45</f>
        <v>1042.2796257828863</v>
      </c>
      <c r="M45" s="693">
        <f t="shared" ref="M45:N45" ca="1" si="32">$C45*G45</f>
        <v>1042.2796257828863</v>
      </c>
      <c r="N45" s="693">
        <f t="shared" ca="1" si="32"/>
        <v>1042.2796257828863</v>
      </c>
      <c r="O45" s="693">
        <f ca="1">$D45*F45</f>
        <v>1039.9889013306163</v>
      </c>
      <c r="P45" s="693">
        <f t="shared" ref="P45:Q45" ca="1" si="33">$D45*G45</f>
        <v>1039.9889013306163</v>
      </c>
      <c r="Q45" s="694">
        <f t="shared" ca="1" si="33"/>
        <v>1039.9889013306163</v>
      </c>
      <c r="R45" s="217" t="s">
        <v>499</v>
      </c>
      <c r="S45" s="908"/>
    </row>
    <row r="46" spans="1:21" x14ac:dyDescent="0.2">
      <c r="A46" s="93" t="s">
        <v>260</v>
      </c>
      <c r="B46" s="216" t="s">
        <v>94</v>
      </c>
      <c r="C46" s="912">
        <v>73.400000000000006</v>
      </c>
      <c r="D46" s="912">
        <v>71.3</v>
      </c>
      <c r="E46" s="912">
        <v>1.89</v>
      </c>
      <c r="F46" s="701">
        <f ca="1">'Material Flows'!$F$19*'Expert Data Input'!$B49</f>
        <v>10.394516084659198</v>
      </c>
      <c r="G46" s="701">
        <f ca="1">'Material Flows'!$F$19*'Expert Data Input'!$B49</f>
        <v>10.394516084659198</v>
      </c>
      <c r="H46" s="701">
        <f ca="1">'Material Flows'!$F$19*'Expert Data Input'!$B49</f>
        <v>10.394516084659198</v>
      </c>
      <c r="I46" s="457">
        <f t="shared" ca="1" si="29"/>
        <v>19.645635400005883</v>
      </c>
      <c r="J46" s="457">
        <f t="shared" ca="1" si="30"/>
        <v>19.645635400005883</v>
      </c>
      <c r="K46" s="457">
        <f t="shared" ca="1" si="31"/>
        <v>19.645635400005883</v>
      </c>
      <c r="L46" s="187">
        <f t="shared" ref="L46:L60" ca="1" si="34">$C46*F46</f>
        <v>762.95748061398524</v>
      </c>
      <c r="M46" s="187">
        <f t="shared" ref="M46:M60" ca="1" si="35">$C46*G46</f>
        <v>762.95748061398524</v>
      </c>
      <c r="N46" s="187">
        <f t="shared" ref="N46:N60" ca="1" si="36">$C46*H46</f>
        <v>762.95748061398524</v>
      </c>
      <c r="O46" s="187">
        <f t="shared" ref="O46:O60" ca="1" si="37">$D46*F46</f>
        <v>741.12899683620083</v>
      </c>
      <c r="P46" s="187">
        <f t="shared" ref="P46:P60" ca="1" si="38">$D46*G46</f>
        <v>741.12899683620083</v>
      </c>
      <c r="Q46" s="695">
        <f t="shared" ref="Q46:Q60" ca="1" si="39">$D46*H46</f>
        <v>741.12899683620083</v>
      </c>
      <c r="R46" s="217" t="s">
        <v>500</v>
      </c>
      <c r="S46" s="908"/>
    </row>
    <row r="47" spans="1:21" x14ac:dyDescent="0.2">
      <c r="A47" s="93" t="s">
        <v>261</v>
      </c>
      <c r="B47" s="216" t="s">
        <v>94</v>
      </c>
      <c r="C47" s="912">
        <v>130</v>
      </c>
      <c r="D47" s="912">
        <v>129</v>
      </c>
      <c r="E47" s="912">
        <v>8.5500000000000007</v>
      </c>
      <c r="F47" s="701">
        <f ca="1">'Material Flows'!$F$19*'Expert Data Input'!$B50</f>
        <v>15.038208000000001</v>
      </c>
      <c r="G47" s="701">
        <f ca="1">'Material Flows'!$F$19*'Expert Data Input'!$B50</f>
        <v>15.038208000000001</v>
      </c>
      <c r="H47" s="701">
        <f ca="1">'Material Flows'!$F$19*'Expert Data Input'!$B50</f>
        <v>15.038208000000001</v>
      </c>
      <c r="I47" s="457">
        <f t="shared" ca="1" si="29"/>
        <v>128.57667840000002</v>
      </c>
      <c r="J47" s="457">
        <f t="shared" ca="1" si="30"/>
        <v>128.57667840000002</v>
      </c>
      <c r="K47" s="457">
        <f t="shared" ca="1" si="31"/>
        <v>128.57667840000002</v>
      </c>
      <c r="L47" s="187">
        <f t="shared" ca="1" si="34"/>
        <v>1954.9670400000002</v>
      </c>
      <c r="M47" s="187">
        <f t="shared" ca="1" si="35"/>
        <v>1954.9670400000002</v>
      </c>
      <c r="N47" s="187">
        <f t="shared" ca="1" si="36"/>
        <v>1954.9670400000002</v>
      </c>
      <c r="O47" s="187">
        <f t="shared" ca="1" si="37"/>
        <v>1939.9288320000001</v>
      </c>
      <c r="P47" s="187">
        <f t="shared" ca="1" si="38"/>
        <v>1939.9288320000001</v>
      </c>
      <c r="Q47" s="695">
        <f t="shared" ca="1" si="39"/>
        <v>1939.9288320000001</v>
      </c>
      <c r="R47" s="217" t="s">
        <v>501</v>
      </c>
      <c r="S47" s="908"/>
    </row>
    <row r="48" spans="1:21" x14ac:dyDescent="0.2">
      <c r="A48" s="93" t="s">
        <v>262</v>
      </c>
      <c r="B48" s="216" t="s">
        <v>94</v>
      </c>
      <c r="C48" s="912">
        <v>76.599999999999994</v>
      </c>
      <c r="D48" s="912">
        <v>76</v>
      </c>
      <c r="E48" s="912">
        <v>2.2400000000000002</v>
      </c>
      <c r="F48" s="701">
        <f ca="1">'Material Flows'!$F$19*'Expert Data Input'!$B51</f>
        <v>0.98380800000000013</v>
      </c>
      <c r="G48" s="701">
        <f ca="1">'Material Flows'!$F$19*'Expert Data Input'!$B51</f>
        <v>0.98380800000000013</v>
      </c>
      <c r="H48" s="701">
        <f ca="1">'Material Flows'!$F$19*'Expert Data Input'!$B51</f>
        <v>0.98380800000000013</v>
      </c>
      <c r="I48" s="457">
        <f t="shared" ca="1" si="29"/>
        <v>2.2037299200000007</v>
      </c>
      <c r="J48" s="457">
        <f t="shared" ca="1" si="30"/>
        <v>2.2037299200000007</v>
      </c>
      <c r="K48" s="457">
        <f t="shared" ca="1" si="31"/>
        <v>2.2037299200000007</v>
      </c>
      <c r="L48" s="187">
        <f t="shared" ca="1" si="34"/>
        <v>75.359692800000005</v>
      </c>
      <c r="M48" s="187">
        <f t="shared" ca="1" si="35"/>
        <v>75.359692800000005</v>
      </c>
      <c r="N48" s="187">
        <f t="shared" ca="1" si="36"/>
        <v>75.359692800000005</v>
      </c>
      <c r="O48" s="187">
        <f t="shared" ca="1" si="37"/>
        <v>74.769408000000013</v>
      </c>
      <c r="P48" s="187">
        <f t="shared" ca="1" si="38"/>
        <v>74.769408000000013</v>
      </c>
      <c r="Q48" s="695">
        <f t="shared" ca="1" si="39"/>
        <v>74.769408000000013</v>
      </c>
      <c r="R48" s="217" t="s">
        <v>502</v>
      </c>
      <c r="S48" s="908"/>
    </row>
    <row r="49" spans="1:19" x14ac:dyDescent="0.2">
      <c r="A49" s="93" t="s">
        <v>264</v>
      </c>
      <c r="B49" s="216" t="s">
        <v>94</v>
      </c>
      <c r="C49" s="912">
        <v>72.099999999999994</v>
      </c>
      <c r="D49" s="912">
        <v>71.5</v>
      </c>
      <c r="E49" s="912">
        <v>1.96</v>
      </c>
      <c r="F49" s="701">
        <f ca="1">'Material Flows'!$F$19*'Expert Data Input'!$B53</f>
        <v>1.9650969596160004</v>
      </c>
      <c r="G49" s="701">
        <f ca="1">'Material Flows'!$F$19*'Expert Data Input'!$B53</f>
        <v>1.9650969596160004</v>
      </c>
      <c r="H49" s="701">
        <f ca="1">'Material Flows'!$F$19*'Expert Data Input'!$B53</f>
        <v>1.9650969596160004</v>
      </c>
      <c r="I49" s="457">
        <f t="shared" ca="1" si="29"/>
        <v>3.8515900408473609</v>
      </c>
      <c r="J49" s="457">
        <f t="shared" ca="1" si="30"/>
        <v>3.8515900408473609</v>
      </c>
      <c r="K49" s="457">
        <f t="shared" ca="1" si="31"/>
        <v>3.8515900408473609</v>
      </c>
      <c r="L49" s="187">
        <f t="shared" ca="1" si="34"/>
        <v>141.68349078831361</v>
      </c>
      <c r="M49" s="187">
        <f t="shared" ca="1" si="35"/>
        <v>141.68349078831361</v>
      </c>
      <c r="N49" s="187">
        <f t="shared" ca="1" si="36"/>
        <v>141.68349078831361</v>
      </c>
      <c r="O49" s="187">
        <f t="shared" ca="1" si="37"/>
        <v>140.50443261254404</v>
      </c>
      <c r="P49" s="187">
        <f t="shared" ca="1" si="38"/>
        <v>140.50443261254404</v>
      </c>
      <c r="Q49" s="695">
        <f t="shared" ca="1" si="39"/>
        <v>140.50443261254404</v>
      </c>
      <c r="R49" s="217" t="s">
        <v>503</v>
      </c>
      <c r="S49" s="908"/>
    </row>
    <row r="50" spans="1:19" x14ac:dyDescent="0.2">
      <c r="A50" s="93" t="s">
        <v>263</v>
      </c>
      <c r="B50" s="216" t="s">
        <v>94</v>
      </c>
      <c r="C50" s="912">
        <v>80.400000000000006</v>
      </c>
      <c r="D50" s="912">
        <v>79.900000000000006</v>
      </c>
      <c r="E50" s="912">
        <v>2.4500000000000002</v>
      </c>
      <c r="F50" s="701">
        <f ca="1">'Material Flows'!$F$19*'Expert Data Input'!$B52</f>
        <v>0.98380800000000013</v>
      </c>
      <c r="G50" s="701">
        <f ca="1">'Material Flows'!$F$19*'Expert Data Input'!$B52</f>
        <v>0.98380800000000013</v>
      </c>
      <c r="H50" s="701">
        <f ca="1">'Material Flows'!$F$19*'Expert Data Input'!$B52</f>
        <v>0.98380800000000013</v>
      </c>
      <c r="I50" s="457">
        <f t="shared" ca="1" si="29"/>
        <v>2.4103296000000003</v>
      </c>
      <c r="J50" s="457">
        <f t="shared" ca="1" si="30"/>
        <v>2.4103296000000003</v>
      </c>
      <c r="K50" s="457">
        <f t="shared" ca="1" si="31"/>
        <v>2.4103296000000003</v>
      </c>
      <c r="L50" s="187">
        <f t="shared" ca="1" si="34"/>
        <v>79.098163200000016</v>
      </c>
      <c r="M50" s="187">
        <f t="shared" ca="1" si="35"/>
        <v>79.098163200000016</v>
      </c>
      <c r="N50" s="187">
        <f t="shared" ca="1" si="36"/>
        <v>79.098163200000016</v>
      </c>
      <c r="O50" s="187">
        <f t="shared" ca="1" si="37"/>
        <v>78.606259200000011</v>
      </c>
      <c r="P50" s="187">
        <f t="shared" ca="1" si="38"/>
        <v>78.606259200000011</v>
      </c>
      <c r="Q50" s="695">
        <f t="shared" ca="1" si="39"/>
        <v>78.606259200000011</v>
      </c>
      <c r="R50" s="217" t="s">
        <v>504</v>
      </c>
      <c r="S50" s="908"/>
    </row>
    <row r="51" spans="1:19" x14ac:dyDescent="0.2">
      <c r="A51" s="93" t="s">
        <v>265</v>
      </c>
      <c r="B51" s="216" t="s">
        <v>94</v>
      </c>
      <c r="C51" s="912">
        <v>73.5</v>
      </c>
      <c r="D51" s="912">
        <v>72.5</v>
      </c>
      <c r="E51" s="912">
        <v>2.14</v>
      </c>
      <c r="F51" s="701">
        <f ca="1">'Material Flows'!$F$19*'Expert Data Input'!$B54</f>
        <v>1.9650969596160004</v>
      </c>
      <c r="G51" s="701">
        <f ca="1">'Material Flows'!$F$19*'Expert Data Input'!$B54</f>
        <v>1.9650969596160004</v>
      </c>
      <c r="H51" s="701">
        <f ca="1">'Material Flows'!$F$19*'Expert Data Input'!$B54</f>
        <v>1.9650969596160004</v>
      </c>
      <c r="I51" s="457">
        <f t="shared" ca="1" si="29"/>
        <v>4.2053074935782409</v>
      </c>
      <c r="J51" s="457">
        <f t="shared" ca="1" si="30"/>
        <v>4.2053074935782409</v>
      </c>
      <c r="K51" s="457">
        <f t="shared" ca="1" si="31"/>
        <v>4.2053074935782409</v>
      </c>
      <c r="L51" s="187">
        <f t="shared" ca="1" si="34"/>
        <v>144.43462653177602</v>
      </c>
      <c r="M51" s="187">
        <f t="shared" ca="1" si="35"/>
        <v>144.43462653177602</v>
      </c>
      <c r="N51" s="187">
        <f t="shared" ca="1" si="36"/>
        <v>144.43462653177602</v>
      </c>
      <c r="O51" s="187">
        <f t="shared" ca="1" si="37"/>
        <v>142.46952957216004</v>
      </c>
      <c r="P51" s="187">
        <f t="shared" ca="1" si="38"/>
        <v>142.46952957216004</v>
      </c>
      <c r="Q51" s="695">
        <f t="shared" ca="1" si="39"/>
        <v>142.46952957216004</v>
      </c>
      <c r="R51" s="217" t="s">
        <v>505</v>
      </c>
      <c r="S51" s="908"/>
    </row>
    <row r="52" spans="1:19" x14ac:dyDescent="0.2">
      <c r="A52" s="93" t="s">
        <v>266</v>
      </c>
      <c r="B52" s="216" t="s">
        <v>94</v>
      </c>
      <c r="C52" s="912">
        <v>68.7</v>
      </c>
      <c r="D52" s="912">
        <v>68.400000000000006</v>
      </c>
      <c r="E52" s="912">
        <v>1.88</v>
      </c>
      <c r="F52" s="701">
        <f ca="1">'Material Flows'!$F$19*'Expert Data Input'!$B55</f>
        <v>1.9650969596160004</v>
      </c>
      <c r="G52" s="701">
        <f ca="1">'Material Flows'!$F$19*'Expert Data Input'!$B55</f>
        <v>1.9650969596160004</v>
      </c>
      <c r="H52" s="701">
        <f ca="1">'Material Flows'!$F$19*'Expert Data Input'!$B55</f>
        <v>1.9650969596160004</v>
      </c>
      <c r="I52" s="457">
        <f t="shared" ca="1" si="29"/>
        <v>3.6943822840780807</v>
      </c>
      <c r="J52" s="457">
        <f t="shared" ca="1" si="30"/>
        <v>3.6943822840780807</v>
      </c>
      <c r="K52" s="457">
        <f t="shared" ca="1" si="31"/>
        <v>3.6943822840780807</v>
      </c>
      <c r="L52" s="187">
        <f t="shared" ca="1" si="34"/>
        <v>135.00216112561924</v>
      </c>
      <c r="M52" s="187">
        <f t="shared" ca="1" si="35"/>
        <v>135.00216112561924</v>
      </c>
      <c r="N52" s="187">
        <f t="shared" ca="1" si="36"/>
        <v>135.00216112561924</v>
      </c>
      <c r="O52" s="187">
        <f t="shared" ca="1" si="37"/>
        <v>134.41263203773443</v>
      </c>
      <c r="P52" s="187">
        <f t="shared" ca="1" si="38"/>
        <v>134.41263203773443</v>
      </c>
      <c r="Q52" s="695">
        <f t="shared" ca="1" si="39"/>
        <v>134.41263203773443</v>
      </c>
      <c r="R52" s="217" t="s">
        <v>506</v>
      </c>
      <c r="S52" s="908"/>
    </row>
    <row r="53" spans="1:19" x14ac:dyDescent="0.2">
      <c r="A53" s="93" t="s">
        <v>267</v>
      </c>
      <c r="B53" s="216" t="s">
        <v>94</v>
      </c>
      <c r="C53" s="912">
        <v>121</v>
      </c>
      <c r="D53" s="912">
        <v>121</v>
      </c>
      <c r="E53" s="912">
        <v>9.0500000000000007</v>
      </c>
      <c r="F53" s="701">
        <f ca="1">'Material Flows'!$F$19*'Expert Data Input'!$B56</f>
        <v>1.5853475354111999</v>
      </c>
      <c r="G53" s="701">
        <f ca="1">'Material Flows'!$F$19*'Expert Data Input'!$B56</f>
        <v>1.5853475354111999</v>
      </c>
      <c r="H53" s="701">
        <f ca="1">'Material Flows'!$F$19*'Expert Data Input'!$B56</f>
        <v>1.5853475354111999</v>
      </c>
      <c r="I53" s="457">
        <f t="shared" ca="1" si="29"/>
        <v>14.347395195471361</v>
      </c>
      <c r="J53" s="457">
        <f t="shared" ca="1" si="30"/>
        <v>14.347395195471361</v>
      </c>
      <c r="K53" s="457">
        <f t="shared" ca="1" si="31"/>
        <v>14.347395195471361</v>
      </c>
      <c r="L53" s="187">
        <f t="shared" ca="1" si="34"/>
        <v>191.82705178475518</v>
      </c>
      <c r="M53" s="187">
        <f t="shared" ca="1" si="35"/>
        <v>191.82705178475518</v>
      </c>
      <c r="N53" s="187">
        <f t="shared" ca="1" si="36"/>
        <v>191.82705178475518</v>
      </c>
      <c r="O53" s="187">
        <f t="shared" ca="1" si="37"/>
        <v>191.82705178475518</v>
      </c>
      <c r="P53" s="187">
        <f t="shared" ca="1" si="38"/>
        <v>191.82705178475518</v>
      </c>
      <c r="Q53" s="695">
        <f t="shared" ca="1" si="39"/>
        <v>191.82705178475518</v>
      </c>
      <c r="R53" s="217" t="s">
        <v>507</v>
      </c>
      <c r="S53" s="908"/>
    </row>
    <row r="54" spans="1:19" x14ac:dyDescent="0.2">
      <c r="A54" s="93" t="s">
        <v>268</v>
      </c>
      <c r="B54" s="216" t="s">
        <v>94</v>
      </c>
      <c r="C54" s="912">
        <v>132</v>
      </c>
      <c r="D54" s="912">
        <v>132</v>
      </c>
      <c r="E54" s="912">
        <v>8.1199999999999992</v>
      </c>
      <c r="F54" s="701">
        <f ca="1">'Material Flows'!$F$19*'Expert Data Input'!$B57</f>
        <v>10.169559348480002</v>
      </c>
      <c r="G54" s="701">
        <f ca="1">'Material Flows'!$F$19*'Expert Data Input'!$B57</f>
        <v>10.169559348480002</v>
      </c>
      <c r="H54" s="701">
        <f ca="1">'Material Flows'!$F$19*'Expert Data Input'!$B57</f>
        <v>10.169559348480002</v>
      </c>
      <c r="I54" s="457">
        <f t="shared" ca="1" si="29"/>
        <v>82.57682190965761</v>
      </c>
      <c r="J54" s="457">
        <f t="shared" ca="1" si="30"/>
        <v>82.57682190965761</v>
      </c>
      <c r="K54" s="457">
        <f t="shared" ca="1" si="31"/>
        <v>82.57682190965761</v>
      </c>
      <c r="L54" s="187">
        <f t="shared" ca="1" si="34"/>
        <v>1342.3818339993602</v>
      </c>
      <c r="M54" s="187">
        <f t="shared" ca="1" si="35"/>
        <v>1342.3818339993602</v>
      </c>
      <c r="N54" s="187">
        <f t="shared" ca="1" si="36"/>
        <v>1342.3818339993602</v>
      </c>
      <c r="O54" s="187">
        <f t="shared" ca="1" si="37"/>
        <v>1342.3818339993602</v>
      </c>
      <c r="P54" s="187">
        <f t="shared" ca="1" si="38"/>
        <v>1342.3818339993602</v>
      </c>
      <c r="Q54" s="695">
        <f t="shared" ca="1" si="39"/>
        <v>1342.3818339993602</v>
      </c>
      <c r="R54" s="217" t="s">
        <v>508</v>
      </c>
      <c r="S54" s="908"/>
    </row>
    <row r="55" spans="1:19" x14ac:dyDescent="0.2">
      <c r="A55" s="93" t="s">
        <v>269</v>
      </c>
      <c r="B55" s="216" t="s">
        <v>94</v>
      </c>
      <c r="C55" s="912">
        <v>96.8</v>
      </c>
      <c r="D55" s="912">
        <v>96.1</v>
      </c>
      <c r="E55" s="912">
        <v>4.17</v>
      </c>
      <c r="F55" s="701">
        <f ca="1">'Material Flows'!$F$19*'Expert Data Input'!$B58</f>
        <v>5.4535133721600015</v>
      </c>
      <c r="G55" s="701">
        <f ca="1">'Material Flows'!$F$19*'Expert Data Input'!$B58</f>
        <v>5.4535133721600015</v>
      </c>
      <c r="H55" s="701">
        <f ca="1">'Material Flows'!$F$19*'Expert Data Input'!$B58</f>
        <v>5.4535133721600015</v>
      </c>
      <c r="I55" s="457">
        <f t="shared" ca="1" si="29"/>
        <v>22.741150761907207</v>
      </c>
      <c r="J55" s="457">
        <f t="shared" ca="1" si="30"/>
        <v>22.741150761907207</v>
      </c>
      <c r="K55" s="457">
        <f t="shared" ca="1" si="31"/>
        <v>22.741150761907207</v>
      </c>
      <c r="L55" s="187">
        <f t="shared" ca="1" si="34"/>
        <v>527.90009442508813</v>
      </c>
      <c r="M55" s="187">
        <f t="shared" ca="1" si="35"/>
        <v>527.90009442508813</v>
      </c>
      <c r="N55" s="187">
        <f t="shared" ca="1" si="36"/>
        <v>527.90009442508813</v>
      </c>
      <c r="O55" s="187">
        <f t="shared" ca="1" si="37"/>
        <v>524.08263506457615</v>
      </c>
      <c r="P55" s="187">
        <f t="shared" ca="1" si="38"/>
        <v>524.08263506457615</v>
      </c>
      <c r="Q55" s="695">
        <f t="shared" ca="1" si="39"/>
        <v>524.08263506457615</v>
      </c>
      <c r="R55" s="217" t="s">
        <v>509</v>
      </c>
      <c r="S55" s="908"/>
    </row>
    <row r="56" spans="1:19" x14ac:dyDescent="0.2">
      <c r="A56" s="93" t="s">
        <v>270</v>
      </c>
      <c r="B56" s="216" t="s">
        <v>94</v>
      </c>
      <c r="C56" s="912">
        <v>75.7</v>
      </c>
      <c r="D56" s="912">
        <v>75.7</v>
      </c>
      <c r="E56" s="912">
        <v>3.33</v>
      </c>
      <c r="F56" s="701">
        <f ca="1">'Material Flows'!$F$19*'Expert Data Input'!$B59</f>
        <v>2.5556591232000003</v>
      </c>
      <c r="G56" s="701">
        <f ca="1">'Material Flows'!$F$19*'Expert Data Input'!$B59</f>
        <v>2.5556591232000003</v>
      </c>
      <c r="H56" s="701">
        <f ca="1">'Material Flows'!$F$19*'Expert Data Input'!$B59</f>
        <v>2.5556591232000003</v>
      </c>
      <c r="I56" s="457">
        <f t="shared" ca="1" si="29"/>
        <v>8.5103448802560013</v>
      </c>
      <c r="J56" s="457">
        <f t="shared" ca="1" si="30"/>
        <v>8.5103448802560013</v>
      </c>
      <c r="K56" s="457">
        <f t="shared" ca="1" si="31"/>
        <v>8.5103448802560013</v>
      </c>
      <c r="L56" s="187">
        <f t="shared" ca="1" si="34"/>
        <v>193.46339562624004</v>
      </c>
      <c r="M56" s="187">
        <f t="shared" ca="1" si="35"/>
        <v>193.46339562624004</v>
      </c>
      <c r="N56" s="187">
        <f t="shared" ca="1" si="36"/>
        <v>193.46339562624004</v>
      </c>
      <c r="O56" s="187">
        <f t="shared" ca="1" si="37"/>
        <v>193.46339562624004</v>
      </c>
      <c r="P56" s="187">
        <f t="shared" ca="1" si="38"/>
        <v>193.46339562624004</v>
      </c>
      <c r="Q56" s="695">
        <f t="shared" ca="1" si="39"/>
        <v>193.46339562624004</v>
      </c>
      <c r="R56" s="217" t="s">
        <v>510</v>
      </c>
      <c r="S56" s="908"/>
    </row>
    <row r="57" spans="1:19" x14ac:dyDescent="0.2">
      <c r="A57" s="93" t="s">
        <v>271</v>
      </c>
      <c r="B57" s="216" t="s">
        <v>94</v>
      </c>
      <c r="C57" s="912">
        <v>69.7</v>
      </c>
      <c r="D57" s="912">
        <v>69.400000000000006</v>
      </c>
      <c r="E57" s="912">
        <v>2</v>
      </c>
      <c r="F57" s="701">
        <f ca="1">'Material Flows'!$F$19*'Expert Data Input'!$B60</f>
        <v>28.047046457571842</v>
      </c>
      <c r="G57" s="701">
        <f ca="1">'Material Flows'!$F$19*'Expert Data Input'!$B60</f>
        <v>28.047046457571842</v>
      </c>
      <c r="H57" s="701">
        <f ca="1">'Material Flows'!$F$19*'Expert Data Input'!$B60</f>
        <v>28.047046457571842</v>
      </c>
      <c r="I57" s="457">
        <f t="shared" ca="1" si="29"/>
        <v>56.094092915143683</v>
      </c>
      <c r="J57" s="457">
        <f t="shared" ca="1" si="30"/>
        <v>56.094092915143683</v>
      </c>
      <c r="K57" s="457">
        <f t="shared" ca="1" si="31"/>
        <v>56.094092915143683</v>
      </c>
      <c r="L57" s="187">
        <f t="shared" ca="1" si="34"/>
        <v>1954.8791380927576</v>
      </c>
      <c r="M57" s="187">
        <f t="shared" ca="1" si="35"/>
        <v>1954.8791380927576</v>
      </c>
      <c r="N57" s="187">
        <f t="shared" ca="1" si="36"/>
        <v>1954.8791380927576</v>
      </c>
      <c r="O57" s="187">
        <f t="shared" ca="1" si="37"/>
        <v>1946.4650241554859</v>
      </c>
      <c r="P57" s="187">
        <f t="shared" ca="1" si="38"/>
        <v>1946.4650241554859</v>
      </c>
      <c r="Q57" s="695">
        <f t="shared" ca="1" si="39"/>
        <v>1946.4650241554859</v>
      </c>
      <c r="R57" s="217" t="s">
        <v>511</v>
      </c>
      <c r="S57" s="908"/>
    </row>
    <row r="58" spans="1:19" x14ac:dyDescent="0.2">
      <c r="A58" s="93" t="s">
        <v>246</v>
      </c>
      <c r="B58" s="216" t="s">
        <v>94</v>
      </c>
      <c r="C58" s="912">
        <v>92.7</v>
      </c>
      <c r="D58" s="912">
        <v>91.8</v>
      </c>
      <c r="E58" s="912">
        <v>4.8</v>
      </c>
      <c r="F58" s="701">
        <f ca="1">'Material Flows'!$F$19*'Expert Data Input'!$B61</f>
        <v>17.146368000000002</v>
      </c>
      <c r="G58" s="701">
        <f ca="1">'Material Flows'!$F$19*'Expert Data Input'!$B61</f>
        <v>17.146368000000002</v>
      </c>
      <c r="H58" s="701">
        <f ca="1">'Material Flows'!$F$19*'Expert Data Input'!$B61</f>
        <v>17.146368000000002</v>
      </c>
      <c r="I58" s="457">
        <f t="shared" ca="1" si="29"/>
        <v>82.302566400000003</v>
      </c>
      <c r="J58" s="457">
        <f t="shared" ca="1" si="30"/>
        <v>82.302566400000003</v>
      </c>
      <c r="K58" s="457">
        <f t="shared" ca="1" si="31"/>
        <v>82.302566400000003</v>
      </c>
      <c r="L58" s="187">
        <f t="shared" ca="1" si="34"/>
        <v>1589.4683136000003</v>
      </c>
      <c r="M58" s="187">
        <f t="shared" ca="1" si="35"/>
        <v>1589.4683136000003</v>
      </c>
      <c r="N58" s="187">
        <f t="shared" ca="1" si="36"/>
        <v>1589.4683136000003</v>
      </c>
      <c r="O58" s="187">
        <f t="shared" ca="1" si="37"/>
        <v>1574.0365824000003</v>
      </c>
      <c r="P58" s="187">
        <f t="shared" ca="1" si="38"/>
        <v>1574.0365824000003</v>
      </c>
      <c r="Q58" s="695">
        <f t="shared" ca="1" si="39"/>
        <v>1574.0365824000003</v>
      </c>
      <c r="R58" s="217" t="s">
        <v>512</v>
      </c>
      <c r="S58" s="908"/>
    </row>
    <row r="59" spans="1:19" x14ac:dyDescent="0.2">
      <c r="A59" s="690" t="s">
        <v>247</v>
      </c>
      <c r="B59" s="216" t="s">
        <v>94</v>
      </c>
      <c r="C59" s="912">
        <v>94.9</v>
      </c>
      <c r="D59" s="912">
        <v>94.3</v>
      </c>
      <c r="E59" s="912">
        <v>4.3</v>
      </c>
      <c r="F59" s="701">
        <f ca="1">'Material Flows'!$F$19*'Expert Data Input'!$B62</f>
        <v>16.303104000000001</v>
      </c>
      <c r="G59" s="701">
        <f ca="1">'Material Flows'!$F$19*'Expert Data Input'!$B62</f>
        <v>16.303104000000001</v>
      </c>
      <c r="H59" s="701">
        <f ca="1">'Material Flows'!$F$19*'Expert Data Input'!$B62</f>
        <v>16.303104000000001</v>
      </c>
      <c r="I59" s="457">
        <f t="shared" ca="1" si="29"/>
        <v>70.103347200000002</v>
      </c>
      <c r="J59" s="457">
        <f t="shared" ca="1" si="30"/>
        <v>70.103347200000002</v>
      </c>
      <c r="K59" s="457">
        <f t="shared" ca="1" si="31"/>
        <v>70.103347200000002</v>
      </c>
      <c r="L59" s="187">
        <f t="shared" ca="1" si="34"/>
        <v>1547.1645696000003</v>
      </c>
      <c r="M59" s="187">
        <f t="shared" ca="1" si="35"/>
        <v>1547.1645696000003</v>
      </c>
      <c r="N59" s="187">
        <f t="shared" ca="1" si="36"/>
        <v>1547.1645696000003</v>
      </c>
      <c r="O59" s="187">
        <f t="shared" ca="1" si="37"/>
        <v>1537.3827072000001</v>
      </c>
      <c r="P59" s="187">
        <f t="shared" ca="1" si="38"/>
        <v>1537.3827072000001</v>
      </c>
      <c r="Q59" s="695">
        <f t="shared" ca="1" si="39"/>
        <v>1537.3827072000001</v>
      </c>
      <c r="R59" s="217" t="s">
        <v>513</v>
      </c>
      <c r="S59" s="908"/>
    </row>
    <row r="60" spans="1:19" x14ac:dyDescent="0.2">
      <c r="A60" s="690" t="s">
        <v>272</v>
      </c>
      <c r="B60" s="216" t="s">
        <v>94</v>
      </c>
      <c r="C60" s="912">
        <v>56.1</v>
      </c>
      <c r="D60" s="912">
        <v>55.2</v>
      </c>
      <c r="E60" s="912">
        <v>2.78</v>
      </c>
      <c r="F60" s="701">
        <f ca="1">'Material Flows'!$F$19*'Expert Data Input'!$B63</f>
        <v>20.138851676620785</v>
      </c>
      <c r="G60" s="701">
        <f ca="1">'Material Flows'!$F$19*'Expert Data Input'!$B63</f>
        <v>20.138851676620785</v>
      </c>
      <c r="H60" s="701">
        <f ca="1">'Material Flows'!$F$19*'Expert Data Input'!$B63</f>
        <v>20.138851676620785</v>
      </c>
      <c r="I60" s="457">
        <f t="shared" ca="1" si="29"/>
        <v>55.986007661005779</v>
      </c>
      <c r="J60" s="457">
        <f t="shared" ca="1" si="30"/>
        <v>55.986007661005779</v>
      </c>
      <c r="K60" s="457">
        <f t="shared" ca="1" si="31"/>
        <v>55.986007661005779</v>
      </c>
      <c r="L60" s="187">
        <f t="shared" ca="1" si="34"/>
        <v>1129.7895790584262</v>
      </c>
      <c r="M60" s="187">
        <f t="shared" ca="1" si="35"/>
        <v>1129.7895790584262</v>
      </c>
      <c r="N60" s="187">
        <f t="shared" ca="1" si="36"/>
        <v>1129.7895790584262</v>
      </c>
      <c r="O60" s="187">
        <f t="shared" ca="1" si="37"/>
        <v>1111.6646125494674</v>
      </c>
      <c r="P60" s="187">
        <f t="shared" ca="1" si="38"/>
        <v>1111.6646125494674</v>
      </c>
      <c r="Q60" s="695">
        <f t="shared" ca="1" si="39"/>
        <v>1111.6646125494674</v>
      </c>
      <c r="R60" s="217" t="s">
        <v>514</v>
      </c>
      <c r="S60" s="908"/>
    </row>
    <row r="61" spans="1:19" ht="13.5" thickBot="1" x14ac:dyDescent="0.25">
      <c r="A61" s="898" t="s">
        <v>390</v>
      </c>
      <c r="B61" s="686"/>
      <c r="C61" s="914"/>
      <c r="D61" s="914"/>
      <c r="E61" s="914"/>
      <c r="F61" s="899"/>
      <c r="G61" s="900"/>
      <c r="H61" s="900"/>
      <c r="I61" s="903">
        <f ca="1">SUM(I45:I60)</f>
        <v>601.68943443599085</v>
      </c>
      <c r="J61" s="903">
        <f ca="1">SUM(J45:J60)</f>
        <v>601.68943443599085</v>
      </c>
      <c r="K61" s="903">
        <f ca="1">SUM(K45:K60)</f>
        <v>601.68943443599085</v>
      </c>
      <c r="L61" s="901">
        <f t="shared" ref="L61:Q61" ca="1" si="40">SUM(L45:L60)</f>
        <v>12812.656257029206</v>
      </c>
      <c r="M61" s="901">
        <f t="shared" ca="1" si="40"/>
        <v>12812.656257029206</v>
      </c>
      <c r="N61" s="901">
        <f t="shared" ca="1" si="40"/>
        <v>12812.656257029206</v>
      </c>
      <c r="O61" s="901">
        <f t="shared" ca="1" si="40"/>
        <v>12713.112834369142</v>
      </c>
      <c r="P61" s="901">
        <f t="shared" ca="1" si="40"/>
        <v>12713.112834369142</v>
      </c>
      <c r="Q61" s="902">
        <f t="shared" ca="1" si="40"/>
        <v>12713.112834369142</v>
      </c>
      <c r="R61" s="909"/>
    </row>
    <row r="62" spans="1:19" x14ac:dyDescent="0.2">
      <c r="A62" s="692" t="s">
        <v>250</v>
      </c>
      <c r="B62" s="580" t="s">
        <v>94</v>
      </c>
      <c r="C62" s="911">
        <v>15.029876487141674</v>
      </c>
      <c r="D62" s="911">
        <v>13.005188908021248</v>
      </c>
      <c r="E62" s="911">
        <v>1.1600254467847244</v>
      </c>
      <c r="F62" s="696">
        <f ca="1">'Material Flows'!$E$19*'Expert Data Input'!$L65</f>
        <v>3.0188476037623539</v>
      </c>
      <c r="G62" s="696">
        <f ca="1">'Material Flows'!$E$19*'Expert Data Input'!$L65</f>
        <v>3.0188476037623539</v>
      </c>
      <c r="H62" s="696">
        <f ca="1">'Material Flows'!$E$19*'Expert Data Input'!$L65</f>
        <v>3.0188476037623539</v>
      </c>
      <c r="I62" s="687">
        <f t="shared" ref="I62:I70" ca="1" si="41">$E62*F62</f>
        <v>3.5019400403294192</v>
      </c>
      <c r="J62" s="687">
        <f t="shared" ref="J62:J70" ca="1" si="42">$E62*G62</f>
        <v>3.5019400403294192</v>
      </c>
      <c r="K62" s="687">
        <f t="shared" ref="K62:K70" ca="1" si="43">$E62*H62</f>
        <v>3.5019400403294192</v>
      </c>
      <c r="L62" s="687">
        <f ca="1">$C62*F62</f>
        <v>45.372906618051786</v>
      </c>
      <c r="M62" s="687">
        <f t="shared" ref="M62:N62" ca="1" si="44">$C62*G62</f>
        <v>45.372906618051786</v>
      </c>
      <c r="N62" s="687">
        <f t="shared" ca="1" si="44"/>
        <v>45.372906618051786</v>
      </c>
      <c r="O62" s="687">
        <f ca="1">$D62*F62</f>
        <v>39.260683371456686</v>
      </c>
      <c r="P62" s="687">
        <f t="shared" ref="P62:Q62" ca="1" si="45">$D62*G62</f>
        <v>39.260683371456686</v>
      </c>
      <c r="Q62" s="688">
        <f t="shared" ca="1" si="45"/>
        <v>39.260683371456686</v>
      </c>
      <c r="R62" s="217" t="s">
        <v>543</v>
      </c>
    </row>
    <row r="63" spans="1:19" x14ac:dyDescent="0.2">
      <c r="A63" s="690" t="s">
        <v>251</v>
      </c>
      <c r="B63" s="216" t="s">
        <v>94</v>
      </c>
      <c r="C63" s="912">
        <v>5.0985798997387883</v>
      </c>
      <c r="D63" s="912">
        <v>4.4101031851600503</v>
      </c>
      <c r="E63" s="912">
        <v>0.39354523807019631</v>
      </c>
      <c r="F63" s="697">
        <f ca="1">'Material Flows'!$E$19*'Expert Data Input'!$L66</f>
        <v>3.6505022969972902</v>
      </c>
      <c r="G63" s="697">
        <f ca="1">'Material Flows'!$E$19*'Expert Data Input'!$L66</f>
        <v>3.6505022969972902</v>
      </c>
      <c r="H63" s="697">
        <f ca="1">'Material Flows'!$E$19*'Expert Data Input'!$L66</f>
        <v>3.6505022969972902</v>
      </c>
      <c r="I63" s="186">
        <f t="shared" ca="1" si="41"/>
        <v>1.4366377955475971</v>
      </c>
      <c r="J63" s="186">
        <f t="shared" ca="1" si="42"/>
        <v>1.4366377955475971</v>
      </c>
      <c r="K63" s="186">
        <f t="shared" ca="1" si="43"/>
        <v>1.4366377955475971</v>
      </c>
      <c r="L63" s="186">
        <f t="shared" ref="L63:L70" ca="1" si="46">$C63*F63</f>
        <v>18.61237763542066</v>
      </c>
      <c r="M63" s="186">
        <f t="shared" ref="M63:M70" ca="1" si="47">$C63*G63</f>
        <v>18.61237763542066</v>
      </c>
      <c r="N63" s="186">
        <f t="shared" ref="N63:N69" ca="1" si="48">$C63*H63</f>
        <v>18.61237763542066</v>
      </c>
      <c r="O63" s="186">
        <f t="shared" ref="O63:O70" ca="1" si="49">$D63*F63</f>
        <v>16.099091807421829</v>
      </c>
      <c r="P63" s="186">
        <f t="shared" ref="P63:P70" ca="1" si="50">$D63*G63</f>
        <v>16.099091807421829</v>
      </c>
      <c r="Q63" s="689">
        <f t="shared" ref="Q63:Q70" ca="1" si="51">$D63*H63</f>
        <v>16.099091807421829</v>
      </c>
      <c r="R63" s="217" t="s">
        <v>543</v>
      </c>
    </row>
    <row r="64" spans="1:19" x14ac:dyDescent="0.2">
      <c r="A64" s="690" t="s">
        <v>252</v>
      </c>
      <c r="B64" s="216" t="s">
        <v>94</v>
      </c>
      <c r="C64" s="912">
        <v>11.18220944654885</v>
      </c>
      <c r="D64" s="912">
        <v>10.401380071448186</v>
      </c>
      <c r="E64" s="912">
        <v>0.81341107444800909</v>
      </c>
      <c r="F64" s="697">
        <f ca="1">'Material Flows'!$E$19*'Expert Data Input'!$L67</f>
        <v>18.406449913580712</v>
      </c>
      <c r="G64" s="697">
        <f ca="1">'Material Flows'!$E$19*'Expert Data Input'!$L67</f>
        <v>18.406449913580712</v>
      </c>
      <c r="H64" s="697">
        <f ca="1">'Material Flows'!$E$19*'Expert Data Input'!$L67</f>
        <v>18.406449913580712</v>
      </c>
      <c r="I64" s="186">
        <f t="shared" ca="1" si="41"/>
        <v>14.972010200979151</v>
      </c>
      <c r="J64" s="186">
        <f t="shared" ca="1" si="42"/>
        <v>14.972010200979151</v>
      </c>
      <c r="K64" s="186">
        <f t="shared" ca="1" si="43"/>
        <v>14.972010200979151</v>
      </c>
      <c r="L64" s="186">
        <f t="shared" ca="1" si="46"/>
        <v>205.82477810107051</v>
      </c>
      <c r="M64" s="186">
        <f t="shared" ca="1" si="47"/>
        <v>205.82477810107051</v>
      </c>
      <c r="N64" s="186">
        <f t="shared" ca="1" si="48"/>
        <v>205.82477810107051</v>
      </c>
      <c r="O64" s="186">
        <f t="shared" ca="1" si="49"/>
        <v>191.45248131722761</v>
      </c>
      <c r="P64" s="186">
        <f t="shared" ca="1" si="50"/>
        <v>191.45248131722761</v>
      </c>
      <c r="Q64" s="689">
        <f t="shared" ca="1" si="51"/>
        <v>191.45248131722761</v>
      </c>
      <c r="R64" s="217" t="s">
        <v>543</v>
      </c>
    </row>
    <row r="65" spans="1:19" x14ac:dyDescent="0.2">
      <c r="A65" s="690" t="s">
        <v>253</v>
      </c>
      <c r="B65" s="216" t="s">
        <v>94</v>
      </c>
      <c r="C65" s="912">
        <v>4.8065032981408491</v>
      </c>
      <c r="D65" s="912">
        <v>4.1574665733294136</v>
      </c>
      <c r="E65" s="912">
        <v>0.37100065546662037</v>
      </c>
      <c r="F65" s="697">
        <f ca="1">'Material Flows'!$E$19*'Expert Data Input'!$L68</f>
        <v>8.4240112258356934</v>
      </c>
      <c r="G65" s="697">
        <f ca="1">'Material Flows'!$E$19*'Expert Data Input'!$L68</f>
        <v>8.4240112258356934</v>
      </c>
      <c r="H65" s="697">
        <f ca="1">'Material Flows'!$E$19*'Expert Data Input'!$L68</f>
        <v>8.4240112258356934</v>
      </c>
      <c r="I65" s="186">
        <f t="shared" ca="1" si="41"/>
        <v>3.1253136864432105</v>
      </c>
      <c r="J65" s="186">
        <f t="shared" ca="1" si="42"/>
        <v>3.1253136864432105</v>
      </c>
      <c r="K65" s="186">
        <f t="shared" ca="1" si="43"/>
        <v>3.1253136864432105</v>
      </c>
      <c r="L65" s="186">
        <f t="shared" ca="1" si="46"/>
        <v>40.490037740554797</v>
      </c>
      <c r="M65" s="186">
        <f t="shared" ca="1" si="47"/>
        <v>40.490037740554797</v>
      </c>
      <c r="N65" s="186">
        <f t="shared" ca="1" si="48"/>
        <v>40.490037740554797</v>
      </c>
      <c r="O65" s="186">
        <f t="shared" ca="1" si="49"/>
        <v>35.022545084763635</v>
      </c>
      <c r="P65" s="186">
        <f t="shared" ca="1" si="50"/>
        <v>35.022545084763635</v>
      </c>
      <c r="Q65" s="689">
        <f t="shared" ca="1" si="51"/>
        <v>35.022545084763635</v>
      </c>
      <c r="R65" s="217" t="s">
        <v>543</v>
      </c>
    </row>
    <row r="66" spans="1:19" x14ac:dyDescent="0.2">
      <c r="A66" s="93" t="s">
        <v>255</v>
      </c>
      <c r="B66" s="216" t="s">
        <v>94</v>
      </c>
      <c r="C66" s="912">
        <v>6.1477871093624543</v>
      </c>
      <c r="D66" s="912">
        <v>5.3176327616390369</v>
      </c>
      <c r="E66" s="912">
        <v>0.47453063188886835</v>
      </c>
      <c r="F66" s="697">
        <f ca="1">'Material Flows'!$E$19*'Expert Data Input'!$L70</f>
        <v>0.50260538871701854</v>
      </c>
      <c r="G66" s="697">
        <f ca="1">'Material Flows'!$E$19*'Expert Data Input'!$L70</f>
        <v>0.50260538871701854</v>
      </c>
      <c r="H66" s="697">
        <f ca="1">'Material Flows'!$E$19*'Expert Data Input'!$L70</f>
        <v>0.50260538871701854</v>
      </c>
      <c r="I66" s="186">
        <f t="shared" ca="1" si="41"/>
        <v>0.2385016526986371</v>
      </c>
      <c r="J66" s="186">
        <f t="shared" ca="1" si="42"/>
        <v>0.2385016526986371</v>
      </c>
      <c r="K66" s="186">
        <f t="shared" ca="1" si="43"/>
        <v>0.2385016526986371</v>
      </c>
      <c r="L66" s="186">
        <f t="shared" ca="1" si="46"/>
        <v>3.0899109298505922</v>
      </c>
      <c r="M66" s="186">
        <f t="shared" ca="1" si="47"/>
        <v>3.0899109298505922</v>
      </c>
      <c r="N66" s="186">
        <f t="shared" ca="1" si="48"/>
        <v>3.0899109298505922</v>
      </c>
      <c r="O66" s="186">
        <f t="shared" ca="1" si="49"/>
        <v>2.6726708812179409</v>
      </c>
      <c r="P66" s="186">
        <f t="shared" ca="1" si="50"/>
        <v>2.6726708812179409</v>
      </c>
      <c r="Q66" s="689">
        <f t="shared" ca="1" si="51"/>
        <v>2.6726708812179409</v>
      </c>
      <c r="R66" s="217" t="s">
        <v>543</v>
      </c>
    </row>
    <row r="67" spans="1:19" x14ac:dyDescent="0.2">
      <c r="A67" s="93" t="s">
        <v>254</v>
      </c>
      <c r="B67" s="216" t="s">
        <v>94</v>
      </c>
      <c r="C67" s="912">
        <v>4.6306901981498561</v>
      </c>
      <c r="D67" s="912">
        <v>4.0053940497032041</v>
      </c>
      <c r="E67" s="912">
        <v>0.35743013001592405</v>
      </c>
      <c r="F67" s="697">
        <f ca="1">'Material Flows'!$E$19*'Expert Data Input'!$L69</f>
        <v>10.306114219699532</v>
      </c>
      <c r="G67" s="697">
        <f ca="1">'Material Flows'!$E$19*'Expert Data Input'!$L69</f>
        <v>10.306114219699532</v>
      </c>
      <c r="H67" s="697">
        <f ca="1">'Material Flows'!$E$19*'Expert Data Input'!$L69</f>
        <v>10.306114219699532</v>
      </c>
      <c r="I67" s="186">
        <f t="shared" ca="1" si="41"/>
        <v>3.6837157455061673</v>
      </c>
      <c r="J67" s="186">
        <f t="shared" ca="1" si="42"/>
        <v>3.6837157455061673</v>
      </c>
      <c r="K67" s="186">
        <f t="shared" ca="1" si="43"/>
        <v>3.6837157455061673</v>
      </c>
      <c r="L67" s="186">
        <f t="shared" ca="1" si="46"/>
        <v>47.724422098175474</v>
      </c>
      <c r="M67" s="186">
        <f t="shared" ca="1" si="47"/>
        <v>47.724422098175474</v>
      </c>
      <c r="N67" s="186">
        <f t="shared" ca="1" si="48"/>
        <v>47.724422098175474</v>
      </c>
      <c r="O67" s="186">
        <f t="shared" ca="1" si="49"/>
        <v>41.280048571146089</v>
      </c>
      <c r="P67" s="186">
        <f t="shared" ca="1" si="50"/>
        <v>41.280048571146089</v>
      </c>
      <c r="Q67" s="689">
        <f t="shared" ca="1" si="51"/>
        <v>41.280048571146089</v>
      </c>
      <c r="R67" s="217" t="s">
        <v>543</v>
      </c>
    </row>
    <row r="68" spans="1:19" x14ac:dyDescent="0.2">
      <c r="A68" s="93" t="s">
        <v>256</v>
      </c>
      <c r="B68" s="216" t="s">
        <v>94</v>
      </c>
      <c r="C68" s="912">
        <v>17.538774571682094</v>
      </c>
      <c r="D68" s="912">
        <v>15.170460623033874</v>
      </c>
      <c r="E68" s="912">
        <v>1.3537693534283417</v>
      </c>
      <c r="F68" s="697">
        <f ca="1">'Material Flows'!$E$19*'Expert Data Input'!$L71</f>
        <v>4.0819332674807587</v>
      </c>
      <c r="G68" s="697">
        <f ca="1">'Material Flows'!$E$19*'Expert Data Input'!$L71</f>
        <v>4.0819332674807587</v>
      </c>
      <c r="H68" s="697">
        <f ca="1">'Material Flows'!$E$19*'Expert Data Input'!$L71</f>
        <v>4.0819332674807587</v>
      </c>
      <c r="I68" s="186">
        <f t="shared" ca="1" si="41"/>
        <v>5.5259961602550645</v>
      </c>
      <c r="J68" s="186">
        <f t="shared" ca="1" si="42"/>
        <v>5.5259961602550645</v>
      </c>
      <c r="K68" s="186">
        <f t="shared" ca="1" si="43"/>
        <v>5.5259961602550645</v>
      </c>
      <c r="L68" s="186">
        <f t="shared" ca="1" si="46"/>
        <v>71.592107394994727</v>
      </c>
      <c r="M68" s="186">
        <f t="shared" ca="1" si="47"/>
        <v>71.592107394994727</v>
      </c>
      <c r="N68" s="186">
        <f t="shared" ca="1" si="48"/>
        <v>71.592107394994727</v>
      </c>
      <c r="O68" s="186">
        <f t="shared" ca="1" si="49"/>
        <v>61.924807900168844</v>
      </c>
      <c r="P68" s="186">
        <f t="shared" ca="1" si="50"/>
        <v>61.924807900168844</v>
      </c>
      <c r="Q68" s="689">
        <f t="shared" ca="1" si="51"/>
        <v>61.924807900168844</v>
      </c>
      <c r="R68" s="217" t="s">
        <v>543</v>
      </c>
    </row>
    <row r="69" spans="1:19" x14ac:dyDescent="0.2">
      <c r="A69" s="93" t="s">
        <v>258</v>
      </c>
      <c r="B69" s="216" t="s">
        <v>94</v>
      </c>
      <c r="C69" s="912">
        <v>7.0155098286728386</v>
      </c>
      <c r="D69" s="912">
        <v>6.0681842492135507</v>
      </c>
      <c r="E69" s="912">
        <v>0.54150774137133784</v>
      </c>
      <c r="F69" s="697">
        <f ca="1">'Material Flows'!$E$19*'Expert Data Input'!$L73</f>
        <v>39.381477892657358</v>
      </c>
      <c r="G69" s="697">
        <f ca="1">'Material Flows'!$E$19*'Expert Data Input'!$L73</f>
        <v>39.381477892657358</v>
      </c>
      <c r="H69" s="697">
        <f ca="1">'Material Flows'!$E$19*'Expert Data Input'!$L73</f>
        <v>39.381477892657358</v>
      </c>
      <c r="I69" s="186">
        <f t="shared" ca="1" si="41"/>
        <v>21.325375145518159</v>
      </c>
      <c r="J69" s="186">
        <f t="shared" ca="1" si="42"/>
        <v>21.325375145518159</v>
      </c>
      <c r="K69" s="186">
        <f t="shared" ca="1" si="43"/>
        <v>21.325375145518159</v>
      </c>
      <c r="L69" s="186">
        <f t="shared" ca="1" si="46"/>
        <v>276.28114522359982</v>
      </c>
      <c r="M69" s="186">
        <f t="shared" ca="1" si="47"/>
        <v>276.28114522359982</v>
      </c>
      <c r="N69" s="186">
        <f t="shared" ca="1" si="48"/>
        <v>276.28114522359982</v>
      </c>
      <c r="O69" s="186">
        <f t="shared" ca="1" si="49"/>
        <v>238.97406385897503</v>
      </c>
      <c r="P69" s="186">
        <f t="shared" ca="1" si="50"/>
        <v>238.97406385897503</v>
      </c>
      <c r="Q69" s="689">
        <f t="shared" ca="1" si="51"/>
        <v>238.97406385897503</v>
      </c>
      <c r="R69" s="217" t="s">
        <v>543</v>
      </c>
    </row>
    <row r="70" spans="1:19" x14ac:dyDescent="0.2">
      <c r="A70" s="93" t="s">
        <v>257</v>
      </c>
      <c r="B70" s="216" t="s">
        <v>94</v>
      </c>
      <c r="C70" s="912">
        <v>10.784148697834601</v>
      </c>
      <c r="D70" s="912">
        <v>9.327932376620506</v>
      </c>
      <c r="E70" s="912">
        <v>0.83239852079029863</v>
      </c>
      <c r="F70" s="697">
        <f ca="1">'Material Flows'!$E$19*'Expert Data Input'!$L72</f>
        <v>5.9093766465204745</v>
      </c>
      <c r="G70" s="697">
        <f ca="1">'Material Flows'!$E$19*'Expert Data Input'!$L72</f>
        <v>5.9093766465204745</v>
      </c>
      <c r="H70" s="697">
        <f ca="1">'Material Flows'!$E$19*'Expert Data Input'!$L72</f>
        <v>5.9093766465204745</v>
      </c>
      <c r="I70" s="186">
        <f t="shared" ca="1" si="41"/>
        <v>4.918956379356378</v>
      </c>
      <c r="J70" s="186">
        <f t="shared" ca="1" si="42"/>
        <v>4.918956379356378</v>
      </c>
      <c r="K70" s="186">
        <f t="shared" ca="1" si="43"/>
        <v>4.918956379356378</v>
      </c>
      <c r="L70" s="186">
        <f t="shared" ca="1" si="46"/>
        <v>63.727596467587972</v>
      </c>
      <c r="M70" s="186">
        <f t="shared" ca="1" si="47"/>
        <v>63.727596467587972</v>
      </c>
      <c r="N70" s="186">
        <f ca="1">$C70*H70</f>
        <v>63.727596467587972</v>
      </c>
      <c r="O70" s="186">
        <f t="shared" ca="1" si="49"/>
        <v>55.122265746723443</v>
      </c>
      <c r="P70" s="186">
        <f t="shared" ca="1" si="50"/>
        <v>55.122265746723443</v>
      </c>
      <c r="Q70" s="689">
        <f t="shared" ca="1" si="51"/>
        <v>55.122265746723443</v>
      </c>
      <c r="R70" s="217" t="s">
        <v>543</v>
      </c>
    </row>
    <row r="71" spans="1:19" ht="13.5" thickBot="1" x14ac:dyDescent="0.25">
      <c r="A71" s="904" t="s">
        <v>415</v>
      </c>
      <c r="B71" s="905"/>
      <c r="C71" s="914"/>
      <c r="D71" s="914"/>
      <c r="E71" s="914"/>
      <c r="F71" s="899"/>
      <c r="G71" s="899"/>
      <c r="H71" s="899"/>
      <c r="I71" s="901">
        <f ca="1">SUM(I62:I70)</f>
        <v>58.728446806633784</v>
      </c>
      <c r="J71" s="901">
        <f ca="1">SUM(J62:J70)</f>
        <v>58.728446806633784</v>
      </c>
      <c r="K71" s="901">
        <f ca="1">SUM(K62:K70)</f>
        <v>58.728446806633784</v>
      </c>
      <c r="L71" s="901">
        <f t="shared" ref="L71:Q71" ca="1" si="52">SUM(L62:L70)</f>
        <v>772.71528220930634</v>
      </c>
      <c r="M71" s="901">
        <f t="shared" ca="1" si="52"/>
        <v>772.71528220930634</v>
      </c>
      <c r="N71" s="901">
        <f t="shared" ca="1" si="52"/>
        <v>772.71528220930634</v>
      </c>
      <c r="O71" s="901">
        <f t="shared" ca="1" si="52"/>
        <v>681.80865853910109</v>
      </c>
      <c r="P71" s="901">
        <f t="shared" ca="1" si="52"/>
        <v>681.80865853910109</v>
      </c>
      <c r="Q71" s="902">
        <f t="shared" ca="1" si="52"/>
        <v>681.80865853910109</v>
      </c>
      <c r="R71" s="909"/>
    </row>
    <row r="72" spans="1:19" x14ac:dyDescent="0.2">
      <c r="A72" s="682" t="s">
        <v>276</v>
      </c>
      <c r="B72" s="580" t="s">
        <v>94</v>
      </c>
      <c r="C72" s="911">
        <v>52.9</v>
      </c>
      <c r="D72" s="911">
        <v>52.4</v>
      </c>
      <c r="E72" s="911">
        <v>1.08</v>
      </c>
      <c r="F72" s="696">
        <f ca="1">'Expert Data Input'!B69*('Expert Data Input'!C69+1)</f>
        <v>3.6</v>
      </c>
      <c r="G72" s="696">
        <f ca="1">F72</f>
        <v>3.6</v>
      </c>
      <c r="H72" s="696">
        <f ca="1">F72</f>
        <v>3.6</v>
      </c>
      <c r="I72" s="683">
        <f t="shared" ref="I72:K76" ca="1" si="53">$E72*F72</f>
        <v>3.8880000000000003</v>
      </c>
      <c r="J72" s="683">
        <f t="shared" ca="1" si="53"/>
        <v>3.8880000000000003</v>
      </c>
      <c r="K72" s="683">
        <f t="shared" ca="1" si="53"/>
        <v>3.8880000000000003</v>
      </c>
      <c r="L72" s="687">
        <f ca="1">$C72*F72</f>
        <v>190.44</v>
      </c>
      <c r="M72" s="687">
        <f t="shared" ref="M72:N72" ca="1" si="54">$C72*G72</f>
        <v>190.44</v>
      </c>
      <c r="N72" s="687">
        <f t="shared" ca="1" si="54"/>
        <v>190.44</v>
      </c>
      <c r="O72" s="687">
        <f ca="1">$D72*F72</f>
        <v>188.64</v>
      </c>
      <c r="P72" s="687">
        <f t="shared" ref="P72:Q72" ca="1" si="55">$D72*G72</f>
        <v>188.64</v>
      </c>
      <c r="Q72" s="688">
        <f t="shared" ca="1" si="55"/>
        <v>188.64</v>
      </c>
      <c r="R72" s="217" t="s">
        <v>515</v>
      </c>
      <c r="S72" s="908"/>
    </row>
    <row r="73" spans="1:19" x14ac:dyDescent="0.2">
      <c r="A73" s="690" t="s">
        <v>278</v>
      </c>
      <c r="B73" s="216" t="s">
        <v>94</v>
      </c>
      <c r="C73" s="912">
        <v>45.3</v>
      </c>
      <c r="D73" s="912">
        <v>44</v>
      </c>
      <c r="E73" s="912">
        <v>1.57</v>
      </c>
      <c r="F73" s="697">
        <f ca="1">'Expert Data Input'!B71*('Expert Data Input'!C71+1)</f>
        <v>41.6</v>
      </c>
      <c r="G73" s="697">
        <f t="shared" ref="G73:G76" ca="1" si="56">F73</f>
        <v>41.6</v>
      </c>
      <c r="H73" s="697">
        <f t="shared" ref="H73:H76" ca="1" si="57">F73</f>
        <v>41.6</v>
      </c>
      <c r="I73" s="457">
        <f t="shared" ca="1" si="53"/>
        <v>65.312000000000012</v>
      </c>
      <c r="J73" s="457">
        <f t="shared" ca="1" si="53"/>
        <v>65.312000000000012</v>
      </c>
      <c r="K73" s="457">
        <f t="shared" ca="1" si="53"/>
        <v>65.312000000000012</v>
      </c>
      <c r="L73" s="186">
        <f t="shared" ref="L73:L76" ca="1" si="58">$C73*F73</f>
        <v>1884.48</v>
      </c>
      <c r="M73" s="186">
        <f t="shared" ref="M73:M76" ca="1" si="59">$C73*G73</f>
        <v>1884.48</v>
      </c>
      <c r="N73" s="186">
        <f t="shared" ref="N73:N76" ca="1" si="60">$C73*H73</f>
        <v>1884.48</v>
      </c>
      <c r="O73" s="186">
        <f t="shared" ref="O73:O76" ca="1" si="61">$D73*F73</f>
        <v>1830.4</v>
      </c>
      <c r="P73" s="186">
        <f t="shared" ref="P73:P76" ca="1" si="62">$D73*G73</f>
        <v>1830.4</v>
      </c>
      <c r="Q73" s="689">
        <f t="shared" ref="Q73:Q76" ca="1" si="63">$D73*H73</f>
        <v>1830.4</v>
      </c>
      <c r="R73" s="217" t="s">
        <v>516</v>
      </c>
      <c r="S73" s="908"/>
    </row>
    <row r="74" spans="1:19" x14ac:dyDescent="0.2">
      <c r="A74" s="93" t="s">
        <v>275</v>
      </c>
      <c r="B74" s="216" t="s">
        <v>94</v>
      </c>
      <c r="C74" s="912">
        <v>52.9</v>
      </c>
      <c r="D74" s="912">
        <v>52.4</v>
      </c>
      <c r="E74" s="912">
        <v>1.08</v>
      </c>
      <c r="F74" s="697">
        <f ca="1">'Expert Data Input'!B68*('Expert Data Input'!C68+1)</f>
        <v>97.5</v>
      </c>
      <c r="G74" s="697">
        <f t="shared" ca="1" si="56"/>
        <v>97.5</v>
      </c>
      <c r="H74" s="697">
        <f t="shared" ca="1" si="57"/>
        <v>97.5</v>
      </c>
      <c r="I74" s="457">
        <f t="shared" ca="1" si="53"/>
        <v>105.30000000000001</v>
      </c>
      <c r="J74" s="457">
        <f t="shared" ca="1" si="53"/>
        <v>105.30000000000001</v>
      </c>
      <c r="K74" s="457">
        <f t="shared" ca="1" si="53"/>
        <v>105.30000000000001</v>
      </c>
      <c r="L74" s="186">
        <f t="shared" ca="1" si="58"/>
        <v>5157.75</v>
      </c>
      <c r="M74" s="186">
        <f t="shared" ca="1" si="59"/>
        <v>5157.75</v>
      </c>
      <c r="N74" s="186">
        <f t="shared" ca="1" si="60"/>
        <v>5157.75</v>
      </c>
      <c r="O74" s="186">
        <f t="shared" ca="1" si="61"/>
        <v>5109</v>
      </c>
      <c r="P74" s="186">
        <f t="shared" ca="1" si="62"/>
        <v>5109</v>
      </c>
      <c r="Q74" s="689">
        <f t="shared" ca="1" si="63"/>
        <v>5109</v>
      </c>
      <c r="R74" s="217" t="s">
        <v>515</v>
      </c>
      <c r="S74" s="908"/>
    </row>
    <row r="75" spans="1:19" x14ac:dyDescent="0.2">
      <c r="A75" s="690" t="s">
        <v>277</v>
      </c>
      <c r="B75" s="216" t="s">
        <v>94</v>
      </c>
      <c r="C75" s="912">
        <v>52.9</v>
      </c>
      <c r="D75" s="912">
        <v>52.4</v>
      </c>
      <c r="E75" s="912">
        <v>1.08</v>
      </c>
      <c r="F75" s="697">
        <f ca="1">'Expert Data Input'!B70*('Expert Data Input'!C70+1)</f>
        <v>21.8</v>
      </c>
      <c r="G75" s="697">
        <f t="shared" ca="1" si="56"/>
        <v>21.8</v>
      </c>
      <c r="H75" s="697">
        <f t="shared" ca="1" si="57"/>
        <v>21.8</v>
      </c>
      <c r="I75" s="457">
        <f t="shared" ca="1" si="53"/>
        <v>23.544000000000004</v>
      </c>
      <c r="J75" s="457">
        <f t="shared" ca="1" si="53"/>
        <v>23.544000000000004</v>
      </c>
      <c r="K75" s="457">
        <f t="shared" ca="1" si="53"/>
        <v>23.544000000000004</v>
      </c>
      <c r="L75" s="186">
        <f t="shared" ca="1" si="58"/>
        <v>1153.22</v>
      </c>
      <c r="M75" s="186">
        <f t="shared" ca="1" si="59"/>
        <v>1153.22</v>
      </c>
      <c r="N75" s="186">
        <f t="shared" ca="1" si="60"/>
        <v>1153.22</v>
      </c>
      <c r="O75" s="186">
        <f t="shared" ca="1" si="61"/>
        <v>1142.32</v>
      </c>
      <c r="P75" s="186">
        <f t="shared" ca="1" si="62"/>
        <v>1142.32</v>
      </c>
      <c r="Q75" s="689">
        <f t="shared" ca="1" si="63"/>
        <v>1142.32</v>
      </c>
      <c r="R75" s="217" t="s">
        <v>515</v>
      </c>
      <c r="S75" s="908"/>
    </row>
    <row r="76" spans="1:19" x14ac:dyDescent="0.2">
      <c r="A76" s="690" t="s">
        <v>279</v>
      </c>
      <c r="B76" s="216" t="s">
        <v>94</v>
      </c>
      <c r="C76" s="912">
        <v>12.5</v>
      </c>
      <c r="D76" s="912">
        <v>11.3</v>
      </c>
      <c r="E76" s="912">
        <v>0.38800000000000001</v>
      </c>
      <c r="F76" s="697">
        <f ca="1">'Expert Data Input'!B72*('Expert Data Input'!C72+1)</f>
        <v>35.1</v>
      </c>
      <c r="G76" s="697">
        <f t="shared" ca="1" si="56"/>
        <v>35.1</v>
      </c>
      <c r="H76" s="697">
        <f t="shared" ca="1" si="57"/>
        <v>35.1</v>
      </c>
      <c r="I76" s="457">
        <f t="shared" ca="1" si="53"/>
        <v>13.6188</v>
      </c>
      <c r="J76" s="457">
        <f t="shared" ca="1" si="53"/>
        <v>13.6188</v>
      </c>
      <c r="K76" s="457">
        <f t="shared" ca="1" si="53"/>
        <v>13.6188</v>
      </c>
      <c r="L76" s="186">
        <f t="shared" ca="1" si="58"/>
        <v>438.75</v>
      </c>
      <c r="M76" s="186">
        <f t="shared" ca="1" si="59"/>
        <v>438.75</v>
      </c>
      <c r="N76" s="186">
        <f t="shared" ca="1" si="60"/>
        <v>438.75</v>
      </c>
      <c r="O76" s="186">
        <f t="shared" ca="1" si="61"/>
        <v>396.63000000000005</v>
      </c>
      <c r="P76" s="186">
        <f t="shared" ca="1" si="62"/>
        <v>396.63000000000005</v>
      </c>
      <c r="Q76" s="689">
        <f t="shared" ca="1" si="63"/>
        <v>396.63000000000005</v>
      </c>
      <c r="R76" s="217" t="s">
        <v>517</v>
      </c>
      <c r="S76" s="908"/>
    </row>
    <row r="77" spans="1:19" ht="13.5" thickBot="1" x14ac:dyDescent="0.25">
      <c r="A77" s="904" t="s">
        <v>392</v>
      </c>
      <c r="B77" s="686"/>
      <c r="C77" s="914"/>
      <c r="D77" s="914"/>
      <c r="E77" s="914"/>
      <c r="F77" s="899"/>
      <c r="G77" s="899"/>
      <c r="H77" s="900"/>
      <c r="I77" s="903">
        <f ca="1">SUM(I72:I76)</f>
        <v>211.66280000000003</v>
      </c>
      <c r="J77" s="903">
        <f ca="1">SUM(J72:J76)</f>
        <v>211.66280000000003</v>
      </c>
      <c r="K77" s="903">
        <f ca="1">SUM(K72:K76)</f>
        <v>211.66280000000003</v>
      </c>
      <c r="L77" s="901">
        <f t="shared" ref="L77:Q77" ca="1" si="64">SUM(L72:L76)</f>
        <v>8824.64</v>
      </c>
      <c r="M77" s="901">
        <f t="shared" ca="1" si="64"/>
        <v>8824.64</v>
      </c>
      <c r="N77" s="901">
        <f t="shared" ca="1" si="64"/>
        <v>8824.64</v>
      </c>
      <c r="O77" s="901">
        <f t="shared" ca="1" si="64"/>
        <v>8666.99</v>
      </c>
      <c r="P77" s="901">
        <f t="shared" ca="1" si="64"/>
        <v>8666.99</v>
      </c>
      <c r="Q77" s="902">
        <f t="shared" ca="1" si="64"/>
        <v>8666.99</v>
      </c>
      <c r="R77" s="909"/>
      <c r="S77" s="908"/>
    </row>
    <row r="78" spans="1:19" x14ac:dyDescent="0.2">
      <c r="A78" s="692" t="s">
        <v>297</v>
      </c>
      <c r="B78" s="580" t="s">
        <v>394</v>
      </c>
      <c r="C78" s="911">
        <v>738.5</v>
      </c>
      <c r="D78" s="911">
        <v>638.27499999999998</v>
      </c>
      <c r="E78" s="911">
        <v>56.988</v>
      </c>
      <c r="F78" s="696">
        <v>1</v>
      </c>
      <c r="G78" s="696">
        <v>1</v>
      </c>
      <c r="H78" s="696">
        <v>1</v>
      </c>
      <c r="I78" s="687">
        <f t="shared" ref="I78:K84" si="65">$E78*F78</f>
        <v>56.988</v>
      </c>
      <c r="J78" s="687">
        <f t="shared" si="65"/>
        <v>56.988</v>
      </c>
      <c r="K78" s="687">
        <f t="shared" si="65"/>
        <v>56.988</v>
      </c>
      <c r="L78" s="687">
        <f>$C78*F78</f>
        <v>738.5</v>
      </c>
      <c r="M78" s="687">
        <f t="shared" ref="M78:N78" si="66">$C78*G78</f>
        <v>738.5</v>
      </c>
      <c r="N78" s="687">
        <f t="shared" si="66"/>
        <v>738.5</v>
      </c>
      <c r="O78" s="687">
        <f>$D78*F78</f>
        <v>638.27499999999998</v>
      </c>
      <c r="P78" s="687">
        <f t="shared" ref="P78:Q78" si="67">$D78*G78</f>
        <v>638.27499999999998</v>
      </c>
      <c r="Q78" s="688">
        <f t="shared" si="67"/>
        <v>638.27499999999998</v>
      </c>
      <c r="R78" s="217" t="s">
        <v>543</v>
      </c>
      <c r="S78" s="908"/>
    </row>
    <row r="79" spans="1:19" x14ac:dyDescent="0.2">
      <c r="A79" s="690" t="s">
        <v>298</v>
      </c>
      <c r="B79" s="216" t="s">
        <v>394</v>
      </c>
      <c r="C79" s="912">
        <v>3844.42</v>
      </c>
      <c r="D79" s="912">
        <v>3684.06</v>
      </c>
      <c r="E79" s="912">
        <v>277.32</v>
      </c>
      <c r="F79" s="697">
        <v>1</v>
      </c>
      <c r="G79" s="697">
        <v>1</v>
      </c>
      <c r="H79" s="697">
        <v>1</v>
      </c>
      <c r="I79" s="186">
        <f t="shared" si="65"/>
        <v>277.32</v>
      </c>
      <c r="J79" s="186">
        <f t="shared" si="65"/>
        <v>277.32</v>
      </c>
      <c r="K79" s="186">
        <f t="shared" si="65"/>
        <v>277.32</v>
      </c>
      <c r="L79" s="186">
        <f t="shared" ref="L79:L84" si="68">$C79*F79</f>
        <v>3844.42</v>
      </c>
      <c r="M79" s="186">
        <f t="shared" ref="M79:M84" si="69">$C79*G79</f>
        <v>3844.42</v>
      </c>
      <c r="N79" s="186">
        <f t="shared" ref="N79:N84" si="70">$C79*H79</f>
        <v>3844.42</v>
      </c>
      <c r="O79" s="186">
        <f t="shared" ref="O79:O84" si="71">$D79*F79</f>
        <v>3684.06</v>
      </c>
      <c r="P79" s="186">
        <f t="shared" ref="P79:P84" si="72">$D79*G79</f>
        <v>3684.06</v>
      </c>
      <c r="Q79" s="689">
        <f t="shared" ref="Q79:Q84" si="73">$D79*H79</f>
        <v>3684.06</v>
      </c>
      <c r="R79" s="217" t="s">
        <v>543</v>
      </c>
      <c r="S79" s="908"/>
    </row>
    <row r="80" spans="1:19" x14ac:dyDescent="0.2">
      <c r="A80" s="690" t="s">
        <v>300</v>
      </c>
      <c r="B80" s="216" t="s">
        <v>394</v>
      </c>
      <c r="C80" s="912">
        <v>2546.77</v>
      </c>
      <c r="D80" s="912">
        <v>2202.84</v>
      </c>
      <c r="E80" s="912">
        <v>196.57900000000001</v>
      </c>
      <c r="F80" s="697">
        <v>1</v>
      </c>
      <c r="G80" s="697">
        <v>1</v>
      </c>
      <c r="H80" s="697">
        <v>1</v>
      </c>
      <c r="I80" s="186">
        <f t="shared" si="65"/>
        <v>196.57900000000001</v>
      </c>
      <c r="J80" s="186">
        <f t="shared" si="65"/>
        <v>196.57900000000001</v>
      </c>
      <c r="K80" s="186">
        <f t="shared" si="65"/>
        <v>196.57900000000001</v>
      </c>
      <c r="L80" s="186">
        <f t="shared" si="68"/>
        <v>2546.77</v>
      </c>
      <c r="M80" s="186">
        <f t="shared" si="69"/>
        <v>2546.77</v>
      </c>
      <c r="N80" s="186">
        <f t="shared" si="70"/>
        <v>2546.77</v>
      </c>
      <c r="O80" s="186">
        <f t="shared" si="71"/>
        <v>2202.84</v>
      </c>
      <c r="P80" s="186">
        <f t="shared" si="72"/>
        <v>2202.84</v>
      </c>
      <c r="Q80" s="689">
        <f t="shared" si="73"/>
        <v>2202.84</v>
      </c>
      <c r="R80" s="217" t="s">
        <v>543</v>
      </c>
      <c r="S80" s="908"/>
    </row>
    <row r="81" spans="1:19" x14ac:dyDescent="0.2">
      <c r="A81" s="690" t="s">
        <v>299</v>
      </c>
      <c r="B81" s="216" t="s">
        <v>394</v>
      </c>
      <c r="C81" s="912">
        <v>3456.18</v>
      </c>
      <c r="D81" s="912">
        <v>3454.07</v>
      </c>
      <c r="E81" s="912">
        <v>235.03</v>
      </c>
      <c r="F81" s="697">
        <v>1</v>
      </c>
      <c r="G81" s="697">
        <v>1</v>
      </c>
      <c r="H81" s="697">
        <v>1</v>
      </c>
      <c r="I81" s="186">
        <f t="shared" si="65"/>
        <v>235.03</v>
      </c>
      <c r="J81" s="186">
        <f t="shared" si="65"/>
        <v>235.03</v>
      </c>
      <c r="K81" s="186">
        <f t="shared" si="65"/>
        <v>235.03</v>
      </c>
      <c r="L81" s="186">
        <f t="shared" si="68"/>
        <v>3456.18</v>
      </c>
      <c r="M81" s="186">
        <f t="shared" si="69"/>
        <v>3456.18</v>
      </c>
      <c r="N81" s="186">
        <f t="shared" si="70"/>
        <v>3456.18</v>
      </c>
      <c r="O81" s="186">
        <f t="shared" si="71"/>
        <v>3454.07</v>
      </c>
      <c r="P81" s="186">
        <f t="shared" si="72"/>
        <v>3454.07</v>
      </c>
      <c r="Q81" s="689">
        <f t="shared" si="73"/>
        <v>3454.07</v>
      </c>
      <c r="R81" s="217" t="s">
        <v>543</v>
      </c>
      <c r="S81" s="908"/>
    </row>
    <row r="82" spans="1:19" x14ac:dyDescent="0.2">
      <c r="A82" s="690" t="s">
        <v>301</v>
      </c>
      <c r="B82" s="216" t="s">
        <v>394</v>
      </c>
      <c r="C82" s="912">
        <v>527.5</v>
      </c>
      <c r="D82" s="912">
        <v>455.76</v>
      </c>
      <c r="E82" s="912">
        <v>40.706000000000003</v>
      </c>
      <c r="F82" s="697">
        <v>1</v>
      </c>
      <c r="G82" s="697">
        <v>1</v>
      </c>
      <c r="H82" s="697">
        <v>1</v>
      </c>
      <c r="I82" s="186">
        <f t="shared" si="65"/>
        <v>40.706000000000003</v>
      </c>
      <c r="J82" s="186">
        <f t="shared" si="65"/>
        <v>40.706000000000003</v>
      </c>
      <c r="K82" s="186">
        <f t="shared" si="65"/>
        <v>40.706000000000003</v>
      </c>
      <c r="L82" s="186">
        <f t="shared" si="68"/>
        <v>527.5</v>
      </c>
      <c r="M82" s="186">
        <f t="shared" si="69"/>
        <v>527.5</v>
      </c>
      <c r="N82" s="186">
        <f t="shared" si="70"/>
        <v>527.5</v>
      </c>
      <c r="O82" s="186">
        <f t="shared" si="71"/>
        <v>455.76</v>
      </c>
      <c r="P82" s="186">
        <f t="shared" si="72"/>
        <v>455.76</v>
      </c>
      <c r="Q82" s="689">
        <f t="shared" si="73"/>
        <v>455.76</v>
      </c>
      <c r="R82" s="217" t="s">
        <v>543</v>
      </c>
      <c r="S82" s="908"/>
    </row>
    <row r="83" spans="1:19" x14ac:dyDescent="0.2">
      <c r="A83" s="690" t="s">
        <v>302</v>
      </c>
      <c r="B83" s="216" t="s">
        <v>394</v>
      </c>
      <c r="C83" s="912">
        <v>702.63</v>
      </c>
      <c r="D83" s="912">
        <v>607.67999999999995</v>
      </c>
      <c r="E83" s="912">
        <v>54.207999999999998</v>
      </c>
      <c r="F83" s="697">
        <v>1</v>
      </c>
      <c r="G83" s="697">
        <v>1</v>
      </c>
      <c r="H83" s="697">
        <v>1</v>
      </c>
      <c r="I83" s="186">
        <f t="shared" si="65"/>
        <v>54.207999999999998</v>
      </c>
      <c r="J83" s="186">
        <f t="shared" si="65"/>
        <v>54.207999999999998</v>
      </c>
      <c r="K83" s="186">
        <f t="shared" si="65"/>
        <v>54.207999999999998</v>
      </c>
      <c r="L83" s="186">
        <f t="shared" si="68"/>
        <v>702.63</v>
      </c>
      <c r="M83" s="186">
        <f t="shared" si="69"/>
        <v>702.63</v>
      </c>
      <c r="N83" s="186">
        <f t="shared" si="70"/>
        <v>702.63</v>
      </c>
      <c r="O83" s="186">
        <f t="shared" si="71"/>
        <v>607.67999999999995</v>
      </c>
      <c r="P83" s="186">
        <f t="shared" si="72"/>
        <v>607.67999999999995</v>
      </c>
      <c r="Q83" s="689">
        <f t="shared" si="73"/>
        <v>607.67999999999995</v>
      </c>
      <c r="R83" s="217" t="s">
        <v>543</v>
      </c>
      <c r="S83" s="908"/>
    </row>
    <row r="84" spans="1:19" x14ac:dyDescent="0.2">
      <c r="A84" s="690" t="s">
        <v>303</v>
      </c>
      <c r="B84" s="216" t="s">
        <v>394</v>
      </c>
      <c r="C84" s="912">
        <v>1051.835</v>
      </c>
      <c r="D84" s="912">
        <v>910.46500000000003</v>
      </c>
      <c r="E84" s="912">
        <v>81.213000000000008</v>
      </c>
      <c r="F84" s="697">
        <v>1</v>
      </c>
      <c r="G84" s="697">
        <v>1</v>
      </c>
      <c r="H84" s="697">
        <v>1</v>
      </c>
      <c r="I84" s="186">
        <f t="shared" si="65"/>
        <v>81.213000000000008</v>
      </c>
      <c r="J84" s="186">
        <f t="shared" si="65"/>
        <v>81.213000000000008</v>
      </c>
      <c r="K84" s="186">
        <f t="shared" si="65"/>
        <v>81.213000000000008</v>
      </c>
      <c r="L84" s="186">
        <f t="shared" si="68"/>
        <v>1051.835</v>
      </c>
      <c r="M84" s="186">
        <f t="shared" si="69"/>
        <v>1051.835</v>
      </c>
      <c r="N84" s="186">
        <f t="shared" si="70"/>
        <v>1051.835</v>
      </c>
      <c r="O84" s="186">
        <f t="shared" si="71"/>
        <v>910.46500000000003</v>
      </c>
      <c r="P84" s="186">
        <f t="shared" si="72"/>
        <v>910.46500000000003</v>
      </c>
      <c r="Q84" s="689">
        <f t="shared" si="73"/>
        <v>910.46500000000003</v>
      </c>
      <c r="R84" s="217" t="s">
        <v>543</v>
      </c>
      <c r="S84" s="908"/>
    </row>
    <row r="85" spans="1:19" ht="13.5" thickBot="1" x14ac:dyDescent="0.25">
      <c r="A85" s="904" t="s">
        <v>393</v>
      </c>
      <c r="B85" s="686"/>
      <c r="C85" s="915"/>
      <c r="D85" s="915"/>
      <c r="E85" s="915"/>
      <c r="F85" s="900"/>
      <c r="G85" s="900"/>
      <c r="H85" s="900"/>
      <c r="I85" s="901">
        <f>SUM(I78:I84)</f>
        <v>942.04399999999987</v>
      </c>
      <c r="J85" s="901">
        <f>SUM(J78:J84)</f>
        <v>942.04399999999987</v>
      </c>
      <c r="K85" s="901">
        <f>SUM(K78:K84)</f>
        <v>942.04399999999987</v>
      </c>
      <c r="L85" s="901">
        <f t="shared" ref="L85:Q85" si="74">SUM(L78:L84)</f>
        <v>12867.834999999999</v>
      </c>
      <c r="M85" s="901">
        <f t="shared" si="74"/>
        <v>12867.834999999999</v>
      </c>
      <c r="N85" s="901">
        <f t="shared" si="74"/>
        <v>12867.834999999999</v>
      </c>
      <c r="O85" s="901">
        <f t="shared" si="74"/>
        <v>11953.150000000001</v>
      </c>
      <c r="P85" s="901">
        <f t="shared" si="74"/>
        <v>11953.150000000001</v>
      </c>
      <c r="Q85" s="902">
        <f t="shared" si="74"/>
        <v>11953.150000000001</v>
      </c>
      <c r="R85" s="909"/>
      <c r="S85" s="908"/>
    </row>
    <row r="86" spans="1:19" x14ac:dyDescent="0.2">
      <c r="A86" s="682" t="s">
        <v>339</v>
      </c>
      <c r="B86" s="580" t="s">
        <v>94</v>
      </c>
      <c r="C86" s="983">
        <f>C5-IF('Expert Data Input'!$D15="Global",'LCA Calculations'!C4,'LCA Calculations'!C3)</f>
        <v>-182.45</v>
      </c>
      <c r="D86" s="983">
        <f>D5-IF('Expert Data Input'!$D15="Global",'LCA Calculations'!D4,'LCA Calculations'!D3)</f>
        <v>-154.72999999999999</v>
      </c>
      <c r="E86" s="983">
        <f>E5-IF('Expert Data Input'!$D15="Global",'LCA Calculations'!E4,'LCA Calculations'!E3)</f>
        <v>-15.888999999999999</v>
      </c>
      <c r="F86" s="696">
        <f ca="1">SUM(Recycling!L12:L14)</f>
        <v>-32.989299940925676</v>
      </c>
      <c r="G86" s="696">
        <f ca="1">SUM(Recycling!M12:M14)</f>
        <v>-29.457398995379716</v>
      </c>
      <c r="H86" s="696">
        <f ca="1">SUM(Recycling!N12:N14)</f>
        <v>113.39453448628313</v>
      </c>
      <c r="I86" s="687">
        <f t="shared" ref="I86:K88" ca="1" si="75">$E86*F86</f>
        <v>524.16698676136809</v>
      </c>
      <c r="J86" s="687">
        <f t="shared" ca="1" si="75"/>
        <v>468.04861263758829</v>
      </c>
      <c r="K86" s="687">
        <f t="shared" ca="1" si="75"/>
        <v>-1801.7257584525526</v>
      </c>
      <c r="L86" s="687">
        <f ca="1">$C86*F86</f>
        <v>6018.8977742218894</v>
      </c>
      <c r="M86" s="687">
        <f t="shared" ref="M86:N86" ca="1" si="76">$C86*G86</f>
        <v>5374.5024467070289</v>
      </c>
      <c r="N86" s="687">
        <f t="shared" ca="1" si="76"/>
        <v>-20688.832817022358</v>
      </c>
      <c r="O86" s="687">
        <f ca="1">$D86*F86</f>
        <v>5104.4343798594291</v>
      </c>
      <c r="P86" s="687">
        <f t="shared" ref="P86:Q86" ca="1" si="77">$D86*G86</f>
        <v>4557.9433465551028</v>
      </c>
      <c r="Q86" s="688">
        <f t="shared" ca="1" si="77"/>
        <v>-17545.536321062587</v>
      </c>
      <c r="R86" s="217" t="s">
        <v>537</v>
      </c>
      <c r="S86" s="908"/>
    </row>
    <row r="87" spans="1:19" x14ac:dyDescent="0.2">
      <c r="A87" s="93" t="s">
        <v>340</v>
      </c>
      <c r="B87" s="216" t="s">
        <v>94</v>
      </c>
      <c r="C87" s="913">
        <f>C15-((1-'Expert Data Input'!$D14)*C13+'Expert Data Input'!$D14*C14)</f>
        <v>-283</v>
      </c>
      <c r="D87" s="913">
        <f>D15-((1-'Expert Data Input'!$D14)*D13+'Expert Data Input'!$D14*D14)</f>
        <v>-221.828</v>
      </c>
      <c r="E87" s="913">
        <f>E15-((1-'Expert Data Input'!$D14)*E13+'Expert Data Input'!$D14*E14)</f>
        <v>-27.609999999999996</v>
      </c>
      <c r="F87" s="697">
        <f ca="1">SUM(Recycling!L15:L16)</f>
        <v>0</v>
      </c>
      <c r="G87" s="697">
        <f ca="1">SUM(Recycling!M15:M16)</f>
        <v>0</v>
      </c>
      <c r="H87" s="697">
        <f ca="1">SUM(Recycling!N15:N16)</f>
        <v>0</v>
      </c>
      <c r="I87" s="186">
        <f t="shared" ca="1" si="75"/>
        <v>0</v>
      </c>
      <c r="J87" s="186">
        <f t="shared" ca="1" si="75"/>
        <v>0</v>
      </c>
      <c r="K87" s="186">
        <f t="shared" ca="1" si="75"/>
        <v>0</v>
      </c>
      <c r="L87" s="186">
        <f t="shared" ref="L87:L88" ca="1" si="78">$C87*F87</f>
        <v>0</v>
      </c>
      <c r="M87" s="186">
        <f t="shared" ref="M87" ca="1" si="79">$C87*G87</f>
        <v>0</v>
      </c>
      <c r="N87" s="186">
        <f t="shared" ref="N87" ca="1" si="80">$C87*H87</f>
        <v>0</v>
      </c>
      <c r="O87" s="186">
        <f t="shared" ref="O87" ca="1" si="81">$D87*F87</f>
        <v>0</v>
      </c>
      <c r="P87" s="186">
        <f t="shared" ref="P87:P88" ca="1" si="82">$D87*G87</f>
        <v>0</v>
      </c>
      <c r="Q87" s="689">
        <f t="shared" ref="Q87" ca="1" si="83">$D87*H87</f>
        <v>0</v>
      </c>
      <c r="R87" s="217" t="s">
        <v>537</v>
      </c>
      <c r="S87" s="908"/>
    </row>
    <row r="88" spans="1:19" x14ac:dyDescent="0.2">
      <c r="A88" s="93" t="s">
        <v>338</v>
      </c>
      <c r="B88" s="216" t="s">
        <v>94</v>
      </c>
      <c r="C88" s="913">
        <f t="shared" ref="C88:D88" si="84">C22-C21</f>
        <v>-13.54</v>
      </c>
      <c r="D88" s="913">
        <f t="shared" si="84"/>
        <v>-14.55</v>
      </c>
      <c r="E88" s="913">
        <f>E22-E21</f>
        <v>-1.6</v>
      </c>
      <c r="F88" s="697">
        <f ca="1">SUM(Recycling!L6:L8)+SUM(Recycling!L9:L11)</f>
        <v>-36.28242698590995</v>
      </c>
      <c r="G88" s="697">
        <f ca="1">SUM(Recycling!M6:M8)+SUM(Recycling!M9:M11)</f>
        <v>-68.529012098587145</v>
      </c>
      <c r="H88" s="697">
        <f ca="1">SUM(Recycling!N6:N8)+SUM(Recycling!N9:N11)</f>
        <v>-166.7678342713088</v>
      </c>
      <c r="I88" s="186">
        <f t="shared" ca="1" si="75"/>
        <v>58.05188317745592</v>
      </c>
      <c r="J88" s="186">
        <f t="shared" ca="1" si="75"/>
        <v>109.64641935773943</v>
      </c>
      <c r="K88" s="186">
        <f t="shared" ca="1" si="75"/>
        <v>266.82853483409411</v>
      </c>
      <c r="L88" s="186">
        <f t="shared" ca="1" si="78"/>
        <v>491.26406138922067</v>
      </c>
      <c r="M88" s="186">
        <f ca="1">$C88*G88</f>
        <v>927.88282381486988</v>
      </c>
      <c r="N88" s="186">
        <f ca="1">$C88*H88</f>
        <v>2258.036476033521</v>
      </c>
      <c r="O88" s="186">
        <f ca="1">$D88*F88</f>
        <v>527.90931264498977</v>
      </c>
      <c r="P88" s="186">
        <f t="shared" ca="1" si="82"/>
        <v>997.09712603444302</v>
      </c>
      <c r="Q88" s="689">
        <f ca="1">$D88*H88</f>
        <v>2426.4719886475432</v>
      </c>
      <c r="R88" s="217" t="s">
        <v>537</v>
      </c>
      <c r="S88" s="908"/>
    </row>
    <row r="89" spans="1:19" ht="13.5" thickBot="1" x14ac:dyDescent="0.25">
      <c r="A89" s="898" t="s">
        <v>382</v>
      </c>
      <c r="B89" s="686"/>
      <c r="C89" s="915"/>
      <c r="D89" s="915"/>
      <c r="E89" s="915"/>
      <c r="F89" s="900"/>
      <c r="G89" s="900"/>
      <c r="H89" s="900"/>
      <c r="I89" s="901">
        <f ca="1">SUM(I86:I88)</f>
        <v>582.21886993882401</v>
      </c>
      <c r="J89" s="901">
        <f ca="1">SUM(J86:J88)</f>
        <v>577.69503199532778</v>
      </c>
      <c r="K89" s="901">
        <f ca="1">SUM(K86:K88)</f>
        <v>-1534.8972236184584</v>
      </c>
      <c r="L89" s="901">
        <f t="shared" ref="L89:Q89" ca="1" si="85">SUM(L86:L88)</f>
        <v>6510.1618356111103</v>
      </c>
      <c r="M89" s="901">
        <f t="shared" ca="1" si="85"/>
        <v>6302.3852705218987</v>
      </c>
      <c r="N89" s="901">
        <f t="shared" ca="1" si="85"/>
        <v>-18430.796340988836</v>
      </c>
      <c r="O89" s="901">
        <f t="shared" ca="1" si="85"/>
        <v>5632.3436925044189</v>
      </c>
      <c r="P89" s="901">
        <f t="shared" ca="1" si="85"/>
        <v>5555.040472589546</v>
      </c>
      <c r="Q89" s="902">
        <f t="shared" ca="1" si="85"/>
        <v>-15119.064332415044</v>
      </c>
      <c r="R89" s="909"/>
      <c r="S89" s="908"/>
    </row>
    <row r="90" spans="1:19" x14ac:dyDescent="0.2">
      <c r="A90" s="682" t="s">
        <v>429</v>
      </c>
      <c r="B90" s="580" t="s">
        <v>109</v>
      </c>
      <c r="C90" s="911">
        <v>0.52</v>
      </c>
      <c r="D90" s="911">
        <v>0.39500000000000002</v>
      </c>
      <c r="E90" s="911">
        <v>-42.3</v>
      </c>
      <c r="F90" s="696">
        <f>'Use '!E19</f>
        <v>0</v>
      </c>
      <c r="G90" s="696">
        <f>'Use '!F19</f>
        <v>0</v>
      </c>
      <c r="H90" s="696">
        <f>'Use '!G19</f>
        <v>0</v>
      </c>
      <c r="I90" s="687">
        <f t="shared" ref="I90:I108" si="86">$E90*F90/1000</f>
        <v>0</v>
      </c>
      <c r="J90" s="687">
        <f t="shared" ref="J90:J108" si="87">$E90*G90/1000</f>
        <v>0</v>
      </c>
      <c r="K90" s="687">
        <f t="shared" ref="K90:K108" si="88">$E90*H90/1000</f>
        <v>0</v>
      </c>
      <c r="L90" s="687">
        <f t="shared" ref="L90:L109" si="89">$C90*F90</f>
        <v>0</v>
      </c>
      <c r="M90" s="687">
        <f t="shared" ref="M90:M109" si="90">$C90*G90</f>
        <v>0</v>
      </c>
      <c r="N90" s="687">
        <f t="shared" ref="N90:N109" si="91">$C90*H90</f>
        <v>0</v>
      </c>
      <c r="O90" s="687">
        <f t="shared" ref="O90:O109" si="92">$D90*F90</f>
        <v>0</v>
      </c>
      <c r="P90" s="687">
        <f t="shared" ref="P90:P109" si="93">$D90*G90</f>
        <v>0</v>
      </c>
      <c r="Q90" s="688">
        <f t="shared" ref="Q90:Q109" si="94">$D90*H90</f>
        <v>0</v>
      </c>
      <c r="R90" s="217" t="s">
        <v>518</v>
      </c>
      <c r="S90" s="908"/>
    </row>
    <row r="91" spans="1:19" x14ac:dyDescent="0.2">
      <c r="A91" s="93" t="s">
        <v>430</v>
      </c>
      <c r="B91" s="216" t="s">
        <v>109</v>
      </c>
      <c r="C91" s="912">
        <v>0.72799999999999998</v>
      </c>
      <c r="D91" s="912">
        <v>0.27700000000000002</v>
      </c>
      <c r="E91" s="912">
        <v>-24.3</v>
      </c>
      <c r="F91" s="859">
        <f ca="1">'Use '!E18</f>
        <v>0</v>
      </c>
      <c r="G91" s="859">
        <f ca="1">'Use '!F18</f>
        <v>0</v>
      </c>
      <c r="H91" s="859">
        <f ca="1">'Use '!G18</f>
        <v>0</v>
      </c>
      <c r="I91" s="186">
        <f t="shared" ca="1" si="86"/>
        <v>0</v>
      </c>
      <c r="J91" s="186">
        <f t="shared" ca="1" si="87"/>
        <v>0</v>
      </c>
      <c r="K91" s="186">
        <f t="shared" ca="1" si="88"/>
        <v>0</v>
      </c>
      <c r="L91" s="186">
        <f t="shared" ca="1" si="89"/>
        <v>0</v>
      </c>
      <c r="M91" s="186">
        <f t="shared" ca="1" si="90"/>
        <v>0</v>
      </c>
      <c r="N91" s="186">
        <f t="shared" ca="1" si="91"/>
        <v>0</v>
      </c>
      <c r="O91" s="186">
        <f t="shared" ca="1" si="92"/>
        <v>0</v>
      </c>
      <c r="P91" s="186">
        <f t="shared" ca="1" si="93"/>
        <v>0</v>
      </c>
      <c r="Q91" s="689">
        <f t="shared" ca="1" si="94"/>
        <v>0</v>
      </c>
      <c r="R91" s="217" t="s">
        <v>519</v>
      </c>
      <c r="S91" s="908"/>
    </row>
    <row r="92" spans="1:19" x14ac:dyDescent="0.2">
      <c r="A92" s="93" t="s">
        <v>355</v>
      </c>
      <c r="B92" s="216" t="s">
        <v>109</v>
      </c>
      <c r="C92" s="912">
        <v>0.18999999999999995</v>
      </c>
      <c r="D92" s="912">
        <v>0.12000000000000011</v>
      </c>
      <c r="E92" s="912">
        <v>12</v>
      </c>
      <c r="F92" s="859">
        <f ca="1">'Use '!E14</f>
        <v>0</v>
      </c>
      <c r="G92" s="859">
        <f ca="1">'Use '!F14</f>
        <v>0</v>
      </c>
      <c r="H92" s="859">
        <f ca="1">'Use '!G14</f>
        <v>0</v>
      </c>
      <c r="I92" s="186">
        <f t="shared" ca="1" si="86"/>
        <v>0</v>
      </c>
      <c r="J92" s="186">
        <f t="shared" ca="1" si="87"/>
        <v>0</v>
      </c>
      <c r="K92" s="186">
        <f t="shared" ca="1" si="88"/>
        <v>0</v>
      </c>
      <c r="L92" s="186">
        <f t="shared" ca="1" si="89"/>
        <v>0</v>
      </c>
      <c r="M92" s="186">
        <f t="shared" ca="1" si="90"/>
        <v>0</v>
      </c>
      <c r="N92" s="186">
        <f t="shared" ca="1" si="91"/>
        <v>0</v>
      </c>
      <c r="O92" s="186">
        <f t="shared" ca="1" si="92"/>
        <v>0</v>
      </c>
      <c r="P92" s="186">
        <f t="shared" ca="1" si="93"/>
        <v>0</v>
      </c>
      <c r="Q92" s="689">
        <f t="shared" ca="1" si="94"/>
        <v>0</v>
      </c>
      <c r="R92" s="217" t="s">
        <v>520</v>
      </c>
      <c r="S92" s="908"/>
    </row>
    <row r="93" spans="1:19" x14ac:dyDescent="0.2">
      <c r="A93" s="93" t="s">
        <v>431</v>
      </c>
      <c r="B93" s="216" t="s">
        <v>109</v>
      </c>
      <c r="C93" s="912">
        <v>1.25</v>
      </c>
      <c r="D93" s="912">
        <v>0.12</v>
      </c>
      <c r="E93" s="912">
        <v>-61</v>
      </c>
      <c r="F93" s="859">
        <f ca="1">'Use '!E16</f>
        <v>0</v>
      </c>
      <c r="G93" s="859">
        <f ca="1">'Use '!F16</f>
        <v>0</v>
      </c>
      <c r="H93" s="859">
        <f ca="1">'Use '!G16</f>
        <v>0</v>
      </c>
      <c r="I93" s="186">
        <f t="shared" ca="1" si="86"/>
        <v>0</v>
      </c>
      <c r="J93" s="186">
        <f t="shared" ca="1" si="87"/>
        <v>0</v>
      </c>
      <c r="K93" s="186">
        <f t="shared" ca="1" si="88"/>
        <v>0</v>
      </c>
      <c r="L93" s="186">
        <f t="shared" ca="1" si="89"/>
        <v>0</v>
      </c>
      <c r="M93" s="186">
        <f t="shared" ca="1" si="90"/>
        <v>0</v>
      </c>
      <c r="N93" s="186">
        <f t="shared" ca="1" si="91"/>
        <v>0</v>
      </c>
      <c r="O93" s="186">
        <f t="shared" ca="1" si="92"/>
        <v>0</v>
      </c>
      <c r="P93" s="186">
        <f t="shared" ca="1" si="93"/>
        <v>0</v>
      </c>
      <c r="Q93" s="689">
        <f t="shared" ca="1" si="94"/>
        <v>0</v>
      </c>
      <c r="R93" s="217" t="s">
        <v>546</v>
      </c>
      <c r="S93" s="908"/>
    </row>
    <row r="94" spans="1:19" x14ac:dyDescent="0.2">
      <c r="A94" s="93" t="s">
        <v>432</v>
      </c>
      <c r="B94" s="216" t="s">
        <v>109</v>
      </c>
      <c r="C94" s="912">
        <v>1.52</v>
      </c>
      <c r="D94" s="912">
        <v>1.1299999999999999</v>
      </c>
      <c r="E94" s="912">
        <v>-2.88</v>
      </c>
      <c r="F94" s="859">
        <f>'Use '!E15</f>
        <v>0</v>
      </c>
      <c r="G94" s="859">
        <f>'Use '!F15</f>
        <v>0</v>
      </c>
      <c r="H94" s="859">
        <f>'Use '!G15</f>
        <v>0</v>
      </c>
      <c r="I94" s="186">
        <f t="shared" si="86"/>
        <v>0</v>
      </c>
      <c r="J94" s="186">
        <f t="shared" si="87"/>
        <v>0</v>
      </c>
      <c r="K94" s="186">
        <f t="shared" si="88"/>
        <v>0</v>
      </c>
      <c r="L94" s="186">
        <f t="shared" si="89"/>
        <v>0</v>
      </c>
      <c r="M94" s="186">
        <f t="shared" si="90"/>
        <v>0</v>
      </c>
      <c r="N94" s="186">
        <f t="shared" si="91"/>
        <v>0</v>
      </c>
      <c r="O94" s="186">
        <f t="shared" si="92"/>
        <v>0</v>
      </c>
      <c r="P94" s="186">
        <f t="shared" si="93"/>
        <v>0</v>
      </c>
      <c r="Q94" s="689">
        <f t="shared" si="94"/>
        <v>0</v>
      </c>
      <c r="R94" s="217" t="s">
        <v>521</v>
      </c>
      <c r="S94" s="908"/>
    </row>
    <row r="95" spans="1:19" x14ac:dyDescent="0.2">
      <c r="A95" s="93" t="s">
        <v>433</v>
      </c>
      <c r="B95" s="216" t="s">
        <v>109</v>
      </c>
      <c r="C95" s="912">
        <v>1.42</v>
      </c>
      <c r="D95" s="912">
        <v>-0.20799999999999999</v>
      </c>
      <c r="E95" s="912">
        <v>-66.2</v>
      </c>
      <c r="F95" s="859">
        <f>'Use '!E17</f>
        <v>0</v>
      </c>
      <c r="G95" s="859">
        <f>'Use '!F17</f>
        <v>0</v>
      </c>
      <c r="H95" s="859">
        <f>'Use '!G17</f>
        <v>0</v>
      </c>
      <c r="I95" s="186">
        <f t="shared" si="86"/>
        <v>0</v>
      </c>
      <c r="J95" s="186">
        <f t="shared" si="87"/>
        <v>0</v>
      </c>
      <c r="K95" s="186">
        <f t="shared" si="88"/>
        <v>0</v>
      </c>
      <c r="L95" s="186">
        <f t="shared" si="89"/>
        <v>0</v>
      </c>
      <c r="M95" s="186">
        <f t="shared" si="90"/>
        <v>0</v>
      </c>
      <c r="N95" s="186">
        <f t="shared" si="91"/>
        <v>0</v>
      </c>
      <c r="O95" s="186">
        <f t="shared" si="92"/>
        <v>0</v>
      </c>
      <c r="P95" s="186">
        <f t="shared" si="93"/>
        <v>0</v>
      </c>
      <c r="Q95" s="689">
        <f t="shared" si="94"/>
        <v>0</v>
      </c>
      <c r="R95" s="217" t="s">
        <v>522</v>
      </c>
      <c r="S95" s="908"/>
    </row>
    <row r="96" spans="1:19" x14ac:dyDescent="0.2">
      <c r="A96" s="93" t="s">
        <v>354</v>
      </c>
      <c r="B96" s="216" t="s">
        <v>109</v>
      </c>
      <c r="C96" s="912">
        <v>0.21999999999999997</v>
      </c>
      <c r="D96" s="912">
        <v>0.15999999999999992</v>
      </c>
      <c r="E96" s="912">
        <v>15.7</v>
      </c>
      <c r="F96" s="859">
        <f ca="1">'Use '!E13</f>
        <v>335197.36028376821</v>
      </c>
      <c r="G96" s="859">
        <f ca="1">'Use '!F13</f>
        <v>317019.42160106008</v>
      </c>
      <c r="H96" s="859">
        <f ca="1">'Use '!G13</f>
        <v>311202.48122259352</v>
      </c>
      <c r="I96" s="186">
        <f t="shared" ca="1" si="86"/>
        <v>5262.5985564551602</v>
      </c>
      <c r="J96" s="186">
        <f t="shared" ca="1" si="87"/>
        <v>4977.2049191366432</v>
      </c>
      <c r="K96" s="186">
        <f t="shared" ca="1" si="88"/>
        <v>4885.8789551947184</v>
      </c>
      <c r="L96" s="186">
        <f t="shared" ca="1" si="89"/>
        <v>73743.419262429001</v>
      </c>
      <c r="M96" s="186">
        <f t="shared" ca="1" si="90"/>
        <v>69744.272752233213</v>
      </c>
      <c r="N96" s="186">
        <f t="shared" ca="1" si="91"/>
        <v>68464.54586897057</v>
      </c>
      <c r="O96" s="186">
        <f t="shared" ca="1" si="92"/>
        <v>53631.577645402889</v>
      </c>
      <c r="P96" s="186">
        <f t="shared" ca="1" si="93"/>
        <v>50723.107456169586</v>
      </c>
      <c r="Q96" s="689">
        <f t="shared" ca="1" si="94"/>
        <v>49792.396995614938</v>
      </c>
      <c r="R96" s="217" t="s">
        <v>523</v>
      </c>
      <c r="S96" s="908"/>
    </row>
    <row r="97" spans="1:19" x14ac:dyDescent="0.2">
      <c r="A97" s="93" t="s">
        <v>353</v>
      </c>
      <c r="B97" s="216" t="s">
        <v>109</v>
      </c>
      <c r="C97" s="912">
        <v>0.64999999999999991</v>
      </c>
      <c r="D97" s="912">
        <v>0.6399999999999999</v>
      </c>
      <c r="E97" s="912">
        <v>93</v>
      </c>
      <c r="F97" s="859">
        <f ca="1">'Use '!E20</f>
        <v>0</v>
      </c>
      <c r="G97" s="859">
        <f ca="1">'Use '!F20</f>
        <v>0</v>
      </c>
      <c r="H97" s="859">
        <f ca="1">'Use '!G20</f>
        <v>0</v>
      </c>
      <c r="I97" s="186">
        <f t="shared" ca="1" si="86"/>
        <v>0</v>
      </c>
      <c r="J97" s="186">
        <f t="shared" ca="1" si="87"/>
        <v>0</v>
      </c>
      <c r="K97" s="186">
        <f t="shared" ca="1" si="88"/>
        <v>0</v>
      </c>
      <c r="L97" s="186">
        <f t="shared" ca="1" si="89"/>
        <v>0</v>
      </c>
      <c r="M97" s="186">
        <f t="shared" ca="1" si="90"/>
        <v>0</v>
      </c>
      <c r="N97" s="186">
        <f t="shared" ca="1" si="91"/>
        <v>0</v>
      </c>
      <c r="O97" s="186">
        <f t="shared" ca="1" si="92"/>
        <v>0</v>
      </c>
      <c r="P97" s="186">
        <f t="shared" ca="1" si="93"/>
        <v>0</v>
      </c>
      <c r="Q97" s="689">
        <f t="shared" ca="1" si="94"/>
        <v>0</v>
      </c>
      <c r="R97" s="217" t="s">
        <v>524</v>
      </c>
      <c r="S97" s="908"/>
    </row>
    <row r="98" spans="1:19" x14ac:dyDescent="0.2">
      <c r="A98" s="93" t="s">
        <v>422</v>
      </c>
      <c r="B98" s="216" t="s">
        <v>109</v>
      </c>
      <c r="C98" s="912">
        <v>3.09</v>
      </c>
      <c r="D98" s="912">
        <v>2.83</v>
      </c>
      <c r="E98" s="912">
        <v>269</v>
      </c>
      <c r="F98" s="859">
        <f ca="1">IF('Data Input'!$P$12="China",'Use '!E21,0)</f>
        <v>0</v>
      </c>
      <c r="G98" s="859">
        <f ca="1">IF('Data Input'!$P$12="China",'Use '!F21,0)</f>
        <v>0</v>
      </c>
      <c r="H98" s="859">
        <f ca="1">IF('Data Input'!$P$12="China",'Use '!G21,0)</f>
        <v>0</v>
      </c>
      <c r="I98" s="186">
        <f t="shared" ca="1" si="86"/>
        <v>0</v>
      </c>
      <c r="J98" s="186">
        <f t="shared" ca="1" si="87"/>
        <v>0</v>
      </c>
      <c r="K98" s="186">
        <f t="shared" ca="1" si="88"/>
        <v>0</v>
      </c>
      <c r="L98" s="186">
        <f t="shared" ca="1" si="89"/>
        <v>0</v>
      </c>
      <c r="M98" s="186">
        <f t="shared" ca="1" si="90"/>
        <v>0</v>
      </c>
      <c r="N98" s="186">
        <f t="shared" ca="1" si="91"/>
        <v>0</v>
      </c>
      <c r="O98" s="186">
        <f t="shared" ca="1" si="92"/>
        <v>0</v>
      </c>
      <c r="P98" s="186">
        <f t="shared" ca="1" si="93"/>
        <v>0</v>
      </c>
      <c r="Q98" s="689">
        <f t="shared" ca="1" si="94"/>
        <v>0</v>
      </c>
      <c r="R98" s="217" t="s">
        <v>525</v>
      </c>
      <c r="S98" s="908"/>
    </row>
    <row r="99" spans="1:19" x14ac:dyDescent="0.2">
      <c r="A99" s="93" t="s">
        <v>423</v>
      </c>
      <c r="B99" s="216" t="s">
        <v>109</v>
      </c>
      <c r="C99" s="912">
        <v>3</v>
      </c>
      <c r="D99" s="912">
        <v>3</v>
      </c>
      <c r="E99" s="912">
        <v>290</v>
      </c>
      <c r="F99" s="859">
        <f>IF('Data Input'!$P$12="Coal",'Use '!E21,0)</f>
        <v>0</v>
      </c>
      <c r="G99" s="859">
        <f>IF('Data Input'!$P$12="Coal",'Use '!F21,0)</f>
        <v>0</v>
      </c>
      <c r="H99" s="859">
        <f>IF('Data Input'!$P$12="Coal",'Use '!G21,0)</f>
        <v>0</v>
      </c>
      <c r="I99" s="186">
        <f t="shared" si="86"/>
        <v>0</v>
      </c>
      <c r="J99" s="186">
        <f t="shared" si="87"/>
        <v>0</v>
      </c>
      <c r="K99" s="186">
        <f t="shared" si="88"/>
        <v>0</v>
      </c>
      <c r="L99" s="186">
        <f t="shared" si="89"/>
        <v>0</v>
      </c>
      <c r="M99" s="186">
        <f t="shared" si="90"/>
        <v>0</v>
      </c>
      <c r="N99" s="186">
        <f t="shared" si="91"/>
        <v>0</v>
      </c>
      <c r="O99" s="186">
        <f t="shared" si="92"/>
        <v>0</v>
      </c>
      <c r="P99" s="186">
        <f t="shared" si="93"/>
        <v>0</v>
      </c>
      <c r="Q99" s="689">
        <f t="shared" si="94"/>
        <v>0</v>
      </c>
      <c r="R99" s="217" t="s">
        <v>526</v>
      </c>
      <c r="S99" s="908"/>
    </row>
    <row r="100" spans="1:19" x14ac:dyDescent="0.2">
      <c r="A100" s="93" t="s">
        <v>424</v>
      </c>
      <c r="B100" s="216" t="s">
        <v>109</v>
      </c>
      <c r="C100" s="912">
        <v>2.88</v>
      </c>
      <c r="D100" s="912">
        <v>2.25</v>
      </c>
      <c r="E100" s="912">
        <v>130</v>
      </c>
      <c r="F100" s="859">
        <f>IF('Data Input'!$P$12="Europe",'Use '!E21,0)</f>
        <v>0</v>
      </c>
      <c r="G100" s="859">
        <f>IF('Data Input'!$P$12="Europe",'Use '!F21,0)</f>
        <v>0</v>
      </c>
      <c r="H100" s="859">
        <f>IF('Data Input'!$P$12="Europe",'Use '!G21,0)</f>
        <v>0</v>
      </c>
      <c r="I100" s="186">
        <f t="shared" si="86"/>
        <v>0</v>
      </c>
      <c r="J100" s="186">
        <f t="shared" si="87"/>
        <v>0</v>
      </c>
      <c r="K100" s="186">
        <f t="shared" si="88"/>
        <v>0</v>
      </c>
      <c r="L100" s="186">
        <f t="shared" si="89"/>
        <v>0</v>
      </c>
      <c r="M100" s="186">
        <f t="shared" si="90"/>
        <v>0</v>
      </c>
      <c r="N100" s="186">
        <f t="shared" si="91"/>
        <v>0</v>
      </c>
      <c r="O100" s="186">
        <f t="shared" si="92"/>
        <v>0</v>
      </c>
      <c r="P100" s="186">
        <f t="shared" si="93"/>
        <v>0</v>
      </c>
      <c r="Q100" s="689">
        <f t="shared" si="94"/>
        <v>0</v>
      </c>
      <c r="R100" s="217" t="s">
        <v>527</v>
      </c>
      <c r="S100" s="908"/>
    </row>
    <row r="101" spans="1:19" x14ac:dyDescent="0.2">
      <c r="A101" s="93" t="s">
        <v>425</v>
      </c>
      <c r="B101" s="216" t="s">
        <v>109</v>
      </c>
      <c r="C101" s="912">
        <v>4.45</v>
      </c>
      <c r="D101" s="912">
        <v>4.07</v>
      </c>
      <c r="E101" s="912">
        <v>387</v>
      </c>
      <c r="F101" s="859">
        <f>IF('Data Input'!$P$12="India",'Use '!E21,0)</f>
        <v>0</v>
      </c>
      <c r="G101" s="859">
        <f>IF('Data Input'!$P$12="India",'Use '!F21,0)</f>
        <v>0</v>
      </c>
      <c r="H101" s="859">
        <f>IF('Data Input'!$P$12="India",'Use '!G21,0)</f>
        <v>0</v>
      </c>
      <c r="I101" s="186">
        <f t="shared" si="86"/>
        <v>0</v>
      </c>
      <c r="J101" s="186">
        <f t="shared" si="87"/>
        <v>0</v>
      </c>
      <c r="K101" s="186">
        <f t="shared" si="88"/>
        <v>0</v>
      </c>
      <c r="L101" s="186">
        <f t="shared" si="89"/>
        <v>0</v>
      </c>
      <c r="M101" s="186">
        <f t="shared" si="90"/>
        <v>0</v>
      </c>
      <c r="N101" s="186">
        <f t="shared" si="91"/>
        <v>0</v>
      </c>
      <c r="O101" s="186">
        <f t="shared" si="92"/>
        <v>0</v>
      </c>
      <c r="P101" s="186">
        <f t="shared" si="93"/>
        <v>0</v>
      </c>
      <c r="Q101" s="689">
        <f t="shared" si="94"/>
        <v>0</v>
      </c>
      <c r="R101" s="217" t="s">
        <v>528</v>
      </c>
      <c r="S101" s="908"/>
    </row>
    <row r="102" spans="1:19" x14ac:dyDescent="0.2">
      <c r="A102" s="93" t="s">
        <v>426</v>
      </c>
      <c r="B102" s="216" t="s">
        <v>109</v>
      </c>
      <c r="C102" s="912">
        <v>2.7</v>
      </c>
      <c r="D102" s="912">
        <v>2.4300000000000002</v>
      </c>
      <c r="E102" s="912">
        <v>184</v>
      </c>
      <c r="F102" s="859">
        <f>IF('Data Input'!$P$12="Japan",'Use '!E21,0)</f>
        <v>0</v>
      </c>
      <c r="G102" s="859">
        <f>IF('Data Input'!$P$12="Japan",'Use '!F21,0)</f>
        <v>0</v>
      </c>
      <c r="H102" s="859">
        <f>IF('Data Input'!$P$12="Japan",'Use '!G21,0)</f>
        <v>0</v>
      </c>
      <c r="I102" s="186">
        <f t="shared" si="86"/>
        <v>0</v>
      </c>
      <c r="J102" s="186">
        <f t="shared" si="87"/>
        <v>0</v>
      </c>
      <c r="K102" s="186">
        <f t="shared" si="88"/>
        <v>0</v>
      </c>
      <c r="L102" s="186">
        <f t="shared" si="89"/>
        <v>0</v>
      </c>
      <c r="M102" s="186">
        <f t="shared" si="90"/>
        <v>0</v>
      </c>
      <c r="N102" s="186">
        <f t="shared" si="91"/>
        <v>0</v>
      </c>
      <c r="O102" s="186">
        <f t="shared" si="92"/>
        <v>0</v>
      </c>
      <c r="P102" s="186">
        <f t="shared" si="93"/>
        <v>0</v>
      </c>
      <c r="Q102" s="689">
        <f t="shared" si="94"/>
        <v>0</v>
      </c>
      <c r="R102" s="217" t="s">
        <v>529</v>
      </c>
      <c r="S102" s="908"/>
    </row>
    <row r="103" spans="1:19" x14ac:dyDescent="0.2">
      <c r="A103" s="93" t="s">
        <v>427</v>
      </c>
      <c r="B103" s="216" t="s">
        <v>109</v>
      </c>
      <c r="C103" s="912">
        <v>2.8</v>
      </c>
      <c r="D103" s="912">
        <v>2.5299999999999998</v>
      </c>
      <c r="E103" s="912">
        <v>172</v>
      </c>
      <c r="F103" s="859">
        <f>IF('Data Input'!$P$12="USA",'Use '!E21,0)</f>
        <v>0</v>
      </c>
      <c r="G103" s="859">
        <f>IF('Data Input'!$P$12="USA",'Use '!F21,0)</f>
        <v>0</v>
      </c>
      <c r="H103" s="859">
        <f>IF('Data Input'!$P$12="USA",'Use '!G21,0)</f>
        <v>0</v>
      </c>
      <c r="I103" s="186">
        <f t="shared" si="86"/>
        <v>0</v>
      </c>
      <c r="J103" s="186">
        <f t="shared" si="87"/>
        <v>0</v>
      </c>
      <c r="K103" s="186">
        <f t="shared" si="88"/>
        <v>0</v>
      </c>
      <c r="L103" s="186">
        <f t="shared" si="89"/>
        <v>0</v>
      </c>
      <c r="M103" s="186">
        <f t="shared" si="90"/>
        <v>0</v>
      </c>
      <c r="N103" s="186">
        <f t="shared" si="91"/>
        <v>0</v>
      </c>
      <c r="O103" s="186">
        <f t="shared" si="92"/>
        <v>0</v>
      </c>
      <c r="P103" s="186">
        <f t="shared" si="93"/>
        <v>0</v>
      </c>
      <c r="Q103" s="689">
        <f t="shared" si="94"/>
        <v>0</v>
      </c>
      <c r="R103" s="217" t="s">
        <v>530</v>
      </c>
      <c r="S103" s="908"/>
    </row>
    <row r="104" spans="1:19" x14ac:dyDescent="0.2">
      <c r="A104" s="93" t="s">
        <v>428</v>
      </c>
      <c r="B104" s="216" t="s">
        <v>109</v>
      </c>
      <c r="C104" s="912">
        <v>2.48</v>
      </c>
      <c r="D104" s="912">
        <v>0.61199999999999999</v>
      </c>
      <c r="E104" s="912">
        <v>7.5</v>
      </c>
      <c r="F104" s="859">
        <f>IF('Data Input'!$P$12="USA Green Mix",'Use '!E21,0)</f>
        <v>0</v>
      </c>
      <c r="G104" s="859">
        <f>IF('Data Input'!$P$12="USA Green Mix",'Use '!F21,0)</f>
        <v>0</v>
      </c>
      <c r="H104" s="859">
        <f>IF('Data Input'!$P$12="USA Green Mix",'Use '!G21,0)</f>
        <v>0</v>
      </c>
      <c r="I104" s="186">
        <f t="shared" si="86"/>
        <v>0</v>
      </c>
      <c r="J104" s="186">
        <f t="shared" si="87"/>
        <v>0</v>
      </c>
      <c r="K104" s="186">
        <f t="shared" si="88"/>
        <v>0</v>
      </c>
      <c r="L104" s="186">
        <f t="shared" si="89"/>
        <v>0</v>
      </c>
      <c r="M104" s="186">
        <f t="shared" si="90"/>
        <v>0</v>
      </c>
      <c r="N104" s="186">
        <f t="shared" si="91"/>
        <v>0</v>
      </c>
      <c r="O104" s="186">
        <f t="shared" si="92"/>
        <v>0</v>
      </c>
      <c r="P104" s="186">
        <f t="shared" si="93"/>
        <v>0</v>
      </c>
      <c r="Q104" s="689">
        <f t="shared" si="94"/>
        <v>0</v>
      </c>
      <c r="R104" s="217" t="s">
        <v>531</v>
      </c>
      <c r="S104" s="908"/>
    </row>
    <row r="105" spans="1:19" x14ac:dyDescent="0.2">
      <c r="A105" s="93" t="s">
        <v>358</v>
      </c>
      <c r="B105" s="216" t="s">
        <v>109</v>
      </c>
      <c r="C105" s="912">
        <v>1</v>
      </c>
      <c r="D105" s="912">
        <v>0</v>
      </c>
      <c r="E105" s="912">
        <v>77</v>
      </c>
      <c r="F105" s="859">
        <f ca="1">SUM(F90:F91)</f>
        <v>0</v>
      </c>
      <c r="G105" s="859">
        <f ca="1">SUM(G90:G91)</f>
        <v>0</v>
      </c>
      <c r="H105" s="859">
        <f ca="1">SUM(H90:H91)</f>
        <v>0</v>
      </c>
      <c r="I105" s="186">
        <f t="shared" ca="1" si="86"/>
        <v>0</v>
      </c>
      <c r="J105" s="186">
        <f t="shared" ca="1" si="87"/>
        <v>0</v>
      </c>
      <c r="K105" s="186">
        <f t="shared" ca="1" si="88"/>
        <v>0</v>
      </c>
      <c r="L105" s="186">
        <f t="shared" ca="1" si="89"/>
        <v>0</v>
      </c>
      <c r="M105" s="186">
        <f t="shared" ca="1" si="90"/>
        <v>0</v>
      </c>
      <c r="N105" s="186">
        <f t="shared" ca="1" si="91"/>
        <v>0</v>
      </c>
      <c r="O105" s="186">
        <f t="shared" ca="1" si="92"/>
        <v>0</v>
      </c>
      <c r="P105" s="186">
        <f t="shared" ca="1" si="93"/>
        <v>0</v>
      </c>
      <c r="Q105" s="689">
        <f t="shared" ca="1" si="94"/>
        <v>0</v>
      </c>
      <c r="R105" s="217" t="s">
        <v>532</v>
      </c>
      <c r="S105" s="908"/>
    </row>
    <row r="106" spans="1:19" x14ac:dyDescent="0.2">
      <c r="A106" s="93" t="s">
        <v>356</v>
      </c>
      <c r="B106" s="216" t="s">
        <v>109</v>
      </c>
      <c r="C106" s="912">
        <v>1</v>
      </c>
      <c r="D106" s="912">
        <v>1</v>
      </c>
      <c r="E106" s="912">
        <v>77</v>
      </c>
      <c r="F106" s="697">
        <f ca="1">F92</f>
        <v>0</v>
      </c>
      <c r="G106" s="697">
        <f ca="1">G92</f>
        <v>0</v>
      </c>
      <c r="H106" s="697">
        <f ca="1">H92</f>
        <v>0</v>
      </c>
      <c r="I106" s="186">
        <f t="shared" ca="1" si="86"/>
        <v>0</v>
      </c>
      <c r="J106" s="186">
        <f t="shared" ca="1" si="87"/>
        <v>0</v>
      </c>
      <c r="K106" s="186">
        <f t="shared" ca="1" si="88"/>
        <v>0</v>
      </c>
      <c r="L106" s="186">
        <f t="shared" ca="1" si="89"/>
        <v>0</v>
      </c>
      <c r="M106" s="186">
        <f t="shared" ca="1" si="90"/>
        <v>0</v>
      </c>
      <c r="N106" s="186">
        <f t="shared" ca="1" si="91"/>
        <v>0</v>
      </c>
      <c r="O106" s="186">
        <f t="shared" ca="1" si="92"/>
        <v>0</v>
      </c>
      <c r="P106" s="186">
        <f t="shared" ca="1" si="93"/>
        <v>0</v>
      </c>
      <c r="Q106" s="689">
        <f t="shared" ca="1" si="94"/>
        <v>0</v>
      </c>
      <c r="R106" s="217" t="s">
        <v>533</v>
      </c>
      <c r="S106" s="908"/>
    </row>
    <row r="107" spans="1:19" x14ac:dyDescent="0.2">
      <c r="A107" s="93" t="s">
        <v>359</v>
      </c>
      <c r="B107" s="216" t="s">
        <v>109</v>
      </c>
      <c r="C107" s="912">
        <v>1</v>
      </c>
      <c r="D107" s="912">
        <v>0</v>
      </c>
      <c r="E107" s="912">
        <v>72</v>
      </c>
      <c r="F107" s="697">
        <f ca="1">SUM(F93:F95)</f>
        <v>0</v>
      </c>
      <c r="G107" s="697">
        <f ca="1">SUM(G93:G95)</f>
        <v>0</v>
      </c>
      <c r="H107" s="697">
        <f ca="1">SUM(H93:H95)</f>
        <v>0</v>
      </c>
      <c r="I107" s="186">
        <f t="shared" ca="1" si="86"/>
        <v>0</v>
      </c>
      <c r="J107" s="186">
        <f t="shared" ca="1" si="87"/>
        <v>0</v>
      </c>
      <c r="K107" s="186">
        <f t="shared" ca="1" si="88"/>
        <v>0</v>
      </c>
      <c r="L107" s="186">
        <f t="shared" ca="1" si="89"/>
        <v>0</v>
      </c>
      <c r="M107" s="186">
        <f t="shared" ca="1" si="90"/>
        <v>0</v>
      </c>
      <c r="N107" s="186">
        <f t="shared" ca="1" si="91"/>
        <v>0</v>
      </c>
      <c r="O107" s="186">
        <f t="shared" ca="1" si="92"/>
        <v>0</v>
      </c>
      <c r="P107" s="186">
        <f t="shared" ca="1" si="93"/>
        <v>0</v>
      </c>
      <c r="Q107" s="689">
        <f t="shared" ca="1" si="94"/>
        <v>0</v>
      </c>
      <c r="R107" s="217" t="s">
        <v>534</v>
      </c>
      <c r="S107" s="908"/>
    </row>
    <row r="108" spans="1:19" x14ac:dyDescent="0.2">
      <c r="A108" s="93" t="s">
        <v>357</v>
      </c>
      <c r="B108" s="216" t="s">
        <v>109</v>
      </c>
      <c r="C108" s="912">
        <v>1</v>
      </c>
      <c r="D108" s="912">
        <v>1</v>
      </c>
      <c r="E108" s="912">
        <v>72</v>
      </c>
      <c r="F108" s="697">
        <f t="shared" ref="F108:H109" ca="1" si="95">F96</f>
        <v>335197.36028376821</v>
      </c>
      <c r="G108" s="697">
        <f t="shared" ca="1" si="95"/>
        <v>317019.42160106008</v>
      </c>
      <c r="H108" s="697">
        <f t="shared" ca="1" si="95"/>
        <v>311202.48122259352</v>
      </c>
      <c r="I108" s="186">
        <f t="shared" ca="1" si="86"/>
        <v>24134.209940431312</v>
      </c>
      <c r="J108" s="186">
        <f t="shared" ca="1" si="87"/>
        <v>22825.398355276324</v>
      </c>
      <c r="K108" s="186">
        <f t="shared" ca="1" si="88"/>
        <v>22406.578648026734</v>
      </c>
      <c r="L108" s="186">
        <f t="shared" ca="1" si="89"/>
        <v>335197.36028376821</v>
      </c>
      <c r="M108" s="186">
        <f t="shared" ca="1" si="90"/>
        <v>317019.42160106008</v>
      </c>
      <c r="N108" s="186">
        <f t="shared" ca="1" si="91"/>
        <v>311202.48122259352</v>
      </c>
      <c r="O108" s="186">
        <f t="shared" ca="1" si="92"/>
        <v>335197.36028376821</v>
      </c>
      <c r="P108" s="186">
        <f t="shared" ca="1" si="93"/>
        <v>317019.42160106008</v>
      </c>
      <c r="Q108" s="689">
        <f t="shared" ca="1" si="94"/>
        <v>311202.48122259352</v>
      </c>
      <c r="R108" s="217" t="s">
        <v>535</v>
      </c>
      <c r="S108" s="908"/>
    </row>
    <row r="109" spans="1:19" x14ac:dyDescent="0.2">
      <c r="A109" s="93" t="s">
        <v>360</v>
      </c>
      <c r="B109" s="216" t="s">
        <v>109</v>
      </c>
      <c r="C109" s="912">
        <v>1</v>
      </c>
      <c r="D109" s="912">
        <v>1</v>
      </c>
      <c r="E109" s="912">
        <v>0</v>
      </c>
      <c r="F109" s="697">
        <f t="shared" ca="1" si="95"/>
        <v>0</v>
      </c>
      <c r="G109" s="697">
        <f t="shared" ca="1" si="95"/>
        <v>0</v>
      </c>
      <c r="H109" s="697">
        <f t="shared" ca="1" si="95"/>
        <v>0</v>
      </c>
      <c r="I109" s="186">
        <f ca="1">E109*F109</f>
        <v>0</v>
      </c>
      <c r="J109" s="186">
        <f ca="1">E109*G109</f>
        <v>0</v>
      </c>
      <c r="K109" s="186">
        <f ca="1">E109*H109</f>
        <v>0</v>
      </c>
      <c r="L109" s="186">
        <f t="shared" ca="1" si="89"/>
        <v>0</v>
      </c>
      <c r="M109" s="186">
        <f t="shared" ca="1" si="90"/>
        <v>0</v>
      </c>
      <c r="N109" s="186">
        <f t="shared" ca="1" si="91"/>
        <v>0</v>
      </c>
      <c r="O109" s="186">
        <f t="shared" ca="1" si="92"/>
        <v>0</v>
      </c>
      <c r="P109" s="186">
        <f t="shared" ca="1" si="93"/>
        <v>0</v>
      </c>
      <c r="Q109" s="689">
        <f t="shared" ca="1" si="94"/>
        <v>0</v>
      </c>
      <c r="R109" s="217" t="s">
        <v>537</v>
      </c>
      <c r="S109" s="908"/>
    </row>
    <row r="110" spans="1:19" ht="13.5" thickBot="1" x14ac:dyDescent="0.25">
      <c r="A110" s="898" t="s">
        <v>378</v>
      </c>
      <c r="B110" s="686"/>
      <c r="C110" s="915"/>
      <c r="D110" s="915"/>
      <c r="E110" s="915"/>
      <c r="F110" s="900"/>
      <c r="G110" s="900"/>
      <c r="H110" s="900"/>
      <c r="I110" s="901">
        <f t="shared" ref="I110:Q110" ca="1" si="96">SUM(I90:I109)</f>
        <v>29396.808496886471</v>
      </c>
      <c r="J110" s="901">
        <f t="shared" ca="1" si="96"/>
        <v>27802.603274412966</v>
      </c>
      <c r="K110" s="901">
        <f t="shared" ca="1" si="96"/>
        <v>27292.457603221454</v>
      </c>
      <c r="L110" s="901">
        <f ca="1">SUM(L90:L109)</f>
        <v>408940.77954619721</v>
      </c>
      <c r="M110" s="901">
        <f t="shared" ca="1" si="96"/>
        <v>386763.69435329328</v>
      </c>
      <c r="N110" s="901">
        <f t="shared" ca="1" si="96"/>
        <v>379667.02709156409</v>
      </c>
      <c r="O110" s="901">
        <f t="shared" ca="1" si="96"/>
        <v>388828.93792917108</v>
      </c>
      <c r="P110" s="901">
        <f t="shared" ca="1" si="96"/>
        <v>367742.52905722964</v>
      </c>
      <c r="Q110" s="902">
        <f t="shared" ca="1" si="96"/>
        <v>360994.87821820844</v>
      </c>
      <c r="R110" s="909"/>
      <c r="S110" s="908"/>
    </row>
    <row r="111" spans="1:19" x14ac:dyDescent="0.2">
      <c r="A111" s="682" t="s">
        <v>339</v>
      </c>
      <c r="B111" s="580" t="s">
        <v>94</v>
      </c>
      <c r="C111" s="916">
        <f t="shared" ref="C111:D111" si="97">C86</f>
        <v>-182.45</v>
      </c>
      <c r="D111" s="916">
        <f t="shared" si="97"/>
        <v>-154.72999999999999</v>
      </c>
      <c r="E111" s="916">
        <f>E86</f>
        <v>-15.888999999999999</v>
      </c>
      <c r="F111" s="696">
        <f ca="1">SUM(Recycling!O12:O14)</f>
        <v>58.48040037169492</v>
      </c>
      <c r="G111" s="696">
        <f ca="1">SUM(Recycling!P12:P14)</f>
        <v>48.845367503072033</v>
      </c>
      <c r="H111" s="696">
        <f ca="1">SUM(Recycling!Q12:Q14)</f>
        <v>218.73400222910146</v>
      </c>
      <c r="I111" s="687">
        <f t="shared" ref="I111:K115" ca="1" si="98">$E111*F111</f>
        <v>-929.19508150586057</v>
      </c>
      <c r="J111" s="687">
        <f t="shared" ca="1" si="98"/>
        <v>-776.10404425631145</v>
      </c>
      <c r="K111" s="687">
        <f t="shared" ca="1" si="98"/>
        <v>-3475.4645614181932</v>
      </c>
      <c r="L111" s="687">
        <f t="shared" ref="L111:N115" ca="1" si="99">$C111*F111</f>
        <v>-10669.749047815738</v>
      </c>
      <c r="M111" s="687">
        <f t="shared" ca="1" si="99"/>
        <v>-8911.8373009354927</v>
      </c>
      <c r="N111" s="687">
        <f t="shared" ca="1" si="99"/>
        <v>-39908.018706699557</v>
      </c>
      <c r="O111" s="687">
        <f t="shared" ref="O111:Q115" ca="1" si="100">$D111*F111</f>
        <v>-9048.6723495123551</v>
      </c>
      <c r="P111" s="687">
        <f t="shared" ca="1" si="100"/>
        <v>-7557.8437137503352</v>
      </c>
      <c r="Q111" s="688">
        <f t="shared" ca="1" si="100"/>
        <v>-33844.712164908866</v>
      </c>
      <c r="R111" s="217" t="s">
        <v>537</v>
      </c>
      <c r="S111" s="908"/>
    </row>
    <row r="112" spans="1:19" x14ac:dyDescent="0.2">
      <c r="A112" s="93" t="s">
        <v>421</v>
      </c>
      <c r="B112" s="216" t="s">
        <v>94</v>
      </c>
      <c r="C112" s="912">
        <v>-131.63999999999999</v>
      </c>
      <c r="D112" s="912">
        <v>-121.83</v>
      </c>
      <c r="E112" s="912">
        <v>-7.51</v>
      </c>
      <c r="F112" s="697">
        <f ca="1">'Expert Data Input'!B32*Recycling!O26</f>
        <v>0</v>
      </c>
      <c r="G112" s="697">
        <f ca="1">'Expert Data Input'!B32*Recycling!P26</f>
        <v>0</v>
      </c>
      <c r="H112" s="697">
        <f ca="1">'Expert Data Input'!B32*Recycling!Q26</f>
        <v>0</v>
      </c>
      <c r="I112" s="186">
        <f t="shared" ca="1" si="98"/>
        <v>0</v>
      </c>
      <c r="J112" s="186">
        <f t="shared" ca="1" si="98"/>
        <v>0</v>
      </c>
      <c r="K112" s="186">
        <f t="shared" ca="1" si="98"/>
        <v>0</v>
      </c>
      <c r="L112" s="186">
        <f t="shared" ca="1" si="99"/>
        <v>0</v>
      </c>
      <c r="M112" s="186">
        <f t="shared" ca="1" si="99"/>
        <v>0</v>
      </c>
      <c r="N112" s="186">
        <f t="shared" ca="1" si="99"/>
        <v>0</v>
      </c>
      <c r="O112" s="186">
        <f t="shared" ca="1" si="100"/>
        <v>0</v>
      </c>
      <c r="P112" s="186">
        <f t="shared" ca="1" si="100"/>
        <v>0</v>
      </c>
      <c r="Q112" s="689">
        <f t="shared" ca="1" si="100"/>
        <v>0</v>
      </c>
      <c r="R112" s="217" t="s">
        <v>538</v>
      </c>
      <c r="S112" s="908"/>
    </row>
    <row r="113" spans="1:19" x14ac:dyDescent="0.2">
      <c r="A113" s="93" t="s">
        <v>420</v>
      </c>
      <c r="B113" s="216" t="s">
        <v>94</v>
      </c>
      <c r="C113" s="912">
        <v>-31.35</v>
      </c>
      <c r="D113" s="912">
        <v>-26.31</v>
      </c>
      <c r="E113" s="912">
        <v>-2.13</v>
      </c>
      <c r="F113" s="698">
        <f ca="1">(1-'Expert Data Input'!B32)*Recycling!O26</f>
        <v>0</v>
      </c>
      <c r="G113" s="698">
        <f ca="1">(1-'Expert Data Input'!B32)*Recycling!P26</f>
        <v>0</v>
      </c>
      <c r="H113" s="698">
        <f ca="1">(1-'Expert Data Input'!B32)*Recycling!Q26</f>
        <v>0</v>
      </c>
      <c r="I113" s="186">
        <f t="shared" ca="1" si="98"/>
        <v>0</v>
      </c>
      <c r="J113" s="186">
        <f t="shared" ca="1" si="98"/>
        <v>0</v>
      </c>
      <c r="K113" s="186">
        <f t="shared" ca="1" si="98"/>
        <v>0</v>
      </c>
      <c r="L113" s="186">
        <f t="shared" ca="1" si="99"/>
        <v>0</v>
      </c>
      <c r="M113" s="186">
        <f t="shared" ca="1" si="99"/>
        <v>0</v>
      </c>
      <c r="N113" s="186">
        <f t="shared" ca="1" si="99"/>
        <v>0</v>
      </c>
      <c r="O113" s="186">
        <f t="shared" ca="1" si="100"/>
        <v>0</v>
      </c>
      <c r="P113" s="186">
        <f t="shared" ca="1" si="100"/>
        <v>0</v>
      </c>
      <c r="Q113" s="689">
        <f t="shared" ca="1" si="100"/>
        <v>0</v>
      </c>
      <c r="R113" s="217" t="s">
        <v>538</v>
      </c>
      <c r="S113" s="908"/>
    </row>
    <row r="114" spans="1:19" x14ac:dyDescent="0.2">
      <c r="A114" s="93" t="s">
        <v>340</v>
      </c>
      <c r="B114" s="216" t="s">
        <v>94</v>
      </c>
      <c r="C114" s="913">
        <f t="shared" ref="C114:E114" si="101">C87</f>
        <v>-283</v>
      </c>
      <c r="D114" s="913">
        <f t="shared" si="101"/>
        <v>-221.828</v>
      </c>
      <c r="E114" s="913">
        <f t="shared" si="101"/>
        <v>-27.609999999999996</v>
      </c>
      <c r="F114" s="698">
        <f ca="1">SUM(Recycling!O15:O16)</f>
        <v>0</v>
      </c>
      <c r="G114" s="698">
        <f ca="1">SUM(Recycling!P15:P16)</f>
        <v>0</v>
      </c>
      <c r="H114" s="698">
        <f ca="1">SUM(Recycling!Q15:Q16)</f>
        <v>0</v>
      </c>
      <c r="I114" s="186">
        <f t="shared" ca="1" si="98"/>
        <v>0</v>
      </c>
      <c r="J114" s="186">
        <f t="shared" ca="1" si="98"/>
        <v>0</v>
      </c>
      <c r="K114" s="186">
        <f t="shared" ca="1" si="98"/>
        <v>0</v>
      </c>
      <c r="L114" s="186">
        <f t="shared" ca="1" si="99"/>
        <v>0</v>
      </c>
      <c r="M114" s="186">
        <f t="shared" ca="1" si="99"/>
        <v>0</v>
      </c>
      <c r="N114" s="186">
        <f t="shared" ca="1" si="99"/>
        <v>0</v>
      </c>
      <c r="O114" s="186">
        <f t="shared" ca="1" si="100"/>
        <v>0</v>
      </c>
      <c r="P114" s="186">
        <f t="shared" ca="1" si="100"/>
        <v>0</v>
      </c>
      <c r="Q114" s="689">
        <f t="shared" ca="1" si="100"/>
        <v>0</v>
      </c>
      <c r="R114" s="217" t="s">
        <v>537</v>
      </c>
      <c r="S114" s="908"/>
    </row>
    <row r="115" spans="1:19" x14ac:dyDescent="0.2">
      <c r="A115" s="93" t="s">
        <v>338</v>
      </c>
      <c r="B115" s="216" t="s">
        <v>94</v>
      </c>
      <c r="C115" s="913">
        <f t="shared" ref="C115:D115" si="102">C88</f>
        <v>-13.54</v>
      </c>
      <c r="D115" s="913">
        <f t="shared" si="102"/>
        <v>-14.55</v>
      </c>
      <c r="E115" s="913">
        <f>E88</f>
        <v>-1.6</v>
      </c>
      <c r="F115" s="698">
        <f ca="1">SUM(Recycling!O6:O8)+SUM(Recycling!O9:O11)</f>
        <v>706.91800816551074</v>
      </c>
      <c r="G115" s="698">
        <f ca="1">SUM(Recycling!P6:P8)+SUM(Recycling!P9:P11)</f>
        <v>610.61395375693064</v>
      </c>
      <c r="H115" s="698">
        <f ca="1">SUM(Recycling!Q6:Q8)+SUM(Recycling!Q9:Q11)</f>
        <v>355.30383885464846</v>
      </c>
      <c r="I115" s="186">
        <f t="shared" ca="1" si="98"/>
        <v>-1131.0688130648173</v>
      </c>
      <c r="J115" s="186">
        <f t="shared" ca="1" si="98"/>
        <v>-976.98232601108907</v>
      </c>
      <c r="K115" s="186">
        <f ca="1">$E115*H115</f>
        <v>-568.48614216743761</v>
      </c>
      <c r="L115" s="186">
        <f t="shared" ca="1" si="99"/>
        <v>-9571.6698305610153</v>
      </c>
      <c r="M115" s="186">
        <f t="shared" ca="1" si="99"/>
        <v>-8267.712933868841</v>
      </c>
      <c r="N115" s="186">
        <f t="shared" ca="1" si="99"/>
        <v>-4810.81397809194</v>
      </c>
      <c r="O115" s="186">
        <f t="shared" ca="1" si="100"/>
        <v>-10285.657018808182</v>
      </c>
      <c r="P115" s="186">
        <f t="shared" ca="1" si="100"/>
        <v>-8884.4330271633407</v>
      </c>
      <c r="Q115" s="689">
        <f t="shared" ca="1" si="100"/>
        <v>-5169.6708553351355</v>
      </c>
      <c r="R115" s="217" t="s">
        <v>537</v>
      </c>
      <c r="S115" s="908"/>
    </row>
    <row r="116" spans="1:19" ht="13.5" thickBot="1" x14ac:dyDescent="0.25">
      <c r="A116" s="898" t="s">
        <v>379</v>
      </c>
      <c r="B116" s="686"/>
      <c r="C116" s="917"/>
      <c r="D116" s="917"/>
      <c r="E116" s="917"/>
      <c r="F116" s="906"/>
      <c r="G116" s="906"/>
      <c r="H116" s="906"/>
      <c r="I116" s="901">
        <f ca="1">SUM(I111:I115)</f>
        <v>-2060.2638945706776</v>
      </c>
      <c r="J116" s="901">
        <f t="shared" ref="J116:Q116" ca="1" si="103">SUM(J111:J115)</f>
        <v>-1753.0863702674005</v>
      </c>
      <c r="K116" s="901">
        <f ca="1">SUM(K111:K115)</f>
        <v>-4043.9507035856309</v>
      </c>
      <c r="L116" s="901">
        <f t="shared" ca="1" si="103"/>
        <v>-20241.418878376753</v>
      </c>
      <c r="M116" s="901">
        <f t="shared" ca="1" si="103"/>
        <v>-17179.550234804334</v>
      </c>
      <c r="N116" s="901">
        <f t="shared" ca="1" si="103"/>
        <v>-44718.832684791494</v>
      </c>
      <c r="O116" s="901">
        <f t="shared" ca="1" si="103"/>
        <v>-19334.329368320537</v>
      </c>
      <c r="P116" s="901">
        <f t="shared" ca="1" si="103"/>
        <v>-16442.276740913676</v>
      </c>
      <c r="Q116" s="902">
        <f t="shared" ca="1" si="103"/>
        <v>-39014.383020244</v>
      </c>
      <c r="R116" s="909"/>
    </row>
    <row r="119" spans="1:19" ht="13.5" thickBot="1" x14ac:dyDescent="0.25">
      <c r="H119" s="681" t="s">
        <v>416</v>
      </c>
      <c r="I119" s="577" t="s">
        <v>27</v>
      </c>
      <c r="J119" s="577" t="s">
        <v>68</v>
      </c>
      <c r="K119" s="577" t="s">
        <v>311</v>
      </c>
      <c r="M119" s="740"/>
    </row>
    <row r="120" spans="1:19" x14ac:dyDescent="0.2">
      <c r="H120" s="681" t="s">
        <v>69</v>
      </c>
      <c r="I120" s="855">
        <f ca="1">I25+I44+I61+I71+I77+I85+I89</f>
        <v>6629.7393219529176</v>
      </c>
      <c r="J120" s="856">
        <f ca="1">I110</f>
        <v>29396.808496886471</v>
      </c>
      <c r="K120" s="857">
        <f ca="1">I116</f>
        <v>-2060.2638945706776</v>
      </c>
    </row>
    <row r="121" spans="1:19" x14ac:dyDescent="0.2">
      <c r="H121" s="681" t="s">
        <v>44</v>
      </c>
      <c r="I121" s="858">
        <f ca="1">J25+J44+J61+J71+J77+J85+J89</f>
        <v>6021.1818729517281</v>
      </c>
      <c r="J121" s="859">
        <f ca="1">J110</f>
        <v>27802.603274412966</v>
      </c>
      <c r="K121" s="860">
        <f ca="1">J116</f>
        <v>-1753.0863702674005</v>
      </c>
    </row>
    <row r="122" spans="1:19" ht="13.5" thickBot="1" x14ac:dyDescent="0.25">
      <c r="H122" s="681" t="s">
        <v>45</v>
      </c>
      <c r="I122" s="861">
        <f ca="1">K25+K44+K61+K71+K77+K85+K89</f>
        <v>9737.1733313799014</v>
      </c>
      <c r="J122" s="862">
        <f ca="1">K110</f>
        <v>27292.457603221454</v>
      </c>
      <c r="K122" s="863">
        <f ca="1">K116</f>
        <v>-4043.9507035856309</v>
      </c>
    </row>
    <row r="123" spans="1:19" x14ac:dyDescent="0.2">
      <c r="H123" s="681"/>
      <c r="I123" s="577"/>
      <c r="J123" s="577"/>
      <c r="K123" s="577"/>
    </row>
    <row r="124" spans="1:19" ht="13.5" thickBot="1" x14ac:dyDescent="0.25">
      <c r="G124" s="217"/>
      <c r="H124" s="681" t="s">
        <v>5</v>
      </c>
      <c r="I124" s="577" t="s">
        <v>27</v>
      </c>
      <c r="J124" s="577" t="s">
        <v>68</v>
      </c>
      <c r="K124" s="577" t="s">
        <v>311</v>
      </c>
    </row>
    <row r="125" spans="1:19" x14ac:dyDescent="0.2">
      <c r="G125" s="217"/>
      <c r="H125" s="681" t="s">
        <v>69</v>
      </c>
      <c r="I125" s="855">
        <f ca="1">L25+L44+L61+L71+L77+L85+L89</f>
        <v>100428.51718689549</v>
      </c>
      <c r="J125" s="856">
        <f ca="1">L110</f>
        <v>408940.77954619721</v>
      </c>
      <c r="K125" s="857">
        <f ca="1">L116</f>
        <v>-20241.418878376753</v>
      </c>
    </row>
    <row r="126" spans="1:19" x14ac:dyDescent="0.2">
      <c r="G126" s="217"/>
      <c r="H126" s="681" t="s">
        <v>44</v>
      </c>
      <c r="I126" s="858">
        <f ca="1">M25+M44+M61+M71+M77+M85+M89</f>
        <v>93302.302215075513</v>
      </c>
      <c r="J126" s="859">
        <f ca="1">M110</f>
        <v>386763.69435329328</v>
      </c>
      <c r="K126" s="860">
        <f ca="1">M116</f>
        <v>-17179.550234804334</v>
      </c>
    </row>
    <row r="127" spans="1:19" ht="13.5" thickBot="1" x14ac:dyDescent="0.25">
      <c r="G127" s="217"/>
      <c r="H127" s="681" t="s">
        <v>45</v>
      </c>
      <c r="I127" s="861">
        <f ca="1">N25+N44+N61+N71+N77+N85+N89</f>
        <v>139144.34283173262</v>
      </c>
      <c r="J127" s="862">
        <f ca="1">N110</f>
        <v>379667.02709156409</v>
      </c>
      <c r="K127" s="863">
        <f ca="1">N116</f>
        <v>-44718.832684791494</v>
      </c>
    </row>
    <row r="128" spans="1:19" x14ac:dyDescent="0.2">
      <c r="H128" s="681"/>
      <c r="I128" s="577"/>
      <c r="J128" s="577"/>
      <c r="K128" s="577"/>
    </row>
    <row r="129" spans="8:11" ht="13.5" thickBot="1" x14ac:dyDescent="0.25">
      <c r="H129" s="681" t="s">
        <v>6</v>
      </c>
      <c r="I129" s="577" t="s">
        <v>27</v>
      </c>
      <c r="J129" s="577" t="s">
        <v>68</v>
      </c>
      <c r="K129" s="577" t="s">
        <v>311</v>
      </c>
    </row>
    <row r="130" spans="8:11" x14ac:dyDescent="0.2">
      <c r="H130" s="681" t="s">
        <v>69</v>
      </c>
      <c r="I130" s="855">
        <f ca="1">O25+O44+O61+O71+O77+O85+O89</f>
        <v>94588.690876675333</v>
      </c>
      <c r="J130" s="856">
        <f ca="1">O110</f>
        <v>388828.93792917108</v>
      </c>
      <c r="K130" s="857">
        <f ca="1">O116</f>
        <v>-19334.329368320537</v>
      </c>
    </row>
    <row r="131" spans="8:11" x14ac:dyDescent="0.2">
      <c r="H131" s="681" t="s">
        <v>44</v>
      </c>
      <c r="I131" s="858">
        <f ca="1">P25+P44+P61+P71+P77+P85+P89</f>
        <v>88098.794930798904</v>
      </c>
      <c r="J131" s="859">
        <f ca="1">P110</f>
        <v>367742.52905722964</v>
      </c>
      <c r="K131" s="860">
        <f ca="1">P116</f>
        <v>-16442.276740913676</v>
      </c>
    </row>
    <row r="132" spans="8:11" ht="13.5" thickBot="1" x14ac:dyDescent="0.25">
      <c r="H132" s="681" t="s">
        <v>45</v>
      </c>
      <c r="I132" s="861">
        <f ca="1">Q25+Q44+Q61+Q71+Q77+Q85+Q89</f>
        <v>126095.43935558452</v>
      </c>
      <c r="J132" s="862">
        <f ca="1">Q110</f>
        <v>360994.87821820844</v>
      </c>
      <c r="K132" s="863">
        <f ca="1">Q116</f>
        <v>-39014.383020244</v>
      </c>
    </row>
  </sheetData>
  <pageMargins left="0.7" right="0.7" top="0.75" bottom="0.75" header="0.3" footer="0.3"/>
  <pageSetup orientation="portrait" verticalDpi="0" r:id="rId1"/>
  <ignoredErrors>
    <ignoredError sqref="L25:Q25 I44:Q44 I61:Q61 I71:Q71 I77:Q77 I85:Q85 L89 M89:Q89 L110:Q110 I25:K25" formula="1"/>
  </ignoredErrors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0">
    <tabColor rgb="FFFF6905"/>
  </sheetPr>
  <dimension ref="A37:T309"/>
  <sheetViews>
    <sheetView workbookViewId="0">
      <selection activeCell="B294" sqref="B294:D303"/>
    </sheetView>
  </sheetViews>
  <sheetFormatPr defaultColWidth="9" defaultRowHeight="12.75" x14ac:dyDescent="0.2"/>
  <cols>
    <col min="1" max="1" width="61.625" style="1030" customWidth="1"/>
    <col min="2" max="5" width="10.625" style="1030" customWidth="1"/>
    <col min="6" max="16384" width="9" style="1030"/>
  </cols>
  <sheetData>
    <row r="37" spans="1:14" x14ac:dyDescent="0.2">
      <c r="F37" s="1031" t="s">
        <v>767</v>
      </c>
    </row>
    <row r="38" spans="1:14" x14ac:dyDescent="0.2">
      <c r="E38" s="1032"/>
      <c r="G38" s="1030">
        <v>1</v>
      </c>
      <c r="H38" s="1033"/>
      <c r="I38" s="1033"/>
    </row>
    <row r="39" spans="1:14" ht="16.5" thickBot="1" x14ac:dyDescent="0.3">
      <c r="A39" s="1034" t="s">
        <v>768</v>
      </c>
      <c r="E39" s="1035"/>
      <c r="G39" s="1036" t="str">
        <f>RIGHT(LEFT(INDEX(A41:A58,G38),LEN(INDEX(A41:A58,G38))-1),LEN(INDEX(A41:A58,G38))-FIND(" [",INDEX(A41:A58,G38))-2)</f>
        <v>Mole of H+ eq.</v>
      </c>
      <c r="M39" s="1037"/>
      <c r="N39" s="1037"/>
    </row>
    <row r="40" spans="1:14" ht="13.5" thickBot="1" x14ac:dyDescent="0.25">
      <c r="A40" s="1038"/>
      <c r="B40" s="1039" t="s">
        <v>69</v>
      </c>
      <c r="C40" s="1039" t="s">
        <v>44</v>
      </c>
      <c r="D40" s="1039" t="s">
        <v>45</v>
      </c>
      <c r="E40" s="1035"/>
      <c r="G40" s="1030" t="str">
        <f>CONCATENATE("ILCD/PEF Recommended",", ",LEFT(INDEX(A66:A83,G38),FIND(" [",INDEX(A66:A83,G38))))</f>
        <v xml:space="preserve">ILCD/PEF Recommended, Acidification midpoint (v1.09) </v>
      </c>
    </row>
    <row r="41" spans="1:14" x14ac:dyDescent="0.2">
      <c r="A41" s="1040" t="s">
        <v>827</v>
      </c>
      <c r="B41" s="1041"/>
      <c r="C41" s="1041"/>
      <c r="D41" s="1041"/>
      <c r="E41" s="1035"/>
      <c r="G41" s="1037"/>
      <c r="H41" s="1037"/>
      <c r="I41" s="1037" t="s">
        <v>69</v>
      </c>
      <c r="J41" s="1037" t="s">
        <v>44</v>
      </c>
      <c r="K41" s="1037" t="s">
        <v>45</v>
      </c>
    </row>
    <row r="42" spans="1:14" x14ac:dyDescent="0.2">
      <c r="A42" s="1042" t="s">
        <v>825</v>
      </c>
      <c r="B42" s="1043"/>
      <c r="C42" s="1043"/>
      <c r="D42" s="1043"/>
      <c r="E42" s="1035"/>
      <c r="G42" s="1037"/>
      <c r="H42" s="1044" t="s">
        <v>27</v>
      </c>
      <c r="I42" s="1045">
        <f>INDEX(B66:B83,$G38)</f>
        <v>0</v>
      </c>
      <c r="J42" s="1045">
        <f>INDEX(B90:B107,$G38)</f>
        <v>0</v>
      </c>
      <c r="K42" s="1045">
        <f>INDEX(B114:B131,$G38)</f>
        <v>0</v>
      </c>
    </row>
    <row r="43" spans="1:14" x14ac:dyDescent="0.2">
      <c r="A43" s="1042" t="s">
        <v>826</v>
      </c>
      <c r="B43" s="1043"/>
      <c r="C43" s="1043"/>
      <c r="D43" s="1043"/>
      <c r="E43" s="1035"/>
      <c r="G43" s="1037">
        <v>2</v>
      </c>
      <c r="H43" s="1045">
        <f>G43*'Data Input'!H$11/10</f>
        <v>40000</v>
      </c>
      <c r="I43" s="1045">
        <f>I$42+$G43*INDEX(C$66:C$83,$G$38)/10</f>
        <v>0</v>
      </c>
      <c r="J43" s="1045">
        <f>J$42+$G43*INDEX(C$90:C$107,$G$38)/10</f>
        <v>0</v>
      </c>
      <c r="K43" s="1045">
        <f>K$42+$G43*INDEX(C$114:C$131,$G$38)/10</f>
        <v>0</v>
      </c>
    </row>
    <row r="44" spans="1:14" x14ac:dyDescent="0.2">
      <c r="A44" s="1042" t="s">
        <v>828</v>
      </c>
      <c r="B44" s="1043"/>
      <c r="C44" s="1043"/>
      <c r="D44" s="1043"/>
      <c r="E44" s="1035"/>
      <c r="G44" s="1037">
        <v>4</v>
      </c>
      <c r="H44" s="1045">
        <f>G44*'Data Input'!H$11/10</f>
        <v>80000</v>
      </c>
      <c r="I44" s="1045">
        <f>I$42+$G44*INDEX(C$66:C$83,$G$38)/10</f>
        <v>0</v>
      </c>
      <c r="J44" s="1045">
        <f>J$42+$G44*INDEX(C$90:C$107,$G$38)/10</f>
        <v>0</v>
      </c>
      <c r="K44" s="1045">
        <f>K$42+$G44*INDEX(C$114:C$131,$G$38)/10</f>
        <v>0</v>
      </c>
    </row>
    <row r="45" spans="1:14" x14ac:dyDescent="0.2">
      <c r="A45" s="1042" t="s">
        <v>829</v>
      </c>
      <c r="B45" s="1043"/>
      <c r="C45" s="1043"/>
      <c r="D45" s="1043"/>
      <c r="E45" s="1035"/>
      <c r="G45" s="1037">
        <v>6</v>
      </c>
      <c r="H45" s="1045">
        <f>G45*'Data Input'!H$11/10</f>
        <v>120000</v>
      </c>
      <c r="I45" s="1045">
        <f>I$42+$G45*INDEX(C$66:C$83,$G$38)/10</f>
        <v>0</v>
      </c>
      <c r="J45" s="1045">
        <f>J$42+$G45*INDEX(C$90:C$107,$G$38)/10</f>
        <v>0</v>
      </c>
      <c r="K45" s="1045">
        <f>K$42+$G45*INDEX(C$114:C$131,$G$38)/10</f>
        <v>0</v>
      </c>
    </row>
    <row r="46" spans="1:14" x14ac:dyDescent="0.2">
      <c r="A46" s="1042" t="s">
        <v>830</v>
      </c>
      <c r="B46" s="1043"/>
      <c r="C46" s="1043"/>
      <c r="D46" s="1043"/>
      <c r="E46" s="1035"/>
      <c r="G46" s="1037">
        <v>8</v>
      </c>
      <c r="H46" s="1045">
        <f>G46*'Data Input'!H$11/10</f>
        <v>160000</v>
      </c>
      <c r="I46" s="1045">
        <f>I$42+$G46*INDEX(C$66:C$83,$G$38)/10</f>
        <v>0</v>
      </c>
      <c r="J46" s="1045">
        <f>J$42+$G46*INDEX(C$90:C$107,$G$38)/10</f>
        <v>0</v>
      </c>
      <c r="K46" s="1045">
        <f>K$42+$G46*INDEX(C$114:C$131,$G$38)/10</f>
        <v>0</v>
      </c>
    </row>
    <row r="47" spans="1:14" x14ac:dyDescent="0.2">
      <c r="A47" s="1042" t="s">
        <v>831</v>
      </c>
      <c r="B47" s="1043"/>
      <c r="C47" s="1043"/>
      <c r="D47" s="1043"/>
      <c r="E47" s="1035"/>
      <c r="G47" s="1037">
        <v>10</v>
      </c>
      <c r="H47" s="1045" t="s">
        <v>769</v>
      </c>
      <c r="I47" s="1045">
        <f>I$42+$G47*INDEX(C$66:C$83,$G$38)/10</f>
        <v>0</v>
      </c>
      <c r="J47" s="1045">
        <f>J$42+$G47*INDEX(C$90:C$107,$G$38)/10</f>
        <v>0</v>
      </c>
      <c r="K47" s="1045">
        <f>K$42+$G47*INDEX(C$114:C$131,$G$38)/10</f>
        <v>0</v>
      </c>
    </row>
    <row r="48" spans="1:14" x14ac:dyDescent="0.2">
      <c r="A48" s="1042" t="s">
        <v>832</v>
      </c>
      <c r="B48" s="1043"/>
      <c r="C48" s="1043"/>
      <c r="D48" s="1043"/>
      <c r="E48" s="1035"/>
      <c r="G48" s="1037"/>
      <c r="H48" s="1044" t="s">
        <v>14</v>
      </c>
      <c r="I48" s="1046">
        <f>I47+INDEX(D$66:D$83,$G$38)</f>
        <v>0</v>
      </c>
      <c r="J48" s="1046">
        <f>J47+INDEX(D$90:D$107,$G$38)</f>
        <v>0</v>
      </c>
      <c r="K48" s="1046">
        <f>K47+INDEX(D$114:D$131,$G$38)</f>
        <v>0</v>
      </c>
      <c r="M48" s="1045"/>
      <c r="N48" s="1045"/>
    </row>
    <row r="49" spans="1:14" x14ac:dyDescent="0.2">
      <c r="A49" s="1042" t="s">
        <v>833</v>
      </c>
      <c r="B49" s="1043"/>
      <c r="C49" s="1043"/>
      <c r="D49" s="1043"/>
      <c r="E49" s="1035"/>
      <c r="J49" s="1037"/>
      <c r="K49" s="1037"/>
      <c r="L49" s="1037"/>
      <c r="M49" s="1037"/>
      <c r="N49" s="1037"/>
    </row>
    <row r="50" spans="1:14" x14ac:dyDescent="0.2">
      <c r="A50" s="1042" t="s">
        <v>834</v>
      </c>
      <c r="B50" s="1043"/>
      <c r="C50" s="1043"/>
      <c r="D50" s="1043"/>
      <c r="E50" s="1035"/>
      <c r="H50" s="1030" t="s">
        <v>27</v>
      </c>
      <c r="I50" s="1045">
        <f>INDEX(B66:B83,$G38)</f>
        <v>0</v>
      </c>
      <c r="J50" s="1045">
        <f>INDEX(B90:B107,$G38)</f>
        <v>0</v>
      </c>
      <c r="K50" s="1045">
        <f>INDEX(B114:B131,$G38)</f>
        <v>0</v>
      </c>
    </row>
    <row r="51" spans="1:14" x14ac:dyDescent="0.2">
      <c r="A51" s="1042" t="s">
        <v>835</v>
      </c>
      <c r="B51" s="1043"/>
      <c r="C51" s="1043"/>
      <c r="D51" s="1043"/>
      <c r="E51" s="1035"/>
      <c r="H51" s="1030" t="s">
        <v>68</v>
      </c>
      <c r="I51" s="1045">
        <f>INDEX(C66:C83,$G38)</f>
        <v>0</v>
      </c>
      <c r="J51" s="1045">
        <f>INDEX(C90:C107,$G38)</f>
        <v>0</v>
      </c>
      <c r="K51" s="1045">
        <f>INDEX(C114:C131,$G38)</f>
        <v>0</v>
      </c>
    </row>
    <row r="52" spans="1:14" x14ac:dyDescent="0.2">
      <c r="A52" s="1042" t="s">
        <v>836</v>
      </c>
      <c r="B52" s="1043"/>
      <c r="C52" s="1043"/>
      <c r="D52" s="1043"/>
      <c r="E52" s="1035"/>
      <c r="H52" s="1030" t="s">
        <v>769</v>
      </c>
      <c r="I52" s="1045">
        <f>INDEX(D66:D83,$G38)</f>
        <v>0</v>
      </c>
      <c r="J52" s="1045">
        <f>INDEX(D90:D107,$G38)</f>
        <v>0</v>
      </c>
      <c r="K52" s="1045">
        <f>INDEX(D114:D131,$G38)</f>
        <v>0</v>
      </c>
    </row>
    <row r="53" spans="1:14" x14ac:dyDescent="0.2">
      <c r="A53" s="1042" t="s">
        <v>837</v>
      </c>
      <c r="B53" s="1043"/>
      <c r="C53" s="1043"/>
      <c r="D53" s="1043"/>
      <c r="E53" s="1035"/>
      <c r="H53" s="1030" t="s">
        <v>14</v>
      </c>
      <c r="I53" s="1045">
        <f>INDEX(E66:E83,$G38)</f>
        <v>0</v>
      </c>
      <c r="J53" s="1045">
        <f>INDEX(E90:E107,$G38)</f>
        <v>0</v>
      </c>
      <c r="K53" s="1045">
        <f>INDEX(E114:E131,$G38)</f>
        <v>0</v>
      </c>
    </row>
    <row r="54" spans="1:14" x14ac:dyDescent="0.2">
      <c r="A54" s="1042" t="s">
        <v>838</v>
      </c>
      <c r="B54" s="1043"/>
      <c r="C54" s="1043"/>
      <c r="D54" s="1043"/>
      <c r="E54" s="1035"/>
    </row>
    <row r="55" spans="1:14" x14ac:dyDescent="0.2">
      <c r="A55" s="1042" t="s">
        <v>839</v>
      </c>
      <c r="B55" s="1043"/>
      <c r="C55" s="1043"/>
      <c r="D55" s="1043"/>
      <c r="E55" s="1035"/>
    </row>
    <row r="56" spans="1:14" x14ac:dyDescent="0.2">
      <c r="A56" s="1042" t="s">
        <v>770</v>
      </c>
      <c r="B56" s="1043"/>
      <c r="C56" s="1043"/>
      <c r="D56" s="1043"/>
      <c r="E56" s="1035"/>
    </row>
    <row r="57" spans="1:14" x14ac:dyDescent="0.2">
      <c r="A57" s="1042" t="s">
        <v>771</v>
      </c>
      <c r="B57" s="1043"/>
      <c r="C57" s="1043"/>
      <c r="D57" s="1043"/>
    </row>
    <row r="58" spans="1:14" ht="13.5" thickBot="1" x14ac:dyDescent="0.25">
      <c r="A58" s="1047" t="s">
        <v>772</v>
      </c>
      <c r="B58" s="1048"/>
      <c r="C58" s="1048"/>
      <c r="D58" s="1048"/>
    </row>
    <row r="64" spans="1:14" ht="16.5" thickBot="1" x14ac:dyDescent="0.3">
      <c r="A64" s="1034" t="s">
        <v>773</v>
      </c>
    </row>
    <row r="65" spans="1:5" ht="26.25" thickBot="1" x14ac:dyDescent="0.25">
      <c r="A65" s="1049"/>
      <c r="B65" s="1050" t="s">
        <v>774</v>
      </c>
      <c r="C65" s="1050" t="s">
        <v>775</v>
      </c>
      <c r="D65" s="1050" t="s">
        <v>776</v>
      </c>
      <c r="E65" s="1050" t="s">
        <v>14</v>
      </c>
    </row>
    <row r="66" spans="1:5" x14ac:dyDescent="0.2">
      <c r="A66" s="1051" t="s">
        <v>827</v>
      </c>
      <c r="B66" s="1041"/>
      <c r="C66" s="1041"/>
      <c r="D66" s="1041"/>
      <c r="E66" s="1075">
        <f>SUM(B66:D66)</f>
        <v>0</v>
      </c>
    </row>
    <row r="67" spans="1:5" x14ac:dyDescent="0.2">
      <c r="A67" s="1052" t="s">
        <v>825</v>
      </c>
      <c r="B67" s="1043"/>
      <c r="C67" s="1043"/>
      <c r="D67" s="1043"/>
      <c r="E67" s="1041">
        <f t="shared" ref="E67:E83" si="0">SUM(B67:D67)</f>
        <v>0</v>
      </c>
    </row>
    <row r="68" spans="1:5" x14ac:dyDescent="0.2">
      <c r="A68" s="1052" t="s">
        <v>826</v>
      </c>
      <c r="B68" s="1043"/>
      <c r="C68" s="1043"/>
      <c r="D68" s="1043"/>
      <c r="E68" s="1041">
        <f t="shared" si="0"/>
        <v>0</v>
      </c>
    </row>
    <row r="69" spans="1:5" x14ac:dyDescent="0.2">
      <c r="A69" s="1052" t="s">
        <v>828</v>
      </c>
      <c r="B69" s="1043"/>
      <c r="C69" s="1043"/>
      <c r="D69" s="1043"/>
      <c r="E69" s="1041">
        <f t="shared" si="0"/>
        <v>0</v>
      </c>
    </row>
    <row r="70" spans="1:5" x14ac:dyDescent="0.2">
      <c r="A70" s="1052" t="s">
        <v>829</v>
      </c>
      <c r="B70" s="1043"/>
      <c r="C70" s="1043"/>
      <c r="D70" s="1043"/>
      <c r="E70" s="1041">
        <f t="shared" si="0"/>
        <v>0</v>
      </c>
    </row>
    <row r="71" spans="1:5" x14ac:dyDescent="0.2">
      <c r="A71" s="1052" t="s">
        <v>830</v>
      </c>
      <c r="B71" s="1043"/>
      <c r="C71" s="1043"/>
      <c r="D71" s="1043"/>
      <c r="E71" s="1041">
        <f t="shared" si="0"/>
        <v>0</v>
      </c>
    </row>
    <row r="72" spans="1:5" x14ac:dyDescent="0.2">
      <c r="A72" s="1052" t="s">
        <v>831</v>
      </c>
      <c r="B72" s="1043"/>
      <c r="C72" s="1043"/>
      <c r="D72" s="1043"/>
      <c r="E72" s="1041">
        <f t="shared" si="0"/>
        <v>0</v>
      </c>
    </row>
    <row r="73" spans="1:5" x14ac:dyDescent="0.2">
      <c r="A73" s="1052" t="s">
        <v>832</v>
      </c>
      <c r="B73" s="1043"/>
      <c r="C73" s="1043"/>
      <c r="D73" s="1043"/>
      <c r="E73" s="1041">
        <f t="shared" si="0"/>
        <v>0</v>
      </c>
    </row>
    <row r="74" spans="1:5" x14ac:dyDescent="0.2">
      <c r="A74" s="1052" t="s">
        <v>833</v>
      </c>
      <c r="B74" s="1043"/>
      <c r="C74" s="1043"/>
      <c r="D74" s="1043"/>
      <c r="E74" s="1041">
        <f t="shared" si="0"/>
        <v>0</v>
      </c>
    </row>
    <row r="75" spans="1:5" x14ac:dyDescent="0.2">
      <c r="A75" s="1052" t="s">
        <v>834</v>
      </c>
      <c r="B75" s="1043"/>
      <c r="C75" s="1043"/>
      <c r="D75" s="1043"/>
      <c r="E75" s="1041">
        <f t="shared" si="0"/>
        <v>0</v>
      </c>
    </row>
    <row r="76" spans="1:5" x14ac:dyDescent="0.2">
      <c r="A76" s="1052" t="s">
        <v>835</v>
      </c>
      <c r="B76" s="1043"/>
      <c r="C76" s="1043"/>
      <c r="D76" s="1043"/>
      <c r="E76" s="1041">
        <f t="shared" si="0"/>
        <v>0</v>
      </c>
    </row>
    <row r="77" spans="1:5" x14ac:dyDescent="0.2">
      <c r="A77" s="1052" t="s">
        <v>836</v>
      </c>
      <c r="B77" s="1043"/>
      <c r="C77" s="1043"/>
      <c r="D77" s="1043"/>
      <c r="E77" s="1041">
        <f t="shared" si="0"/>
        <v>0</v>
      </c>
    </row>
    <row r="78" spans="1:5" x14ac:dyDescent="0.2">
      <c r="A78" s="1052" t="s">
        <v>837</v>
      </c>
      <c r="B78" s="1043"/>
      <c r="C78" s="1043"/>
      <c r="D78" s="1043"/>
      <c r="E78" s="1041">
        <f t="shared" si="0"/>
        <v>0</v>
      </c>
    </row>
    <row r="79" spans="1:5" x14ac:dyDescent="0.2">
      <c r="A79" s="1052" t="s">
        <v>838</v>
      </c>
      <c r="B79" s="1043"/>
      <c r="C79" s="1043"/>
      <c r="D79" s="1043"/>
      <c r="E79" s="1041">
        <f t="shared" si="0"/>
        <v>0</v>
      </c>
    </row>
    <row r="80" spans="1:5" x14ac:dyDescent="0.2">
      <c r="A80" s="1052" t="s">
        <v>839</v>
      </c>
      <c r="B80" s="1043"/>
      <c r="C80" s="1043"/>
      <c r="D80" s="1043"/>
      <c r="E80" s="1041">
        <f t="shared" si="0"/>
        <v>0</v>
      </c>
    </row>
    <row r="81" spans="1:5" x14ac:dyDescent="0.2">
      <c r="A81" s="1052" t="s">
        <v>770</v>
      </c>
      <c r="B81" s="1043"/>
      <c r="C81" s="1043"/>
      <c r="D81" s="1043"/>
      <c r="E81" s="1041">
        <f t="shared" si="0"/>
        <v>0</v>
      </c>
    </row>
    <row r="82" spans="1:5" x14ac:dyDescent="0.2">
      <c r="A82" s="1052" t="s">
        <v>771</v>
      </c>
      <c r="B82" s="1043"/>
      <c r="C82" s="1043"/>
      <c r="D82" s="1043"/>
      <c r="E82" s="1041">
        <f t="shared" si="0"/>
        <v>0</v>
      </c>
    </row>
    <row r="83" spans="1:5" ht="13.5" thickBot="1" x14ac:dyDescent="0.25">
      <c r="A83" s="1053" t="s">
        <v>772</v>
      </c>
      <c r="B83" s="1048"/>
      <c r="C83" s="1048"/>
      <c r="D83" s="1048"/>
      <c r="E83" s="1076">
        <f t="shared" si="0"/>
        <v>0</v>
      </c>
    </row>
    <row r="88" spans="1:5" ht="16.5" thickBot="1" x14ac:dyDescent="0.3">
      <c r="A88" s="1034" t="s">
        <v>777</v>
      </c>
    </row>
    <row r="89" spans="1:5" ht="26.25" thickBot="1" x14ac:dyDescent="0.25">
      <c r="A89" s="1049"/>
      <c r="B89" s="1050" t="s">
        <v>774</v>
      </c>
      <c r="C89" s="1050" t="s">
        <v>775</v>
      </c>
      <c r="D89" s="1050" t="s">
        <v>776</v>
      </c>
      <c r="E89" s="1050" t="s">
        <v>14</v>
      </c>
    </row>
    <row r="90" spans="1:5" x14ac:dyDescent="0.2">
      <c r="A90" s="1051" t="s">
        <v>827</v>
      </c>
      <c r="B90" s="1041"/>
      <c r="C90" s="1041"/>
      <c r="D90" s="1041"/>
      <c r="E90" s="1075">
        <f>SUM(B90:D90)</f>
        <v>0</v>
      </c>
    </row>
    <row r="91" spans="1:5" x14ac:dyDescent="0.2">
      <c r="A91" s="1052" t="s">
        <v>825</v>
      </c>
      <c r="B91" s="1043"/>
      <c r="C91" s="1043"/>
      <c r="D91" s="1043"/>
      <c r="E91" s="1041">
        <f t="shared" ref="E91:E107" si="1">SUM(B91:D91)</f>
        <v>0</v>
      </c>
    </row>
    <row r="92" spans="1:5" x14ac:dyDescent="0.2">
      <c r="A92" s="1052" t="s">
        <v>826</v>
      </c>
      <c r="B92" s="1043"/>
      <c r="C92" s="1043"/>
      <c r="D92" s="1043"/>
      <c r="E92" s="1041">
        <f t="shared" si="1"/>
        <v>0</v>
      </c>
    </row>
    <row r="93" spans="1:5" x14ac:dyDescent="0.2">
      <c r="A93" s="1052" t="s">
        <v>828</v>
      </c>
      <c r="B93" s="1043"/>
      <c r="C93" s="1043"/>
      <c r="D93" s="1043"/>
      <c r="E93" s="1041">
        <f t="shared" si="1"/>
        <v>0</v>
      </c>
    </row>
    <row r="94" spans="1:5" x14ac:dyDescent="0.2">
      <c r="A94" s="1052" t="s">
        <v>829</v>
      </c>
      <c r="B94" s="1043"/>
      <c r="C94" s="1043"/>
      <c r="D94" s="1043"/>
      <c r="E94" s="1041">
        <f t="shared" si="1"/>
        <v>0</v>
      </c>
    </row>
    <row r="95" spans="1:5" x14ac:dyDescent="0.2">
      <c r="A95" s="1052" t="s">
        <v>830</v>
      </c>
      <c r="B95" s="1043"/>
      <c r="C95" s="1043"/>
      <c r="D95" s="1043"/>
      <c r="E95" s="1041">
        <f t="shared" si="1"/>
        <v>0</v>
      </c>
    </row>
    <row r="96" spans="1:5" x14ac:dyDescent="0.2">
      <c r="A96" s="1052" t="s">
        <v>831</v>
      </c>
      <c r="B96" s="1043"/>
      <c r="C96" s="1043"/>
      <c r="D96" s="1043"/>
      <c r="E96" s="1041">
        <f t="shared" si="1"/>
        <v>0</v>
      </c>
    </row>
    <row r="97" spans="1:5" x14ac:dyDescent="0.2">
      <c r="A97" s="1052" t="s">
        <v>832</v>
      </c>
      <c r="B97" s="1043"/>
      <c r="C97" s="1043"/>
      <c r="D97" s="1043"/>
      <c r="E97" s="1041">
        <f t="shared" si="1"/>
        <v>0</v>
      </c>
    </row>
    <row r="98" spans="1:5" x14ac:dyDescent="0.2">
      <c r="A98" s="1052" t="s">
        <v>833</v>
      </c>
      <c r="B98" s="1043"/>
      <c r="C98" s="1043"/>
      <c r="D98" s="1043"/>
      <c r="E98" s="1041">
        <f t="shared" si="1"/>
        <v>0</v>
      </c>
    </row>
    <row r="99" spans="1:5" x14ac:dyDescent="0.2">
      <c r="A99" s="1052" t="s">
        <v>834</v>
      </c>
      <c r="B99" s="1043"/>
      <c r="C99" s="1043"/>
      <c r="D99" s="1043"/>
      <c r="E99" s="1041">
        <f t="shared" si="1"/>
        <v>0</v>
      </c>
    </row>
    <row r="100" spans="1:5" x14ac:dyDescent="0.2">
      <c r="A100" s="1052" t="s">
        <v>835</v>
      </c>
      <c r="B100" s="1043"/>
      <c r="C100" s="1043"/>
      <c r="D100" s="1043"/>
      <c r="E100" s="1041">
        <f t="shared" si="1"/>
        <v>0</v>
      </c>
    </row>
    <row r="101" spans="1:5" x14ac:dyDescent="0.2">
      <c r="A101" s="1052" t="s">
        <v>836</v>
      </c>
      <c r="B101" s="1043"/>
      <c r="C101" s="1043"/>
      <c r="D101" s="1043"/>
      <c r="E101" s="1041">
        <f t="shared" si="1"/>
        <v>0</v>
      </c>
    </row>
    <row r="102" spans="1:5" x14ac:dyDescent="0.2">
      <c r="A102" s="1052" t="s">
        <v>837</v>
      </c>
      <c r="B102" s="1043"/>
      <c r="C102" s="1043"/>
      <c r="D102" s="1043"/>
      <c r="E102" s="1041">
        <f t="shared" si="1"/>
        <v>0</v>
      </c>
    </row>
    <row r="103" spans="1:5" x14ac:dyDescent="0.2">
      <c r="A103" s="1052" t="s">
        <v>838</v>
      </c>
      <c r="B103" s="1043"/>
      <c r="C103" s="1043"/>
      <c r="D103" s="1043"/>
      <c r="E103" s="1041">
        <f t="shared" si="1"/>
        <v>0</v>
      </c>
    </row>
    <row r="104" spans="1:5" x14ac:dyDescent="0.2">
      <c r="A104" s="1052" t="s">
        <v>839</v>
      </c>
      <c r="B104" s="1043"/>
      <c r="C104" s="1043"/>
      <c r="D104" s="1043"/>
      <c r="E104" s="1041">
        <f t="shared" si="1"/>
        <v>0</v>
      </c>
    </row>
    <row r="105" spans="1:5" x14ac:dyDescent="0.2">
      <c r="A105" s="1052" t="s">
        <v>770</v>
      </c>
      <c r="B105" s="1043"/>
      <c r="C105" s="1043"/>
      <c r="D105" s="1043"/>
      <c r="E105" s="1041">
        <f t="shared" si="1"/>
        <v>0</v>
      </c>
    </row>
    <row r="106" spans="1:5" x14ac:dyDescent="0.2">
      <c r="A106" s="1052" t="s">
        <v>771</v>
      </c>
      <c r="B106" s="1043"/>
      <c r="C106" s="1043"/>
      <c r="D106" s="1043"/>
      <c r="E106" s="1041">
        <f t="shared" si="1"/>
        <v>0</v>
      </c>
    </row>
    <row r="107" spans="1:5" ht="13.5" thickBot="1" x14ac:dyDescent="0.25">
      <c r="A107" s="1053" t="s">
        <v>772</v>
      </c>
      <c r="B107" s="1048"/>
      <c r="C107" s="1048"/>
      <c r="D107" s="1048"/>
      <c r="E107" s="1076">
        <f t="shared" si="1"/>
        <v>0</v>
      </c>
    </row>
    <row r="112" spans="1:5" ht="16.5" thickBot="1" x14ac:dyDescent="0.3">
      <c r="A112" s="1034" t="s">
        <v>778</v>
      </c>
    </row>
    <row r="113" spans="1:5" ht="26.25" thickBot="1" x14ac:dyDescent="0.25">
      <c r="A113" s="1049"/>
      <c r="B113" s="1050" t="s">
        <v>774</v>
      </c>
      <c r="C113" s="1050" t="s">
        <v>775</v>
      </c>
      <c r="D113" s="1050" t="s">
        <v>776</v>
      </c>
      <c r="E113" s="1050" t="s">
        <v>14</v>
      </c>
    </row>
    <row r="114" spans="1:5" x14ac:dyDescent="0.2">
      <c r="A114" s="1051" t="s">
        <v>827</v>
      </c>
      <c r="B114" s="1041"/>
      <c r="C114" s="1041"/>
      <c r="D114" s="1041"/>
      <c r="E114" s="1075">
        <f>SUM(B114:D114)</f>
        <v>0</v>
      </c>
    </row>
    <row r="115" spans="1:5" x14ac:dyDescent="0.2">
      <c r="A115" s="1052" t="s">
        <v>825</v>
      </c>
      <c r="B115" s="1043"/>
      <c r="C115" s="1043"/>
      <c r="D115" s="1043"/>
      <c r="E115" s="1041">
        <f t="shared" ref="E115:E131" si="2">SUM(B115:D115)</f>
        <v>0</v>
      </c>
    </row>
    <row r="116" spans="1:5" x14ac:dyDescent="0.2">
      <c r="A116" s="1052" t="s">
        <v>826</v>
      </c>
      <c r="B116" s="1043"/>
      <c r="C116" s="1043"/>
      <c r="D116" s="1043"/>
      <c r="E116" s="1041">
        <f t="shared" si="2"/>
        <v>0</v>
      </c>
    </row>
    <row r="117" spans="1:5" x14ac:dyDescent="0.2">
      <c r="A117" s="1052" t="s">
        <v>828</v>
      </c>
      <c r="B117" s="1043"/>
      <c r="C117" s="1043"/>
      <c r="D117" s="1043"/>
      <c r="E117" s="1041">
        <f t="shared" si="2"/>
        <v>0</v>
      </c>
    </row>
    <row r="118" spans="1:5" x14ac:dyDescent="0.2">
      <c r="A118" s="1052" t="s">
        <v>829</v>
      </c>
      <c r="B118" s="1043"/>
      <c r="C118" s="1043"/>
      <c r="D118" s="1043"/>
      <c r="E118" s="1041">
        <f t="shared" si="2"/>
        <v>0</v>
      </c>
    </row>
    <row r="119" spans="1:5" x14ac:dyDescent="0.2">
      <c r="A119" s="1052" t="s">
        <v>830</v>
      </c>
      <c r="B119" s="1043"/>
      <c r="C119" s="1043"/>
      <c r="D119" s="1043"/>
      <c r="E119" s="1041">
        <f t="shared" si="2"/>
        <v>0</v>
      </c>
    </row>
    <row r="120" spans="1:5" x14ac:dyDescent="0.2">
      <c r="A120" s="1052" t="s">
        <v>831</v>
      </c>
      <c r="B120" s="1043"/>
      <c r="C120" s="1043"/>
      <c r="D120" s="1043"/>
      <c r="E120" s="1041">
        <f t="shared" si="2"/>
        <v>0</v>
      </c>
    </row>
    <row r="121" spans="1:5" x14ac:dyDescent="0.2">
      <c r="A121" s="1052" t="s">
        <v>832</v>
      </c>
      <c r="B121" s="1043"/>
      <c r="C121" s="1043"/>
      <c r="D121" s="1043"/>
      <c r="E121" s="1041">
        <f t="shared" si="2"/>
        <v>0</v>
      </c>
    </row>
    <row r="122" spans="1:5" x14ac:dyDescent="0.2">
      <c r="A122" s="1052" t="s">
        <v>833</v>
      </c>
      <c r="B122" s="1043"/>
      <c r="C122" s="1043"/>
      <c r="D122" s="1043"/>
      <c r="E122" s="1041">
        <f t="shared" si="2"/>
        <v>0</v>
      </c>
    </row>
    <row r="123" spans="1:5" x14ac:dyDescent="0.2">
      <c r="A123" s="1052" t="s">
        <v>834</v>
      </c>
      <c r="B123" s="1043"/>
      <c r="C123" s="1043"/>
      <c r="D123" s="1043"/>
      <c r="E123" s="1041">
        <f t="shared" si="2"/>
        <v>0</v>
      </c>
    </row>
    <row r="124" spans="1:5" x14ac:dyDescent="0.2">
      <c r="A124" s="1052" t="s">
        <v>835</v>
      </c>
      <c r="B124" s="1043"/>
      <c r="C124" s="1043"/>
      <c r="D124" s="1043"/>
      <c r="E124" s="1041">
        <f t="shared" si="2"/>
        <v>0</v>
      </c>
    </row>
    <row r="125" spans="1:5" x14ac:dyDescent="0.2">
      <c r="A125" s="1052" t="s">
        <v>836</v>
      </c>
      <c r="B125" s="1043"/>
      <c r="C125" s="1043"/>
      <c r="D125" s="1043"/>
      <c r="E125" s="1041">
        <f t="shared" si="2"/>
        <v>0</v>
      </c>
    </row>
    <row r="126" spans="1:5" x14ac:dyDescent="0.2">
      <c r="A126" s="1052" t="s">
        <v>837</v>
      </c>
      <c r="B126" s="1043"/>
      <c r="C126" s="1043"/>
      <c r="D126" s="1043"/>
      <c r="E126" s="1041">
        <f t="shared" si="2"/>
        <v>0</v>
      </c>
    </row>
    <row r="127" spans="1:5" x14ac:dyDescent="0.2">
      <c r="A127" s="1052" t="s">
        <v>838</v>
      </c>
      <c r="B127" s="1043"/>
      <c r="C127" s="1043"/>
      <c r="D127" s="1043"/>
      <c r="E127" s="1041">
        <f t="shared" si="2"/>
        <v>0</v>
      </c>
    </row>
    <row r="128" spans="1:5" x14ac:dyDescent="0.2">
      <c r="A128" s="1052" t="s">
        <v>839</v>
      </c>
      <c r="B128" s="1043"/>
      <c r="C128" s="1043"/>
      <c r="D128" s="1043"/>
      <c r="E128" s="1041">
        <f t="shared" si="2"/>
        <v>0</v>
      </c>
    </row>
    <row r="129" spans="1:11" x14ac:dyDescent="0.2">
      <c r="A129" s="1052" t="s">
        <v>770</v>
      </c>
      <c r="B129" s="1043"/>
      <c r="C129" s="1043"/>
      <c r="D129" s="1043"/>
      <c r="E129" s="1041">
        <f t="shared" si="2"/>
        <v>0</v>
      </c>
    </row>
    <row r="130" spans="1:11" x14ac:dyDescent="0.2">
      <c r="A130" s="1052" t="s">
        <v>771</v>
      </c>
      <c r="B130" s="1043"/>
      <c r="C130" s="1043"/>
      <c r="D130" s="1043"/>
      <c r="E130" s="1041">
        <f t="shared" si="2"/>
        <v>0</v>
      </c>
    </row>
    <row r="131" spans="1:11" ht="13.5" thickBot="1" x14ac:dyDescent="0.25">
      <c r="A131" s="1053" t="s">
        <v>772</v>
      </c>
      <c r="B131" s="1048"/>
      <c r="C131" s="1048"/>
      <c r="D131" s="1048"/>
      <c r="E131" s="1076">
        <f t="shared" si="2"/>
        <v>0</v>
      </c>
    </row>
    <row r="136" spans="1:11" x14ac:dyDescent="0.2">
      <c r="F136" s="1031" t="s">
        <v>767</v>
      </c>
    </row>
    <row r="137" spans="1:11" x14ac:dyDescent="0.2">
      <c r="E137" s="1032"/>
      <c r="G137" s="1030">
        <v>2</v>
      </c>
    </row>
    <row r="138" spans="1:11" x14ac:dyDescent="0.2">
      <c r="E138" s="1035"/>
      <c r="G138" s="1036" t="str">
        <f>RIGHT(LEFT(INDEX(A142:A155,G137),LEN(INDEX(A142:A155,G137))-1),LEN(INDEX(A142:A155,G137))-FIND(" [",INDEX(A142:A155,G137))-2)</f>
        <v>CTUe</v>
      </c>
    </row>
    <row r="139" spans="1:11" x14ac:dyDescent="0.2">
      <c r="A139" s="1037"/>
      <c r="B139" s="1037"/>
      <c r="C139" s="1037"/>
      <c r="D139" s="1037"/>
      <c r="E139" s="1035"/>
      <c r="G139" s="1030" t="str">
        <f>LEFT(INDEX(A142:A155,G137),FIND(" [",INDEX(A142:A155,G137)))</f>
        <v xml:space="preserve">TRACI 2.1, Ecotoxicity (recommended) </v>
      </c>
    </row>
    <row r="140" spans="1:11" ht="16.5" thickBot="1" x14ac:dyDescent="0.3">
      <c r="A140" s="1077" t="s">
        <v>779</v>
      </c>
      <c r="B140" s="1078"/>
      <c r="C140" s="1078"/>
      <c r="D140" s="1078"/>
      <c r="E140" s="1035"/>
      <c r="G140" s="1037"/>
      <c r="H140" s="1037"/>
      <c r="I140" s="1037" t="s">
        <v>69</v>
      </c>
      <c r="J140" s="1037" t="s">
        <v>44</v>
      </c>
      <c r="K140" s="1037" t="s">
        <v>45</v>
      </c>
    </row>
    <row r="141" spans="1:11" ht="13.5" thickBot="1" x14ac:dyDescent="0.25">
      <c r="A141" s="1079"/>
      <c r="B141" s="1080" t="s">
        <v>69</v>
      </c>
      <c r="C141" s="1080" t="s">
        <v>44</v>
      </c>
      <c r="D141" s="1080" t="s">
        <v>45</v>
      </c>
      <c r="E141" s="1035"/>
      <c r="G141" s="1037"/>
      <c r="H141" s="1044" t="s">
        <v>27</v>
      </c>
      <c r="I141" s="1045">
        <f>INDEX(B165:B178,$G137)</f>
        <v>0</v>
      </c>
      <c r="J141" s="1045">
        <f>INDEX(B185:B198,$G137)</f>
        <v>0</v>
      </c>
      <c r="K141" s="1045">
        <f>INDEX(B205:B218,$G137)</f>
        <v>0</v>
      </c>
    </row>
    <row r="142" spans="1:11" x14ac:dyDescent="0.2">
      <c r="A142" s="1081" t="s">
        <v>782</v>
      </c>
      <c r="B142" s="1082"/>
      <c r="C142" s="1082"/>
      <c r="D142" s="1082"/>
      <c r="E142" s="1035"/>
      <c r="G142" s="1037">
        <v>2</v>
      </c>
      <c r="H142" s="1045">
        <f>G142*'Data Input'!H$11/10</f>
        <v>40000</v>
      </c>
      <c r="I142" s="1045">
        <f>I$141+$G142*INDEX(C$165:C$178,$G$137)/10</f>
        <v>0</v>
      </c>
      <c r="J142" s="1045">
        <f>J$141+$G142*INDEX(C$185:C$198,$G$137)/10</f>
        <v>0</v>
      </c>
      <c r="K142" s="1045">
        <f>K$141+$G142*INDEX(C$205:C$218,$G$137)/10</f>
        <v>0</v>
      </c>
    </row>
    <row r="143" spans="1:11" x14ac:dyDescent="0.2">
      <c r="A143" s="1083" t="s">
        <v>783</v>
      </c>
      <c r="B143" s="1084"/>
      <c r="C143" s="1084"/>
      <c r="D143" s="1084"/>
      <c r="E143" s="1035"/>
      <c r="G143" s="1037">
        <v>4</v>
      </c>
      <c r="H143" s="1045">
        <f>G143*'Data Input'!H$11/10</f>
        <v>80000</v>
      </c>
      <c r="I143" s="1045">
        <f>I$141+$G143*INDEX(C$165:C$178,$G$137)/10</f>
        <v>0</v>
      </c>
      <c r="J143" s="1045">
        <f t="shared" ref="J143:J146" si="3">J$141+$G143*INDEX(C$185:C$198,$G$137)/10</f>
        <v>0</v>
      </c>
      <c r="K143" s="1045">
        <f>K$141+$G143*INDEX(C$205:C$218,$G$137)/10</f>
        <v>0</v>
      </c>
    </row>
    <row r="144" spans="1:11" x14ac:dyDescent="0.2">
      <c r="A144" s="1083" t="s">
        <v>784</v>
      </c>
      <c r="B144" s="1084"/>
      <c r="C144" s="1084"/>
      <c r="D144" s="1084"/>
      <c r="E144" s="1035"/>
      <c r="G144" s="1037">
        <v>6</v>
      </c>
      <c r="H144" s="1045">
        <f>G144*'Data Input'!H$11/10</f>
        <v>120000</v>
      </c>
      <c r="I144" s="1045">
        <f>I$141+$G144*INDEX(C$165:C$178,$G$137)/10</f>
        <v>0</v>
      </c>
      <c r="J144" s="1045">
        <f t="shared" si="3"/>
        <v>0</v>
      </c>
      <c r="K144" s="1045">
        <f>K$141+$G144*INDEX(C$205:C$218,$G$137)/10</f>
        <v>0</v>
      </c>
    </row>
    <row r="145" spans="1:11" x14ac:dyDescent="0.2">
      <c r="A145" s="1083" t="s">
        <v>781</v>
      </c>
      <c r="B145" s="1084"/>
      <c r="C145" s="1084"/>
      <c r="D145" s="1084"/>
      <c r="E145" s="1035"/>
      <c r="G145" s="1037">
        <v>8</v>
      </c>
      <c r="H145" s="1045">
        <f>G145*'Data Input'!H$11/10</f>
        <v>160000</v>
      </c>
      <c r="I145" s="1045">
        <f>I$141+$G145*INDEX(C$165:C$178,$G$137)/10</f>
        <v>0</v>
      </c>
      <c r="J145" s="1045">
        <f t="shared" si="3"/>
        <v>0</v>
      </c>
      <c r="K145" s="1045">
        <f>K$141+$G145*INDEX(C$205:C$218,$G$137)/10</f>
        <v>0</v>
      </c>
    </row>
    <row r="146" spans="1:11" x14ac:dyDescent="0.2">
      <c r="A146" s="1083" t="s">
        <v>780</v>
      </c>
      <c r="B146" s="1084"/>
      <c r="C146" s="1084"/>
      <c r="D146" s="1084"/>
      <c r="E146" s="1035"/>
      <c r="G146" s="1037">
        <v>10</v>
      </c>
      <c r="H146" s="1045" t="s">
        <v>769</v>
      </c>
      <c r="I146" s="1045">
        <f>I$141+$G146*INDEX(C$165:C$178,$G$137)/10</f>
        <v>0</v>
      </c>
      <c r="J146" s="1045">
        <f t="shared" si="3"/>
        <v>0</v>
      </c>
      <c r="K146" s="1045">
        <f>K$141+$G146*INDEX(C$205:C$218,$G$137)/10</f>
        <v>0</v>
      </c>
    </row>
    <row r="147" spans="1:11" x14ac:dyDescent="0.2">
      <c r="A147" s="1083" t="s">
        <v>785</v>
      </c>
      <c r="B147" s="1084"/>
      <c r="C147" s="1084"/>
      <c r="D147" s="1084"/>
      <c r="E147" s="1035"/>
      <c r="G147" s="1037"/>
      <c r="H147" s="1044" t="s">
        <v>14</v>
      </c>
      <c r="I147" s="1046">
        <f>I146+INDEX(D$165:D$178,G137)</f>
        <v>0</v>
      </c>
      <c r="J147" s="1046">
        <f>J146+INDEX(D$185:D$198,$G$137)</f>
        <v>0</v>
      </c>
      <c r="K147" s="1046">
        <f>K146+INDEX(D$205:D$218,$G$137)</f>
        <v>0</v>
      </c>
    </row>
    <row r="148" spans="1:11" x14ac:dyDescent="0.2">
      <c r="A148" s="1083" t="s">
        <v>786</v>
      </c>
      <c r="B148" s="1084"/>
      <c r="C148" s="1084"/>
      <c r="D148" s="1084"/>
      <c r="E148" s="1035"/>
    </row>
    <row r="149" spans="1:11" x14ac:dyDescent="0.2">
      <c r="A149" s="1083" t="s">
        <v>787</v>
      </c>
      <c r="B149" s="1084"/>
      <c r="C149" s="1084"/>
      <c r="D149" s="1084"/>
      <c r="E149" s="1035"/>
      <c r="H149" s="1030" t="s">
        <v>27</v>
      </c>
      <c r="I149" s="1045">
        <f>INDEX(B165:B178,$G137)</f>
        <v>0</v>
      </c>
      <c r="J149" s="1045">
        <f>INDEX(B185:B198,$G137)</f>
        <v>0</v>
      </c>
      <c r="K149" s="1045">
        <f>INDEX(B205:B218,$G137)</f>
        <v>0</v>
      </c>
    </row>
    <row r="150" spans="1:11" x14ac:dyDescent="0.2">
      <c r="A150" s="1083" t="s">
        <v>788</v>
      </c>
      <c r="B150" s="1084"/>
      <c r="C150" s="1084"/>
      <c r="D150" s="1084"/>
      <c r="E150" s="1035"/>
      <c r="H150" s="1030" t="s">
        <v>68</v>
      </c>
      <c r="I150" s="1045">
        <f>INDEX(C165:C178,$G137)</f>
        <v>0</v>
      </c>
      <c r="J150" s="1045">
        <f>INDEX(C185:C198,$G137)</f>
        <v>0</v>
      </c>
      <c r="K150" s="1045">
        <f>INDEX(C205:C218,$G137)</f>
        <v>0</v>
      </c>
    </row>
    <row r="151" spans="1:11" x14ac:dyDescent="0.2">
      <c r="A151" s="1083" t="s">
        <v>789</v>
      </c>
      <c r="B151" s="1084"/>
      <c r="C151" s="1084"/>
      <c r="D151" s="1084"/>
      <c r="E151" s="1035"/>
      <c r="H151" s="1030" t="s">
        <v>769</v>
      </c>
      <c r="I151" s="1045">
        <f>INDEX(D165:D178,$G137)</f>
        <v>0</v>
      </c>
      <c r="J151" s="1045">
        <f>INDEX(D186:D198,$G137)</f>
        <v>0</v>
      </c>
      <c r="K151" s="1045">
        <f>INDEX(D205:D218,$G137)</f>
        <v>0</v>
      </c>
    </row>
    <row r="152" spans="1:11" x14ac:dyDescent="0.2">
      <c r="A152" s="1083" t="s">
        <v>790</v>
      </c>
      <c r="B152" s="1084"/>
      <c r="C152" s="1084"/>
      <c r="D152" s="1084"/>
      <c r="H152" s="1030" t="s">
        <v>14</v>
      </c>
      <c r="I152" s="1045">
        <f>INDEX(E165:E178,$G137)</f>
        <v>0</v>
      </c>
      <c r="J152" s="1045">
        <f>INDEX(E185:E198,$G137)</f>
        <v>0</v>
      </c>
      <c r="K152" s="1045">
        <f>INDEX(E205:E218,$G137)</f>
        <v>0</v>
      </c>
    </row>
    <row r="153" spans="1:11" x14ac:dyDescent="0.2">
      <c r="A153" s="1083" t="s">
        <v>770</v>
      </c>
      <c r="B153" s="1084"/>
      <c r="C153" s="1084"/>
      <c r="D153" s="1084"/>
    </row>
    <row r="154" spans="1:11" x14ac:dyDescent="0.2">
      <c r="A154" s="1083" t="s">
        <v>771</v>
      </c>
      <c r="B154" s="1084"/>
      <c r="C154" s="1084"/>
      <c r="D154" s="1084"/>
    </row>
    <row r="155" spans="1:11" ht="13.5" thickBot="1" x14ac:dyDescent="0.25">
      <c r="A155" s="1085" t="s">
        <v>772</v>
      </c>
      <c r="B155" s="1086"/>
      <c r="C155" s="1086"/>
      <c r="D155" s="1086"/>
    </row>
    <row r="163" spans="1:5" ht="16.5" thickBot="1" x14ac:dyDescent="0.3">
      <c r="A163" s="1034" t="s">
        <v>791</v>
      </c>
    </row>
    <row r="164" spans="1:5" ht="26.25" thickBot="1" x14ac:dyDescent="0.25">
      <c r="A164" s="1038"/>
      <c r="B164" s="1050" t="s">
        <v>774</v>
      </c>
      <c r="C164" s="1050" t="s">
        <v>775</v>
      </c>
      <c r="D164" s="1050" t="s">
        <v>776</v>
      </c>
      <c r="E164" s="1050" t="s">
        <v>14</v>
      </c>
    </row>
    <row r="165" spans="1:5" x14ac:dyDescent="0.2">
      <c r="A165" s="1042" t="s">
        <v>782</v>
      </c>
      <c r="B165" s="1041"/>
      <c r="C165" s="1041"/>
      <c r="D165" s="1041"/>
      <c r="E165" s="1075">
        <f>SUM(B165:D165)</f>
        <v>0</v>
      </c>
    </row>
    <row r="166" spans="1:5" x14ac:dyDescent="0.2">
      <c r="A166" s="1042" t="s">
        <v>783</v>
      </c>
      <c r="B166" s="1043"/>
      <c r="C166" s="1043"/>
      <c r="D166" s="1043"/>
      <c r="E166" s="1041">
        <f t="shared" ref="E166:E178" si="4">SUM(B166:D166)</f>
        <v>0</v>
      </c>
    </row>
    <row r="167" spans="1:5" x14ac:dyDescent="0.2">
      <c r="A167" s="1042" t="s">
        <v>784</v>
      </c>
      <c r="B167" s="1043"/>
      <c r="C167" s="1043"/>
      <c r="D167" s="1043"/>
      <c r="E167" s="1041">
        <f t="shared" si="4"/>
        <v>0</v>
      </c>
    </row>
    <row r="168" spans="1:5" x14ac:dyDescent="0.2">
      <c r="A168" s="1042" t="s">
        <v>781</v>
      </c>
      <c r="B168" s="1043"/>
      <c r="C168" s="1043"/>
      <c r="D168" s="1043"/>
      <c r="E168" s="1041">
        <f t="shared" si="4"/>
        <v>0</v>
      </c>
    </row>
    <row r="169" spans="1:5" x14ac:dyDescent="0.2">
      <c r="A169" s="1042" t="s">
        <v>780</v>
      </c>
      <c r="B169" s="1043"/>
      <c r="C169" s="1043"/>
      <c r="D169" s="1043"/>
      <c r="E169" s="1041">
        <f t="shared" si="4"/>
        <v>0</v>
      </c>
    </row>
    <row r="170" spans="1:5" x14ac:dyDescent="0.2">
      <c r="A170" s="1042" t="s">
        <v>785</v>
      </c>
      <c r="B170" s="1043"/>
      <c r="C170" s="1043"/>
      <c r="D170" s="1043"/>
      <c r="E170" s="1041">
        <f t="shared" si="4"/>
        <v>0</v>
      </c>
    </row>
    <row r="171" spans="1:5" x14ac:dyDescent="0.2">
      <c r="A171" s="1042" t="s">
        <v>786</v>
      </c>
      <c r="B171" s="1043"/>
      <c r="C171" s="1043"/>
      <c r="D171" s="1043"/>
      <c r="E171" s="1041">
        <f t="shared" si="4"/>
        <v>0</v>
      </c>
    </row>
    <row r="172" spans="1:5" x14ac:dyDescent="0.2">
      <c r="A172" s="1042" t="s">
        <v>787</v>
      </c>
      <c r="B172" s="1043"/>
      <c r="C172" s="1043"/>
      <c r="D172" s="1043"/>
      <c r="E172" s="1041">
        <f t="shared" si="4"/>
        <v>0</v>
      </c>
    </row>
    <row r="173" spans="1:5" x14ac:dyDescent="0.2">
      <c r="A173" s="1042" t="s">
        <v>788</v>
      </c>
      <c r="B173" s="1043"/>
      <c r="C173" s="1043"/>
      <c r="D173" s="1043"/>
      <c r="E173" s="1041">
        <f t="shared" si="4"/>
        <v>0</v>
      </c>
    </row>
    <row r="174" spans="1:5" x14ac:dyDescent="0.2">
      <c r="A174" s="1042" t="s">
        <v>789</v>
      </c>
      <c r="B174" s="1043"/>
      <c r="C174" s="1043"/>
      <c r="D174" s="1043"/>
      <c r="E174" s="1041">
        <f t="shared" si="4"/>
        <v>0</v>
      </c>
    </row>
    <row r="175" spans="1:5" x14ac:dyDescent="0.2">
      <c r="A175" s="1042" t="s">
        <v>790</v>
      </c>
      <c r="B175" s="1043"/>
      <c r="C175" s="1043"/>
      <c r="D175" s="1043"/>
      <c r="E175" s="1041">
        <f t="shared" si="4"/>
        <v>0</v>
      </c>
    </row>
    <row r="176" spans="1:5" x14ac:dyDescent="0.2">
      <c r="A176" s="1042" t="s">
        <v>770</v>
      </c>
      <c r="B176" s="1043"/>
      <c r="C176" s="1043"/>
      <c r="D176" s="1043"/>
      <c r="E176" s="1041">
        <f t="shared" si="4"/>
        <v>0</v>
      </c>
    </row>
    <row r="177" spans="1:5" x14ac:dyDescent="0.2">
      <c r="A177" s="1042" t="s">
        <v>771</v>
      </c>
      <c r="B177" s="1043"/>
      <c r="C177" s="1043"/>
      <c r="D177" s="1043"/>
      <c r="E177" s="1041">
        <f t="shared" si="4"/>
        <v>0</v>
      </c>
    </row>
    <row r="178" spans="1:5" ht="13.5" thickBot="1" x14ac:dyDescent="0.25">
      <c r="A178" s="1047" t="s">
        <v>772</v>
      </c>
      <c r="B178" s="1048"/>
      <c r="C178" s="1048"/>
      <c r="D178" s="1048"/>
      <c r="E178" s="1076">
        <f t="shared" si="4"/>
        <v>0</v>
      </c>
    </row>
    <row r="183" spans="1:5" ht="16.5" thickBot="1" x14ac:dyDescent="0.3">
      <c r="A183" s="1034" t="s">
        <v>792</v>
      </c>
    </row>
    <row r="184" spans="1:5" ht="26.25" thickBot="1" x14ac:dyDescent="0.25">
      <c r="A184" s="1038"/>
      <c r="B184" s="1050" t="s">
        <v>774</v>
      </c>
      <c r="C184" s="1050" t="s">
        <v>775</v>
      </c>
      <c r="D184" s="1050" t="s">
        <v>776</v>
      </c>
      <c r="E184" s="1050" t="s">
        <v>14</v>
      </c>
    </row>
    <row r="185" spans="1:5" x14ac:dyDescent="0.2">
      <c r="A185" s="1042" t="s">
        <v>782</v>
      </c>
      <c r="B185" s="1043"/>
      <c r="C185" s="1043"/>
      <c r="D185" s="1043"/>
      <c r="E185" s="1075">
        <f>SUM(B185:D185)</f>
        <v>0</v>
      </c>
    </row>
    <row r="186" spans="1:5" x14ac:dyDescent="0.2">
      <c r="A186" s="1042" t="s">
        <v>783</v>
      </c>
      <c r="B186" s="1043"/>
      <c r="C186" s="1043"/>
      <c r="D186" s="1043"/>
      <c r="E186" s="1041">
        <f t="shared" ref="E186:E198" si="5">SUM(B186:D186)</f>
        <v>0</v>
      </c>
    </row>
    <row r="187" spans="1:5" x14ac:dyDescent="0.2">
      <c r="A187" s="1042" t="s">
        <v>784</v>
      </c>
      <c r="B187" s="1041"/>
      <c r="C187" s="1041"/>
      <c r="D187" s="1041"/>
      <c r="E187" s="1041">
        <f t="shared" si="5"/>
        <v>0</v>
      </c>
    </row>
    <row r="188" spans="1:5" x14ac:dyDescent="0.2">
      <c r="A188" s="1042" t="s">
        <v>781</v>
      </c>
      <c r="B188" s="1043"/>
      <c r="C188" s="1043"/>
      <c r="D188" s="1043"/>
      <c r="E188" s="1041">
        <f t="shared" si="5"/>
        <v>0</v>
      </c>
    </row>
    <row r="189" spans="1:5" x14ac:dyDescent="0.2">
      <c r="A189" s="1042" t="s">
        <v>780</v>
      </c>
      <c r="B189" s="1043"/>
      <c r="C189" s="1043"/>
      <c r="D189" s="1043"/>
      <c r="E189" s="1041">
        <f t="shared" si="5"/>
        <v>0</v>
      </c>
    </row>
    <row r="190" spans="1:5" x14ac:dyDescent="0.2">
      <c r="A190" s="1042" t="s">
        <v>785</v>
      </c>
      <c r="B190" s="1043"/>
      <c r="C190" s="1043"/>
      <c r="D190" s="1043"/>
      <c r="E190" s="1041">
        <f t="shared" si="5"/>
        <v>0</v>
      </c>
    </row>
    <row r="191" spans="1:5" x14ac:dyDescent="0.2">
      <c r="A191" s="1042" t="s">
        <v>786</v>
      </c>
      <c r="B191" s="1043"/>
      <c r="C191" s="1043"/>
      <c r="D191" s="1043"/>
      <c r="E191" s="1041">
        <f t="shared" si="5"/>
        <v>0</v>
      </c>
    </row>
    <row r="192" spans="1:5" x14ac:dyDescent="0.2">
      <c r="A192" s="1042" t="s">
        <v>787</v>
      </c>
      <c r="B192" s="1043"/>
      <c r="C192" s="1043"/>
      <c r="D192" s="1043"/>
      <c r="E192" s="1041">
        <f t="shared" si="5"/>
        <v>0</v>
      </c>
    </row>
    <row r="193" spans="1:5" x14ac:dyDescent="0.2">
      <c r="A193" s="1042" t="s">
        <v>788</v>
      </c>
      <c r="B193" s="1043"/>
      <c r="C193" s="1043"/>
      <c r="D193" s="1043"/>
      <c r="E193" s="1041">
        <f t="shared" si="5"/>
        <v>0</v>
      </c>
    </row>
    <row r="194" spans="1:5" x14ac:dyDescent="0.2">
      <c r="A194" s="1042" t="s">
        <v>789</v>
      </c>
      <c r="B194" s="1043"/>
      <c r="C194" s="1043"/>
      <c r="D194" s="1043"/>
      <c r="E194" s="1041">
        <f t="shared" si="5"/>
        <v>0</v>
      </c>
    </row>
    <row r="195" spans="1:5" x14ac:dyDescent="0.2">
      <c r="A195" s="1042" t="s">
        <v>790</v>
      </c>
      <c r="B195" s="1043"/>
      <c r="C195" s="1043"/>
      <c r="D195" s="1043"/>
      <c r="E195" s="1041">
        <f t="shared" si="5"/>
        <v>0</v>
      </c>
    </row>
    <row r="196" spans="1:5" x14ac:dyDescent="0.2">
      <c r="A196" s="1042" t="s">
        <v>770</v>
      </c>
      <c r="B196" s="1043"/>
      <c r="C196" s="1043"/>
      <c r="D196" s="1043"/>
      <c r="E196" s="1041">
        <f t="shared" si="5"/>
        <v>0</v>
      </c>
    </row>
    <row r="197" spans="1:5" x14ac:dyDescent="0.2">
      <c r="A197" s="1042" t="s">
        <v>771</v>
      </c>
      <c r="B197" s="1043"/>
      <c r="C197" s="1043"/>
      <c r="D197" s="1043"/>
      <c r="E197" s="1041">
        <f t="shared" si="5"/>
        <v>0</v>
      </c>
    </row>
    <row r="198" spans="1:5" ht="13.5" thickBot="1" x14ac:dyDescent="0.25">
      <c r="A198" s="1047" t="s">
        <v>772</v>
      </c>
      <c r="B198" s="1048"/>
      <c r="C198" s="1048"/>
      <c r="D198" s="1048"/>
      <c r="E198" s="1076">
        <f t="shared" si="5"/>
        <v>0</v>
      </c>
    </row>
    <row r="203" spans="1:5" ht="16.5" thickBot="1" x14ac:dyDescent="0.3">
      <c r="A203" s="1034" t="s">
        <v>793</v>
      </c>
    </row>
    <row r="204" spans="1:5" ht="26.25" thickBot="1" x14ac:dyDescent="0.25">
      <c r="A204" s="1038"/>
      <c r="B204" s="1050" t="s">
        <v>774</v>
      </c>
      <c r="C204" s="1050" t="s">
        <v>775</v>
      </c>
      <c r="D204" s="1050" t="s">
        <v>776</v>
      </c>
      <c r="E204" s="1050" t="s">
        <v>14</v>
      </c>
    </row>
    <row r="205" spans="1:5" x14ac:dyDescent="0.2">
      <c r="A205" s="1042" t="s">
        <v>782</v>
      </c>
      <c r="B205" s="1041"/>
      <c r="C205" s="1041"/>
      <c r="D205" s="1041"/>
      <c r="E205" s="1075">
        <f>SUM(B205:D205)</f>
        <v>0</v>
      </c>
    </row>
    <row r="206" spans="1:5" x14ac:dyDescent="0.2">
      <c r="A206" s="1042" t="s">
        <v>783</v>
      </c>
      <c r="B206" s="1043"/>
      <c r="C206" s="1043"/>
      <c r="D206" s="1043"/>
      <c r="E206" s="1041">
        <f t="shared" ref="E206:E218" si="6">SUM(B206:D206)</f>
        <v>0</v>
      </c>
    </row>
    <row r="207" spans="1:5" x14ac:dyDescent="0.2">
      <c r="A207" s="1042" t="s">
        <v>784</v>
      </c>
      <c r="B207" s="1043"/>
      <c r="C207" s="1043"/>
      <c r="D207" s="1043"/>
      <c r="E207" s="1041">
        <f t="shared" si="6"/>
        <v>0</v>
      </c>
    </row>
    <row r="208" spans="1:5" x14ac:dyDescent="0.2">
      <c r="A208" s="1042" t="s">
        <v>781</v>
      </c>
      <c r="B208" s="1043"/>
      <c r="C208" s="1043"/>
      <c r="D208" s="1043"/>
      <c r="E208" s="1041">
        <f t="shared" si="6"/>
        <v>0</v>
      </c>
    </row>
    <row r="209" spans="1:20" x14ac:dyDescent="0.2">
      <c r="A209" s="1042" t="s">
        <v>780</v>
      </c>
      <c r="B209" s="1043"/>
      <c r="C209" s="1043"/>
      <c r="D209" s="1043"/>
      <c r="E209" s="1041">
        <f t="shared" si="6"/>
        <v>0</v>
      </c>
    </row>
    <row r="210" spans="1:20" x14ac:dyDescent="0.2">
      <c r="A210" s="1042" t="s">
        <v>785</v>
      </c>
      <c r="B210" s="1043"/>
      <c r="C210" s="1043"/>
      <c r="D210" s="1043"/>
      <c r="E210" s="1041">
        <f t="shared" si="6"/>
        <v>0</v>
      </c>
    </row>
    <row r="211" spans="1:20" x14ac:dyDescent="0.2">
      <c r="A211" s="1042" t="s">
        <v>786</v>
      </c>
      <c r="B211" s="1043"/>
      <c r="C211" s="1043"/>
      <c r="D211" s="1043"/>
      <c r="E211" s="1041">
        <f t="shared" si="6"/>
        <v>0</v>
      </c>
    </row>
    <row r="212" spans="1:20" x14ac:dyDescent="0.2">
      <c r="A212" s="1042" t="s">
        <v>787</v>
      </c>
      <c r="B212" s="1043"/>
      <c r="C212" s="1043"/>
      <c r="D212" s="1043"/>
      <c r="E212" s="1041">
        <f t="shared" si="6"/>
        <v>0</v>
      </c>
    </row>
    <row r="213" spans="1:20" x14ac:dyDescent="0.2">
      <c r="A213" s="1042" t="s">
        <v>788</v>
      </c>
      <c r="B213" s="1043"/>
      <c r="C213" s="1043"/>
      <c r="D213" s="1043"/>
      <c r="E213" s="1041">
        <f t="shared" si="6"/>
        <v>0</v>
      </c>
    </row>
    <row r="214" spans="1:20" x14ac:dyDescent="0.2">
      <c r="A214" s="1042" t="s">
        <v>789</v>
      </c>
      <c r="B214" s="1043"/>
      <c r="C214" s="1043"/>
      <c r="D214" s="1043"/>
      <c r="E214" s="1041">
        <f t="shared" si="6"/>
        <v>0</v>
      </c>
    </row>
    <row r="215" spans="1:20" x14ac:dyDescent="0.2">
      <c r="A215" s="1042" t="s">
        <v>790</v>
      </c>
      <c r="B215" s="1043"/>
      <c r="C215" s="1043"/>
      <c r="D215" s="1043"/>
      <c r="E215" s="1041">
        <f t="shared" si="6"/>
        <v>0</v>
      </c>
    </row>
    <row r="216" spans="1:20" x14ac:dyDescent="0.2">
      <c r="A216" s="1042" t="s">
        <v>770</v>
      </c>
      <c r="B216" s="1043"/>
      <c r="C216" s="1043"/>
      <c r="D216" s="1043"/>
      <c r="E216" s="1041">
        <f t="shared" si="6"/>
        <v>0</v>
      </c>
    </row>
    <row r="217" spans="1:20" x14ac:dyDescent="0.2">
      <c r="A217" s="1042" t="s">
        <v>771</v>
      </c>
      <c r="B217" s="1043"/>
      <c r="C217" s="1043"/>
      <c r="D217" s="1043"/>
      <c r="E217" s="1041">
        <f t="shared" si="6"/>
        <v>0</v>
      </c>
    </row>
    <row r="218" spans="1:20" ht="13.5" thickBot="1" x14ac:dyDescent="0.25">
      <c r="A218" s="1047" t="s">
        <v>772</v>
      </c>
      <c r="B218" s="1048"/>
      <c r="C218" s="1048"/>
      <c r="D218" s="1048"/>
      <c r="E218" s="1076">
        <f t="shared" si="6"/>
        <v>0</v>
      </c>
    </row>
    <row r="221" spans="1:20" ht="13.5" thickBot="1" x14ac:dyDescent="0.25"/>
    <row r="222" spans="1:20" ht="16.5" thickTop="1" x14ac:dyDescent="0.25">
      <c r="A222" s="1054" t="s">
        <v>794</v>
      </c>
      <c r="B222" s="1055"/>
      <c r="C222" s="1055"/>
      <c r="D222" s="1055"/>
      <c r="E222" s="1055"/>
      <c r="F222" s="1055"/>
      <c r="G222" s="1055"/>
      <c r="H222" s="1055"/>
      <c r="I222" s="1055"/>
      <c r="J222" s="1055"/>
      <c r="K222" s="1055"/>
      <c r="L222" s="1055"/>
      <c r="M222" s="1055"/>
      <c r="N222" s="1055"/>
      <c r="O222" s="1055"/>
      <c r="P222" s="1055"/>
      <c r="Q222" s="1055"/>
      <c r="R222" s="1055"/>
      <c r="S222" s="1055"/>
      <c r="T222" s="1056"/>
    </row>
    <row r="223" spans="1:20" x14ac:dyDescent="0.2">
      <c r="A223" s="1057"/>
      <c r="B223" s="1058"/>
      <c r="C223" s="1058"/>
      <c r="D223" s="1058"/>
      <c r="E223" s="1058"/>
      <c r="F223" s="1058"/>
      <c r="G223" s="1058"/>
      <c r="H223" s="1058"/>
      <c r="I223" s="1058"/>
      <c r="J223" s="1058"/>
      <c r="K223" s="1058"/>
      <c r="L223" s="1058"/>
      <c r="M223" s="1058"/>
      <c r="N223" s="1058"/>
      <c r="O223" s="1058"/>
      <c r="P223" s="1058"/>
      <c r="Q223" s="1058"/>
      <c r="R223" s="1058"/>
      <c r="S223" s="1058"/>
      <c r="T223" s="1059"/>
    </row>
    <row r="224" spans="1:20" x14ac:dyDescent="0.2">
      <c r="A224" s="1057"/>
      <c r="B224" s="1058"/>
      <c r="C224" s="1058"/>
      <c r="D224" s="1058"/>
      <c r="E224" s="1058"/>
      <c r="F224" s="1058"/>
      <c r="G224" s="1058"/>
      <c r="H224" s="1058"/>
      <c r="I224" s="1058"/>
      <c r="J224" s="1058"/>
      <c r="K224" s="1058"/>
      <c r="L224" s="1058"/>
      <c r="M224" s="1058"/>
      <c r="N224" s="1058"/>
      <c r="O224" s="1058"/>
      <c r="P224" s="1058"/>
      <c r="Q224" s="1058"/>
      <c r="R224" s="1058"/>
      <c r="S224" s="1058"/>
      <c r="T224" s="1059"/>
    </row>
    <row r="225" spans="1:20" x14ac:dyDescent="0.2">
      <c r="A225" s="1057"/>
      <c r="B225" s="1058"/>
      <c r="C225" s="1058"/>
      <c r="D225" s="1058"/>
      <c r="E225" s="1058"/>
      <c r="F225" s="1058"/>
      <c r="G225" s="1058"/>
      <c r="H225" s="1058"/>
      <c r="I225" s="1058"/>
      <c r="J225" s="1058"/>
      <c r="K225" s="1058"/>
      <c r="L225" s="1058"/>
      <c r="M225" s="1058"/>
      <c r="N225" s="1058"/>
      <c r="O225" s="1058"/>
      <c r="P225" s="1058"/>
      <c r="Q225" s="1058"/>
      <c r="R225" s="1058"/>
      <c r="S225" s="1058"/>
      <c r="T225" s="1059"/>
    </row>
    <row r="226" spans="1:20" x14ac:dyDescent="0.2">
      <c r="A226" s="1057"/>
      <c r="B226" s="1058"/>
      <c r="C226" s="1058"/>
      <c r="D226" s="1058"/>
      <c r="E226" s="1058"/>
      <c r="F226" s="1058"/>
      <c r="G226" s="1058"/>
      <c r="H226" s="1058"/>
      <c r="I226" s="1058"/>
      <c r="J226" s="1058"/>
      <c r="K226" s="1058"/>
      <c r="L226" s="1058"/>
      <c r="M226" s="1058"/>
      <c r="N226" s="1058"/>
      <c r="O226" s="1058"/>
      <c r="P226" s="1058"/>
      <c r="Q226" s="1058"/>
      <c r="R226" s="1058"/>
      <c r="S226" s="1058"/>
      <c r="T226" s="1059"/>
    </row>
    <row r="227" spans="1:20" ht="16.5" thickBot="1" x14ac:dyDescent="0.3">
      <c r="A227" s="1060" t="s">
        <v>795</v>
      </c>
      <c r="B227" s="1058"/>
      <c r="C227" s="1058"/>
      <c r="D227" s="1058"/>
      <c r="E227" s="1058"/>
      <c r="F227" s="1058"/>
      <c r="G227" s="1058"/>
      <c r="H227" s="1058"/>
      <c r="I227" s="1058"/>
      <c r="J227" s="1058"/>
      <c r="K227" s="1058"/>
      <c r="L227" s="1058"/>
      <c r="M227" s="1058"/>
      <c r="N227" s="1058"/>
      <c r="O227" s="1058"/>
      <c r="P227" s="1058"/>
      <c r="Q227" s="1058"/>
      <c r="R227" s="1058"/>
      <c r="S227" s="1058"/>
      <c r="T227" s="1059"/>
    </row>
    <row r="228" spans="1:20" ht="13.5" thickBot="1" x14ac:dyDescent="0.25">
      <c r="A228" s="1074"/>
      <c r="B228" s="1061" t="s">
        <v>69</v>
      </c>
      <c r="C228" s="1061" t="s">
        <v>44</v>
      </c>
      <c r="D228" s="1062" t="s">
        <v>45</v>
      </c>
      <c r="E228" s="1058"/>
      <c r="F228" s="1058"/>
      <c r="G228" s="1058"/>
      <c r="H228" s="1058"/>
      <c r="I228" s="1058"/>
      <c r="J228" s="1058"/>
      <c r="K228" s="1058"/>
      <c r="L228" s="1058"/>
      <c r="M228" s="1058"/>
      <c r="N228" s="1058"/>
      <c r="O228" s="1058"/>
      <c r="P228" s="1058"/>
      <c r="Q228" s="1058"/>
      <c r="R228" s="1058"/>
      <c r="S228" s="1058"/>
      <c r="T228" s="1059"/>
    </row>
    <row r="229" spans="1:20" x14ac:dyDescent="0.2">
      <c r="A229" s="1063" t="s">
        <v>812</v>
      </c>
      <c r="B229" s="1064"/>
      <c r="C229" s="1064"/>
      <c r="D229" s="1065"/>
      <c r="E229" s="1058"/>
      <c r="F229" s="1058"/>
      <c r="G229" s="1058"/>
      <c r="H229" s="1058"/>
      <c r="I229" s="1058"/>
      <c r="J229" s="1058"/>
      <c r="K229" s="1058"/>
      <c r="L229" s="1058"/>
      <c r="M229" s="1058"/>
      <c r="N229" s="1058"/>
      <c r="O229" s="1058"/>
      <c r="P229" s="1058"/>
      <c r="Q229" s="1058"/>
      <c r="R229" s="1058"/>
      <c r="S229" s="1058"/>
      <c r="T229" s="1059"/>
    </row>
    <row r="230" spans="1:20" x14ac:dyDescent="0.2">
      <c r="A230" s="1066" t="s">
        <v>811</v>
      </c>
      <c r="B230" s="1067"/>
      <c r="C230" s="1067"/>
      <c r="D230" s="1068"/>
      <c r="E230" s="1058"/>
      <c r="F230" s="1058"/>
      <c r="G230" s="1058"/>
      <c r="H230" s="1058"/>
      <c r="I230" s="1058"/>
      <c r="J230" s="1058"/>
      <c r="K230" s="1058"/>
      <c r="L230" s="1058"/>
      <c r="M230" s="1058"/>
      <c r="N230" s="1058"/>
      <c r="O230" s="1058"/>
      <c r="P230" s="1058"/>
      <c r="Q230" s="1058"/>
      <c r="R230" s="1058"/>
      <c r="S230" s="1058"/>
      <c r="T230" s="1059"/>
    </row>
    <row r="231" spans="1:20" x14ac:dyDescent="0.2">
      <c r="A231" s="1066" t="s">
        <v>813</v>
      </c>
      <c r="B231" s="1067"/>
      <c r="C231" s="1067"/>
      <c r="D231" s="1068"/>
      <c r="E231" s="1058"/>
      <c r="F231" s="1058"/>
      <c r="G231" s="1058"/>
      <c r="H231" s="1058"/>
      <c r="I231" s="1058"/>
      <c r="J231" s="1058"/>
      <c r="K231" s="1058"/>
      <c r="L231" s="1058"/>
      <c r="M231" s="1058"/>
      <c r="N231" s="1058"/>
      <c r="O231" s="1058"/>
      <c r="P231" s="1058"/>
      <c r="Q231" s="1058"/>
      <c r="R231" s="1058"/>
      <c r="S231" s="1058"/>
      <c r="T231" s="1059"/>
    </row>
    <row r="232" spans="1:20" x14ac:dyDescent="0.2">
      <c r="A232" s="1066" t="s">
        <v>814</v>
      </c>
      <c r="B232" s="1067"/>
      <c r="C232" s="1067"/>
      <c r="D232" s="1068"/>
      <c r="E232" s="1058"/>
      <c r="F232" s="1058"/>
      <c r="G232" s="1058"/>
      <c r="H232" s="1058"/>
      <c r="I232" s="1058"/>
      <c r="J232" s="1058"/>
      <c r="K232" s="1058"/>
      <c r="L232" s="1058"/>
      <c r="M232" s="1058"/>
      <c r="N232" s="1058"/>
      <c r="O232" s="1058"/>
      <c r="P232" s="1058"/>
      <c r="Q232" s="1058"/>
      <c r="R232" s="1058"/>
      <c r="S232" s="1058"/>
      <c r="T232" s="1059"/>
    </row>
    <row r="233" spans="1:20" x14ac:dyDescent="0.2">
      <c r="A233" s="1066" t="s">
        <v>815</v>
      </c>
      <c r="B233" s="1067"/>
      <c r="C233" s="1067"/>
      <c r="D233" s="1068"/>
      <c r="E233" s="1058"/>
      <c r="F233" s="1058"/>
      <c r="G233" s="1058"/>
      <c r="H233" s="1058"/>
      <c r="I233" s="1058"/>
      <c r="J233" s="1058"/>
      <c r="K233" s="1058"/>
      <c r="L233" s="1058"/>
      <c r="M233" s="1058"/>
      <c r="N233" s="1058"/>
      <c r="O233" s="1058"/>
      <c r="P233" s="1058"/>
      <c r="Q233" s="1058"/>
      <c r="R233" s="1058"/>
      <c r="S233" s="1058"/>
      <c r="T233" s="1059"/>
    </row>
    <row r="234" spans="1:20" x14ac:dyDescent="0.2">
      <c r="A234" s="1066" t="s">
        <v>816</v>
      </c>
      <c r="B234" s="1067"/>
      <c r="C234" s="1067"/>
      <c r="D234" s="1068"/>
      <c r="E234" s="1058"/>
      <c r="F234" s="1058"/>
      <c r="G234" s="1058"/>
      <c r="H234" s="1058"/>
      <c r="I234" s="1058"/>
      <c r="J234" s="1058"/>
      <c r="K234" s="1058"/>
      <c r="L234" s="1058"/>
      <c r="M234" s="1058"/>
      <c r="N234" s="1058"/>
      <c r="O234" s="1058"/>
      <c r="P234" s="1058"/>
      <c r="Q234" s="1058"/>
      <c r="R234" s="1058"/>
      <c r="S234" s="1058"/>
      <c r="T234" s="1059"/>
    </row>
    <row r="235" spans="1:20" x14ac:dyDescent="0.2">
      <c r="A235" s="1066" t="s">
        <v>817</v>
      </c>
      <c r="B235" s="1067"/>
      <c r="C235" s="1067"/>
      <c r="D235" s="1068"/>
      <c r="E235" s="1058"/>
      <c r="F235" s="1058"/>
      <c r="G235" s="1058"/>
      <c r="H235" s="1058"/>
      <c r="I235" s="1058"/>
      <c r="J235" s="1058"/>
      <c r="K235" s="1058"/>
      <c r="L235" s="1058"/>
      <c r="M235" s="1058"/>
      <c r="N235" s="1058"/>
      <c r="O235" s="1058"/>
      <c r="P235" s="1058"/>
      <c r="Q235" s="1058"/>
      <c r="R235" s="1058"/>
      <c r="S235" s="1058"/>
      <c r="T235" s="1059"/>
    </row>
    <row r="236" spans="1:20" x14ac:dyDescent="0.2">
      <c r="A236" s="1066" t="s">
        <v>818</v>
      </c>
      <c r="B236" s="1067"/>
      <c r="C236" s="1067"/>
      <c r="D236" s="1068"/>
      <c r="E236" s="1058"/>
      <c r="F236" s="1058"/>
      <c r="G236" s="1058"/>
      <c r="H236" s="1058"/>
      <c r="I236" s="1058"/>
      <c r="J236" s="1058"/>
      <c r="K236" s="1058"/>
      <c r="L236" s="1058"/>
      <c r="M236" s="1058"/>
      <c r="N236" s="1058"/>
      <c r="O236" s="1058"/>
      <c r="P236" s="1058"/>
      <c r="Q236" s="1058"/>
      <c r="R236" s="1058"/>
      <c r="S236" s="1058"/>
      <c r="T236" s="1059"/>
    </row>
    <row r="237" spans="1:20" x14ac:dyDescent="0.2">
      <c r="A237" s="1066" t="s">
        <v>819</v>
      </c>
      <c r="B237" s="1067"/>
      <c r="C237" s="1067"/>
      <c r="D237" s="1068"/>
      <c r="E237" s="1058"/>
      <c r="F237" s="1058"/>
      <c r="G237" s="1058"/>
      <c r="H237" s="1058"/>
      <c r="I237" s="1058"/>
      <c r="J237" s="1058"/>
      <c r="K237" s="1058"/>
      <c r="L237" s="1058"/>
      <c r="M237" s="1058"/>
      <c r="N237" s="1058"/>
      <c r="O237" s="1058"/>
      <c r="P237" s="1058"/>
      <c r="Q237" s="1058"/>
      <c r="R237" s="1058"/>
      <c r="S237" s="1058"/>
      <c r="T237" s="1059"/>
    </row>
    <row r="238" spans="1:20" x14ac:dyDescent="0.2">
      <c r="A238" s="1066" t="s">
        <v>820</v>
      </c>
      <c r="B238" s="1067"/>
      <c r="C238" s="1067"/>
      <c r="D238" s="1068"/>
      <c r="E238" s="1058"/>
      <c r="F238" s="1058"/>
      <c r="G238" s="1058"/>
      <c r="H238" s="1058"/>
      <c r="I238" s="1058"/>
      <c r="J238" s="1058"/>
      <c r="K238" s="1058"/>
      <c r="L238" s="1058"/>
      <c r="M238" s="1058"/>
      <c r="N238" s="1058"/>
      <c r="O238" s="1058"/>
      <c r="P238" s="1058"/>
      <c r="Q238" s="1058"/>
      <c r="R238" s="1058"/>
      <c r="S238" s="1058"/>
      <c r="T238" s="1059"/>
    </row>
    <row r="239" spans="1:20" x14ac:dyDescent="0.2">
      <c r="A239" s="1066" t="s">
        <v>821</v>
      </c>
      <c r="B239" s="1067"/>
      <c r="C239" s="1067"/>
      <c r="D239" s="1068"/>
      <c r="E239" s="1058"/>
      <c r="F239" s="1058"/>
      <c r="G239" s="1058"/>
      <c r="H239" s="1058"/>
      <c r="I239" s="1058"/>
      <c r="J239" s="1058"/>
      <c r="K239" s="1058"/>
      <c r="L239" s="1058"/>
      <c r="M239" s="1058"/>
      <c r="N239" s="1058"/>
      <c r="O239" s="1058"/>
      <c r="P239" s="1058"/>
      <c r="Q239" s="1058"/>
      <c r="R239" s="1058"/>
      <c r="S239" s="1058"/>
      <c r="T239" s="1059"/>
    </row>
    <row r="240" spans="1:20" x14ac:dyDescent="0.2">
      <c r="A240" s="1066" t="s">
        <v>822</v>
      </c>
      <c r="B240" s="1067"/>
      <c r="C240" s="1067"/>
      <c r="D240" s="1068"/>
      <c r="E240" s="1058"/>
      <c r="F240" s="1058"/>
      <c r="G240" s="1058"/>
      <c r="H240" s="1058"/>
      <c r="I240" s="1058"/>
      <c r="J240" s="1058"/>
      <c r="K240" s="1058"/>
      <c r="L240" s="1058"/>
      <c r="M240" s="1058"/>
      <c r="N240" s="1058"/>
      <c r="O240" s="1058"/>
      <c r="P240" s="1058"/>
      <c r="Q240" s="1058"/>
      <c r="R240" s="1058"/>
      <c r="S240" s="1058"/>
      <c r="T240" s="1059"/>
    </row>
    <row r="241" spans="1:20" x14ac:dyDescent="0.2">
      <c r="A241" s="1066" t="s">
        <v>823</v>
      </c>
      <c r="B241" s="1067"/>
      <c r="C241" s="1067"/>
      <c r="D241" s="1068"/>
      <c r="E241" s="1058"/>
      <c r="F241" s="1058"/>
      <c r="G241" s="1058"/>
      <c r="H241" s="1058"/>
      <c r="I241" s="1058"/>
      <c r="J241" s="1058"/>
      <c r="K241" s="1058"/>
      <c r="L241" s="1058"/>
      <c r="M241" s="1058"/>
      <c r="N241" s="1058"/>
      <c r="O241" s="1058"/>
      <c r="P241" s="1058"/>
      <c r="Q241" s="1058"/>
      <c r="R241" s="1058"/>
      <c r="S241" s="1058"/>
      <c r="T241" s="1059"/>
    </row>
    <row r="242" spans="1:20" x14ac:dyDescent="0.2">
      <c r="A242" s="1066" t="s">
        <v>824</v>
      </c>
      <c r="B242" s="1067"/>
      <c r="C242" s="1067"/>
      <c r="D242" s="1068"/>
      <c r="E242" s="1058"/>
      <c r="F242" s="1058"/>
      <c r="G242" s="1058"/>
      <c r="H242" s="1058"/>
      <c r="I242" s="1058"/>
      <c r="J242" s="1058"/>
      <c r="K242" s="1058"/>
      <c r="L242" s="1058"/>
      <c r="M242" s="1058"/>
      <c r="N242" s="1058"/>
      <c r="O242" s="1058"/>
      <c r="P242" s="1058"/>
      <c r="Q242" s="1058"/>
      <c r="R242" s="1058"/>
      <c r="S242" s="1058"/>
      <c r="T242" s="1059"/>
    </row>
    <row r="243" spans="1:20" x14ac:dyDescent="0.2">
      <c r="A243" s="1057"/>
      <c r="B243" s="1058"/>
      <c r="C243" s="1058"/>
      <c r="D243" s="1058"/>
      <c r="E243" s="1058"/>
      <c r="F243" s="1058"/>
      <c r="G243" s="1058"/>
      <c r="H243" s="1058"/>
      <c r="I243" s="1058"/>
      <c r="J243" s="1058"/>
      <c r="K243" s="1058"/>
      <c r="L243" s="1058"/>
      <c r="M243" s="1058"/>
      <c r="N243" s="1058"/>
      <c r="O243" s="1058"/>
      <c r="P243" s="1058"/>
      <c r="Q243" s="1058"/>
      <c r="R243" s="1058"/>
      <c r="S243" s="1058"/>
      <c r="T243" s="1059"/>
    </row>
    <row r="244" spans="1:20" x14ac:dyDescent="0.2">
      <c r="A244" s="1057"/>
      <c r="B244" s="1058"/>
      <c r="C244" s="1058"/>
      <c r="D244" s="1058"/>
      <c r="E244" s="1058"/>
      <c r="F244" s="1058"/>
      <c r="G244" s="1058"/>
      <c r="H244" s="1058"/>
      <c r="I244" s="1058"/>
      <c r="J244" s="1058"/>
      <c r="K244" s="1058"/>
      <c r="L244" s="1058"/>
      <c r="M244" s="1058"/>
      <c r="N244" s="1058"/>
      <c r="O244" s="1058"/>
      <c r="P244" s="1058"/>
      <c r="Q244" s="1058"/>
      <c r="R244" s="1058"/>
      <c r="S244" s="1058"/>
      <c r="T244" s="1059"/>
    </row>
    <row r="245" spans="1:20" x14ac:dyDescent="0.2">
      <c r="A245" s="1057"/>
      <c r="B245" s="1058"/>
      <c r="C245" s="1058"/>
      <c r="D245" s="1058"/>
      <c r="E245" s="1058"/>
      <c r="F245" s="1058"/>
      <c r="G245" s="1058"/>
      <c r="H245" s="1058"/>
      <c r="I245" s="1058"/>
      <c r="J245" s="1058"/>
      <c r="K245" s="1058"/>
      <c r="L245" s="1058"/>
      <c r="M245" s="1058"/>
      <c r="N245" s="1058"/>
      <c r="O245" s="1058"/>
      <c r="P245" s="1058"/>
      <c r="Q245" s="1058"/>
      <c r="R245" s="1058"/>
      <c r="S245" s="1058"/>
      <c r="T245" s="1059"/>
    </row>
    <row r="246" spans="1:20" x14ac:dyDescent="0.2">
      <c r="A246" s="1057"/>
      <c r="B246" s="1058"/>
      <c r="C246" s="1058"/>
      <c r="D246" s="1058"/>
      <c r="E246" s="1058"/>
      <c r="F246" s="1058"/>
      <c r="G246" s="1058"/>
      <c r="H246" s="1058"/>
      <c r="I246" s="1058"/>
      <c r="J246" s="1058"/>
      <c r="K246" s="1058"/>
      <c r="L246" s="1058"/>
      <c r="M246" s="1058"/>
      <c r="N246" s="1058"/>
      <c r="O246" s="1058"/>
      <c r="P246" s="1058"/>
      <c r="Q246" s="1058"/>
      <c r="R246" s="1058"/>
      <c r="S246" s="1058"/>
      <c r="T246" s="1059"/>
    </row>
    <row r="247" spans="1:20" x14ac:dyDescent="0.2">
      <c r="A247" s="1057"/>
      <c r="B247" s="1058"/>
      <c r="C247" s="1058"/>
      <c r="D247" s="1058"/>
      <c r="E247" s="1058"/>
      <c r="F247" s="1058"/>
      <c r="G247" s="1058"/>
      <c r="H247" s="1058"/>
      <c r="I247" s="1058"/>
      <c r="J247" s="1058"/>
      <c r="K247" s="1058"/>
      <c r="L247" s="1058"/>
      <c r="M247" s="1058"/>
      <c r="N247" s="1058"/>
      <c r="O247" s="1058"/>
      <c r="P247" s="1058"/>
      <c r="Q247" s="1058"/>
      <c r="R247" s="1058"/>
      <c r="S247" s="1058"/>
      <c r="T247" s="1059"/>
    </row>
    <row r="248" spans="1:20" x14ac:dyDescent="0.2">
      <c r="A248" s="1057"/>
      <c r="B248" s="1058"/>
      <c r="C248" s="1058"/>
      <c r="D248" s="1058"/>
      <c r="E248" s="1058"/>
      <c r="F248" s="1058"/>
      <c r="G248" s="1058"/>
      <c r="H248" s="1058"/>
      <c r="I248" s="1058"/>
      <c r="J248" s="1058"/>
      <c r="K248" s="1058"/>
      <c r="L248" s="1058"/>
      <c r="M248" s="1058"/>
      <c r="N248" s="1058"/>
      <c r="O248" s="1058"/>
      <c r="P248" s="1058"/>
      <c r="Q248" s="1058"/>
      <c r="R248" s="1058"/>
      <c r="S248" s="1058"/>
      <c r="T248" s="1059"/>
    </row>
    <row r="249" spans="1:20" x14ac:dyDescent="0.2">
      <c r="A249" s="1057"/>
      <c r="B249" s="1058"/>
      <c r="C249" s="1058"/>
      <c r="D249" s="1058"/>
      <c r="E249" s="1058"/>
      <c r="F249" s="1058"/>
      <c r="G249" s="1058"/>
      <c r="H249" s="1058"/>
      <c r="I249" s="1058"/>
      <c r="J249" s="1058"/>
      <c r="K249" s="1058"/>
      <c r="L249" s="1058"/>
      <c r="M249" s="1058"/>
      <c r="N249" s="1058"/>
      <c r="O249" s="1058"/>
      <c r="P249" s="1058"/>
      <c r="Q249" s="1058"/>
      <c r="R249" s="1058"/>
      <c r="S249" s="1058"/>
      <c r="T249" s="1059"/>
    </row>
    <row r="250" spans="1:20" ht="16.5" thickBot="1" x14ac:dyDescent="0.3">
      <c r="A250" s="1060" t="s">
        <v>796</v>
      </c>
      <c r="B250" s="1058"/>
      <c r="C250" s="1058"/>
      <c r="D250" s="1058"/>
      <c r="E250" s="1058"/>
      <c r="F250" s="1058"/>
      <c r="G250" s="1058"/>
      <c r="H250" s="1058"/>
      <c r="I250" s="1058"/>
      <c r="J250" s="1058"/>
      <c r="K250" s="1058"/>
      <c r="L250" s="1058"/>
      <c r="M250" s="1058"/>
      <c r="N250" s="1058"/>
      <c r="O250" s="1058"/>
      <c r="P250" s="1058"/>
      <c r="Q250" s="1058"/>
      <c r="R250" s="1058"/>
      <c r="S250" s="1058"/>
      <c r="T250" s="1059"/>
    </row>
    <row r="251" spans="1:20" ht="13.5" thickBot="1" x14ac:dyDescent="0.25">
      <c r="A251" s="1074"/>
      <c r="B251" s="1061" t="s">
        <v>69</v>
      </c>
      <c r="C251" s="1061" t="s">
        <v>44</v>
      </c>
      <c r="D251" s="1062" t="s">
        <v>45</v>
      </c>
      <c r="E251" s="1058"/>
      <c r="F251" s="1058"/>
      <c r="G251" s="1058"/>
      <c r="H251" s="1058"/>
      <c r="I251" s="1058"/>
      <c r="J251" s="1058"/>
      <c r="K251" s="1058"/>
      <c r="L251" s="1058"/>
      <c r="M251" s="1058"/>
      <c r="N251" s="1058"/>
      <c r="O251" s="1058"/>
      <c r="P251" s="1058"/>
      <c r="Q251" s="1058"/>
      <c r="R251" s="1058"/>
      <c r="S251" s="1058"/>
      <c r="T251" s="1059"/>
    </row>
    <row r="252" spans="1:20" x14ac:dyDescent="0.2">
      <c r="A252" s="1063" t="s">
        <v>812</v>
      </c>
      <c r="B252" s="1064"/>
      <c r="C252" s="1064"/>
      <c r="D252" s="1065"/>
      <c r="E252" s="1058"/>
      <c r="F252" s="1058"/>
      <c r="G252" s="1058"/>
      <c r="H252" s="1058"/>
      <c r="I252" s="1058"/>
      <c r="J252" s="1058"/>
      <c r="K252" s="1058"/>
      <c r="L252" s="1058"/>
      <c r="M252" s="1058"/>
      <c r="N252" s="1058"/>
      <c r="O252" s="1058"/>
      <c r="P252" s="1058"/>
      <c r="Q252" s="1058"/>
      <c r="R252" s="1058"/>
      <c r="S252" s="1058"/>
      <c r="T252" s="1059"/>
    </row>
    <row r="253" spans="1:20" x14ac:dyDescent="0.2">
      <c r="A253" s="1066" t="s">
        <v>811</v>
      </c>
      <c r="B253" s="1064"/>
      <c r="C253" s="1064"/>
      <c r="D253" s="1065"/>
      <c r="E253" s="1058"/>
      <c r="F253" s="1058"/>
      <c r="G253" s="1058"/>
      <c r="H253" s="1058"/>
      <c r="I253" s="1058"/>
      <c r="J253" s="1058"/>
      <c r="K253" s="1058"/>
      <c r="L253" s="1058"/>
      <c r="M253" s="1058"/>
      <c r="N253" s="1058"/>
      <c r="O253" s="1058"/>
      <c r="P253" s="1058"/>
      <c r="Q253" s="1058"/>
      <c r="R253" s="1058"/>
      <c r="S253" s="1058"/>
      <c r="T253" s="1059"/>
    </row>
    <row r="254" spans="1:20" x14ac:dyDescent="0.2">
      <c r="A254" s="1066" t="s">
        <v>813</v>
      </c>
      <c r="B254" s="1064"/>
      <c r="C254" s="1064"/>
      <c r="D254" s="1065"/>
      <c r="E254" s="1058"/>
      <c r="F254" s="1058"/>
      <c r="G254" s="1058"/>
      <c r="H254" s="1058"/>
      <c r="I254" s="1058"/>
      <c r="J254" s="1058"/>
      <c r="K254" s="1058"/>
      <c r="L254" s="1058"/>
      <c r="M254" s="1058"/>
      <c r="N254" s="1058"/>
      <c r="O254" s="1058"/>
      <c r="P254" s="1058"/>
      <c r="Q254" s="1058"/>
      <c r="R254" s="1058"/>
      <c r="S254" s="1058"/>
      <c r="T254" s="1059"/>
    </row>
    <row r="255" spans="1:20" x14ac:dyDescent="0.2">
      <c r="A255" s="1066" t="s">
        <v>814</v>
      </c>
      <c r="B255" s="1064"/>
      <c r="C255" s="1064"/>
      <c r="D255" s="1065"/>
      <c r="E255" s="1058"/>
      <c r="F255" s="1058"/>
      <c r="G255" s="1058"/>
      <c r="H255" s="1058"/>
      <c r="I255" s="1058"/>
      <c r="J255" s="1058"/>
      <c r="K255" s="1058"/>
      <c r="L255" s="1058"/>
      <c r="M255" s="1058"/>
      <c r="N255" s="1058"/>
      <c r="O255" s="1058"/>
      <c r="P255" s="1058"/>
      <c r="Q255" s="1058"/>
      <c r="R255" s="1058"/>
      <c r="S255" s="1058"/>
      <c r="T255" s="1059"/>
    </row>
    <row r="256" spans="1:20" x14ac:dyDescent="0.2">
      <c r="A256" s="1066" t="s">
        <v>815</v>
      </c>
      <c r="B256" s="1067"/>
      <c r="C256" s="1067"/>
      <c r="D256" s="1068"/>
      <c r="E256" s="1058"/>
      <c r="F256" s="1058"/>
      <c r="G256" s="1058"/>
      <c r="H256" s="1058"/>
      <c r="I256" s="1058"/>
      <c r="J256" s="1058"/>
      <c r="K256" s="1058"/>
      <c r="L256" s="1058"/>
      <c r="M256" s="1058"/>
      <c r="N256" s="1058"/>
      <c r="O256" s="1058"/>
      <c r="P256" s="1058"/>
      <c r="Q256" s="1058"/>
      <c r="R256" s="1058"/>
      <c r="S256" s="1058"/>
      <c r="T256" s="1059"/>
    </row>
    <row r="257" spans="1:20" x14ac:dyDescent="0.2">
      <c r="A257" s="1066" t="s">
        <v>816</v>
      </c>
      <c r="B257" s="1067"/>
      <c r="C257" s="1067"/>
      <c r="D257" s="1068"/>
      <c r="E257" s="1058"/>
      <c r="F257" s="1058"/>
      <c r="G257" s="1058"/>
      <c r="H257" s="1058"/>
      <c r="I257" s="1058"/>
      <c r="J257" s="1058"/>
      <c r="K257" s="1058"/>
      <c r="L257" s="1058"/>
      <c r="M257" s="1058"/>
      <c r="N257" s="1058"/>
      <c r="O257" s="1058"/>
      <c r="P257" s="1058"/>
      <c r="Q257" s="1058"/>
      <c r="R257" s="1058"/>
      <c r="S257" s="1058"/>
      <c r="T257" s="1059"/>
    </row>
    <row r="258" spans="1:20" x14ac:dyDescent="0.2">
      <c r="A258" s="1066" t="s">
        <v>817</v>
      </c>
      <c r="B258" s="1067"/>
      <c r="C258" s="1067"/>
      <c r="D258" s="1068"/>
      <c r="E258" s="1058"/>
      <c r="F258" s="1058"/>
      <c r="G258" s="1058"/>
      <c r="H258" s="1058"/>
      <c r="I258" s="1058"/>
      <c r="J258" s="1058"/>
      <c r="K258" s="1058"/>
      <c r="L258" s="1058"/>
      <c r="M258" s="1058"/>
      <c r="N258" s="1058"/>
      <c r="O258" s="1058"/>
      <c r="P258" s="1058"/>
      <c r="Q258" s="1058"/>
      <c r="R258" s="1058"/>
      <c r="S258" s="1058"/>
      <c r="T258" s="1059"/>
    </row>
    <row r="259" spans="1:20" x14ac:dyDescent="0.2">
      <c r="A259" s="1066" t="s">
        <v>818</v>
      </c>
      <c r="B259" s="1067"/>
      <c r="C259" s="1067"/>
      <c r="D259" s="1068"/>
      <c r="E259" s="1058"/>
      <c r="F259" s="1058"/>
      <c r="G259" s="1058"/>
      <c r="H259" s="1058"/>
      <c r="I259" s="1058"/>
      <c r="J259" s="1058"/>
      <c r="K259" s="1058"/>
      <c r="L259" s="1058"/>
      <c r="M259" s="1058"/>
      <c r="N259" s="1058"/>
      <c r="O259" s="1058"/>
      <c r="P259" s="1058"/>
      <c r="Q259" s="1058"/>
      <c r="R259" s="1058"/>
      <c r="S259" s="1058"/>
      <c r="T259" s="1059"/>
    </row>
    <row r="260" spans="1:20" x14ac:dyDescent="0.2">
      <c r="A260" s="1066" t="s">
        <v>819</v>
      </c>
      <c r="B260" s="1067"/>
      <c r="C260" s="1067"/>
      <c r="D260" s="1068"/>
      <c r="E260" s="1058"/>
      <c r="F260" s="1058"/>
      <c r="G260" s="1058"/>
      <c r="H260" s="1058"/>
      <c r="I260" s="1058"/>
      <c r="J260" s="1058"/>
      <c r="K260" s="1058"/>
      <c r="L260" s="1058"/>
      <c r="M260" s="1058"/>
      <c r="N260" s="1058"/>
      <c r="O260" s="1058"/>
      <c r="P260" s="1058"/>
      <c r="Q260" s="1058"/>
      <c r="R260" s="1058"/>
      <c r="S260" s="1058"/>
      <c r="T260" s="1059"/>
    </row>
    <row r="261" spans="1:20" x14ac:dyDescent="0.2">
      <c r="A261" s="1066" t="s">
        <v>820</v>
      </c>
      <c r="B261" s="1067"/>
      <c r="C261" s="1067"/>
      <c r="D261" s="1068"/>
      <c r="E261" s="1058"/>
      <c r="F261" s="1058"/>
      <c r="G261" s="1058"/>
      <c r="H261" s="1058"/>
      <c r="I261" s="1058"/>
      <c r="J261" s="1058"/>
      <c r="K261" s="1058"/>
      <c r="L261" s="1058"/>
      <c r="M261" s="1058"/>
      <c r="N261" s="1058"/>
      <c r="O261" s="1058"/>
      <c r="P261" s="1058"/>
      <c r="Q261" s="1058"/>
      <c r="R261" s="1058"/>
      <c r="S261" s="1058"/>
      <c r="T261" s="1059"/>
    </row>
    <row r="262" spans="1:20" x14ac:dyDescent="0.2">
      <c r="A262" s="1066" t="s">
        <v>821</v>
      </c>
      <c r="B262" s="1067"/>
      <c r="C262" s="1067"/>
      <c r="D262" s="1068"/>
      <c r="E262" s="1058"/>
      <c r="F262" s="1058"/>
      <c r="G262" s="1058"/>
      <c r="H262" s="1058"/>
      <c r="I262" s="1058"/>
      <c r="J262" s="1058"/>
      <c r="K262" s="1058"/>
      <c r="L262" s="1058"/>
      <c r="M262" s="1058"/>
      <c r="N262" s="1058"/>
      <c r="O262" s="1058"/>
      <c r="P262" s="1058"/>
      <c r="Q262" s="1058"/>
      <c r="R262" s="1058"/>
      <c r="S262" s="1058"/>
      <c r="T262" s="1059"/>
    </row>
    <row r="263" spans="1:20" x14ac:dyDescent="0.2">
      <c r="A263" s="1066" t="s">
        <v>822</v>
      </c>
      <c r="B263" s="1067"/>
      <c r="C263" s="1067"/>
      <c r="D263" s="1068"/>
      <c r="E263" s="1058"/>
      <c r="F263" s="1058"/>
      <c r="G263" s="1058"/>
      <c r="H263" s="1058"/>
      <c r="I263" s="1058"/>
      <c r="J263" s="1058"/>
      <c r="K263" s="1058"/>
      <c r="L263" s="1058"/>
      <c r="M263" s="1058"/>
      <c r="N263" s="1058"/>
      <c r="O263" s="1058"/>
      <c r="P263" s="1058"/>
      <c r="Q263" s="1058"/>
      <c r="R263" s="1058"/>
      <c r="S263" s="1058"/>
      <c r="T263" s="1059"/>
    </row>
    <row r="264" spans="1:20" x14ac:dyDescent="0.2">
      <c r="A264" s="1066" t="s">
        <v>823</v>
      </c>
      <c r="B264" s="1067"/>
      <c r="C264" s="1067"/>
      <c r="D264" s="1068"/>
      <c r="E264" s="1058"/>
      <c r="F264" s="1058"/>
      <c r="G264" s="1058"/>
      <c r="H264" s="1058"/>
      <c r="I264" s="1058"/>
      <c r="J264" s="1058"/>
      <c r="K264" s="1058"/>
      <c r="L264" s="1058"/>
      <c r="M264" s="1058"/>
      <c r="N264" s="1058"/>
      <c r="O264" s="1058"/>
      <c r="P264" s="1058"/>
      <c r="Q264" s="1058"/>
      <c r="R264" s="1058"/>
      <c r="S264" s="1058"/>
      <c r="T264" s="1059"/>
    </row>
    <row r="265" spans="1:20" x14ac:dyDescent="0.2">
      <c r="A265" s="1066" t="s">
        <v>824</v>
      </c>
      <c r="B265" s="1067"/>
      <c r="C265" s="1067"/>
      <c r="D265" s="1068"/>
      <c r="E265" s="1058"/>
      <c r="F265" s="1058"/>
      <c r="G265" s="1058"/>
      <c r="H265" s="1058"/>
      <c r="I265" s="1058"/>
      <c r="J265" s="1058"/>
      <c r="K265" s="1058"/>
      <c r="L265" s="1058"/>
      <c r="M265" s="1058"/>
      <c r="N265" s="1058"/>
      <c r="O265" s="1058"/>
      <c r="P265" s="1058"/>
      <c r="Q265" s="1058"/>
      <c r="R265" s="1058"/>
      <c r="S265" s="1058"/>
      <c r="T265" s="1059"/>
    </row>
    <row r="266" spans="1:20" x14ac:dyDescent="0.2">
      <c r="A266" s="1057"/>
      <c r="B266" s="1069"/>
      <c r="C266" s="1070"/>
      <c r="D266" s="1070"/>
      <c r="E266" s="1058"/>
      <c r="F266" s="1058"/>
      <c r="G266" s="1058"/>
      <c r="H266" s="1058"/>
      <c r="I266" s="1058"/>
      <c r="J266" s="1058"/>
      <c r="K266" s="1058"/>
      <c r="L266" s="1058"/>
      <c r="M266" s="1058"/>
      <c r="N266" s="1058"/>
      <c r="O266" s="1058"/>
      <c r="P266" s="1058"/>
      <c r="Q266" s="1058"/>
      <c r="R266" s="1058"/>
      <c r="S266" s="1058"/>
      <c r="T266" s="1059"/>
    </row>
    <row r="267" spans="1:20" x14ac:dyDescent="0.2">
      <c r="A267" s="1057"/>
      <c r="B267" s="1058"/>
      <c r="C267" s="1058"/>
      <c r="D267" s="1058"/>
      <c r="E267" s="1058"/>
      <c r="F267" s="1058"/>
      <c r="G267" s="1058"/>
      <c r="H267" s="1058"/>
      <c r="I267" s="1058"/>
      <c r="J267" s="1058"/>
      <c r="K267" s="1058"/>
      <c r="L267" s="1058"/>
      <c r="M267" s="1058"/>
      <c r="N267" s="1058"/>
      <c r="O267" s="1058"/>
      <c r="P267" s="1058"/>
      <c r="Q267" s="1058"/>
      <c r="R267" s="1058"/>
      <c r="S267" s="1058"/>
      <c r="T267" s="1059"/>
    </row>
    <row r="268" spans="1:20" x14ac:dyDescent="0.2">
      <c r="A268" s="1057"/>
      <c r="B268" s="1058"/>
      <c r="C268" s="1058"/>
      <c r="D268" s="1058"/>
      <c r="E268" s="1058"/>
      <c r="F268" s="1058"/>
      <c r="G268" s="1058"/>
      <c r="H268" s="1058"/>
      <c r="I268" s="1058"/>
      <c r="J268" s="1058"/>
      <c r="K268" s="1058"/>
      <c r="L268" s="1058"/>
      <c r="M268" s="1058"/>
      <c r="N268" s="1058"/>
      <c r="O268" s="1058"/>
      <c r="P268" s="1058"/>
      <c r="Q268" s="1058"/>
      <c r="R268" s="1058"/>
      <c r="S268" s="1058"/>
      <c r="T268" s="1059"/>
    </row>
    <row r="269" spans="1:20" x14ac:dyDescent="0.2">
      <c r="A269" s="1057"/>
      <c r="B269" s="1058"/>
      <c r="C269" s="1058"/>
      <c r="D269" s="1058"/>
      <c r="E269" s="1058"/>
      <c r="F269" s="1058"/>
      <c r="G269" s="1058"/>
      <c r="H269" s="1058"/>
      <c r="I269" s="1058"/>
      <c r="J269" s="1058"/>
      <c r="K269" s="1058"/>
      <c r="L269" s="1058"/>
      <c r="M269" s="1058"/>
      <c r="N269" s="1058"/>
      <c r="O269" s="1058"/>
      <c r="P269" s="1058"/>
      <c r="Q269" s="1058"/>
      <c r="R269" s="1058"/>
      <c r="S269" s="1058"/>
      <c r="T269" s="1059"/>
    </row>
    <row r="270" spans="1:20" x14ac:dyDescent="0.2">
      <c r="A270" s="1057"/>
      <c r="B270" s="1058"/>
      <c r="C270" s="1058"/>
      <c r="D270" s="1058"/>
      <c r="E270" s="1058"/>
      <c r="F270" s="1058"/>
      <c r="G270" s="1058"/>
      <c r="H270" s="1058"/>
      <c r="I270" s="1058"/>
      <c r="J270" s="1058"/>
      <c r="K270" s="1058"/>
      <c r="L270" s="1058"/>
      <c r="M270" s="1058"/>
      <c r="N270" s="1058"/>
      <c r="O270" s="1058"/>
      <c r="P270" s="1058"/>
      <c r="Q270" s="1058"/>
      <c r="R270" s="1058"/>
      <c r="S270" s="1058"/>
      <c r="T270" s="1059"/>
    </row>
    <row r="271" spans="1:20" x14ac:dyDescent="0.2">
      <c r="A271" s="1057"/>
      <c r="B271" s="1058"/>
      <c r="C271" s="1058"/>
      <c r="D271" s="1058"/>
      <c r="E271" s="1058"/>
      <c r="F271" s="1058"/>
      <c r="G271" s="1058"/>
      <c r="H271" s="1058"/>
      <c r="I271" s="1058"/>
      <c r="J271" s="1058"/>
      <c r="K271" s="1058"/>
      <c r="L271" s="1058"/>
      <c r="M271" s="1058"/>
      <c r="N271" s="1058"/>
      <c r="O271" s="1058"/>
      <c r="P271" s="1058"/>
      <c r="Q271" s="1058"/>
      <c r="R271" s="1058"/>
      <c r="S271" s="1058"/>
      <c r="T271" s="1059"/>
    </row>
    <row r="272" spans="1:20" x14ac:dyDescent="0.2">
      <c r="A272" s="1057"/>
      <c r="B272" s="1058"/>
      <c r="C272" s="1058"/>
      <c r="D272" s="1058"/>
      <c r="E272" s="1058"/>
      <c r="F272" s="1058"/>
      <c r="G272" s="1058"/>
      <c r="H272" s="1058"/>
      <c r="I272" s="1058"/>
      <c r="J272" s="1058"/>
      <c r="K272" s="1058"/>
      <c r="L272" s="1058"/>
      <c r="M272" s="1058"/>
      <c r="N272" s="1058"/>
      <c r="O272" s="1058"/>
      <c r="P272" s="1058"/>
      <c r="Q272" s="1058"/>
      <c r="R272" s="1058"/>
      <c r="S272" s="1058"/>
      <c r="T272" s="1059"/>
    </row>
    <row r="273" spans="1:20" x14ac:dyDescent="0.2">
      <c r="A273" s="1057"/>
      <c r="B273" s="1058"/>
      <c r="C273" s="1058"/>
      <c r="D273" s="1058"/>
      <c r="E273" s="1058"/>
      <c r="F273" s="1058"/>
      <c r="G273" s="1058"/>
      <c r="H273" s="1058"/>
      <c r="I273" s="1058"/>
      <c r="J273" s="1058"/>
      <c r="K273" s="1058"/>
      <c r="L273" s="1058"/>
      <c r="M273" s="1058"/>
      <c r="N273" s="1058"/>
      <c r="O273" s="1058"/>
      <c r="P273" s="1058"/>
      <c r="Q273" s="1058"/>
      <c r="R273" s="1058"/>
      <c r="S273" s="1058"/>
      <c r="T273" s="1059"/>
    </row>
    <row r="274" spans="1:20" x14ac:dyDescent="0.2">
      <c r="A274" s="1057"/>
      <c r="B274" s="1058"/>
      <c r="C274" s="1058"/>
      <c r="D274" s="1058"/>
      <c r="E274" s="1058"/>
      <c r="F274" s="1058"/>
      <c r="G274" s="1058"/>
      <c r="H274" s="1058"/>
      <c r="I274" s="1058"/>
      <c r="J274" s="1058"/>
      <c r="K274" s="1058"/>
      <c r="L274" s="1058"/>
      <c r="M274" s="1058"/>
      <c r="N274" s="1058"/>
      <c r="O274" s="1058"/>
      <c r="P274" s="1058"/>
      <c r="Q274" s="1058"/>
      <c r="R274" s="1058"/>
      <c r="S274" s="1058"/>
      <c r="T274" s="1059"/>
    </row>
    <row r="275" spans="1:20" ht="16.5" thickBot="1" x14ac:dyDescent="0.3">
      <c r="A275" s="1060" t="s">
        <v>797</v>
      </c>
      <c r="B275" s="1058"/>
      <c r="C275" s="1058"/>
      <c r="D275" s="1058"/>
      <c r="E275" s="1058"/>
      <c r="F275" s="1058"/>
      <c r="G275" s="1058"/>
      <c r="H275" s="1058"/>
      <c r="I275" s="1058"/>
      <c r="J275" s="1058"/>
      <c r="K275" s="1058"/>
      <c r="L275" s="1058"/>
      <c r="M275" s="1058"/>
      <c r="N275" s="1058"/>
      <c r="O275" s="1058"/>
      <c r="P275" s="1058"/>
      <c r="Q275" s="1058"/>
      <c r="R275" s="1058"/>
      <c r="S275" s="1058"/>
      <c r="T275" s="1059"/>
    </row>
    <row r="276" spans="1:20" ht="13.5" thickBot="1" x14ac:dyDescent="0.25">
      <c r="A276" s="1074"/>
      <c r="B276" s="1061" t="s">
        <v>69</v>
      </c>
      <c r="C276" s="1061" t="s">
        <v>44</v>
      </c>
      <c r="D276" s="1062" t="s">
        <v>45</v>
      </c>
      <c r="E276" s="1058"/>
      <c r="F276" s="1058"/>
      <c r="G276" s="1058"/>
      <c r="H276" s="1058"/>
      <c r="I276" s="1058"/>
      <c r="J276" s="1058"/>
      <c r="K276" s="1058"/>
      <c r="L276" s="1058"/>
      <c r="M276" s="1058"/>
      <c r="N276" s="1058"/>
      <c r="O276" s="1058"/>
      <c r="P276" s="1058"/>
      <c r="Q276" s="1058"/>
      <c r="R276" s="1058"/>
      <c r="S276" s="1058"/>
      <c r="T276" s="1059"/>
    </row>
    <row r="277" spans="1:20" x14ac:dyDescent="0.2">
      <c r="A277" s="1063" t="s">
        <v>799</v>
      </c>
      <c r="B277" s="1064"/>
      <c r="C277" s="1064"/>
      <c r="D277" s="1065"/>
      <c r="E277" s="1058"/>
      <c r="F277" s="1058"/>
      <c r="G277" s="1058"/>
      <c r="H277" s="1058"/>
      <c r="I277" s="1058"/>
      <c r="J277" s="1058"/>
      <c r="K277" s="1058"/>
      <c r="L277" s="1058"/>
      <c r="M277" s="1058"/>
      <c r="N277" s="1058"/>
      <c r="O277" s="1058"/>
      <c r="P277" s="1058"/>
      <c r="Q277" s="1058"/>
      <c r="R277" s="1058"/>
      <c r="S277" s="1058"/>
      <c r="T277" s="1059"/>
    </row>
    <row r="278" spans="1:20" x14ac:dyDescent="0.2">
      <c r="A278" s="1066" t="s">
        <v>800</v>
      </c>
      <c r="B278" s="1067"/>
      <c r="C278" s="1067"/>
      <c r="D278" s="1068"/>
      <c r="E278" s="1058"/>
      <c r="F278" s="1058"/>
      <c r="G278" s="1058"/>
      <c r="H278" s="1058"/>
      <c r="I278" s="1058"/>
      <c r="J278" s="1058"/>
      <c r="K278" s="1058"/>
      <c r="L278" s="1058"/>
      <c r="M278" s="1058"/>
      <c r="N278" s="1058"/>
      <c r="O278" s="1058"/>
      <c r="P278" s="1058"/>
      <c r="Q278" s="1058"/>
      <c r="R278" s="1058"/>
      <c r="S278" s="1058"/>
      <c r="T278" s="1059"/>
    </row>
    <row r="279" spans="1:20" x14ac:dyDescent="0.2">
      <c r="A279" s="1066" t="s">
        <v>801</v>
      </c>
      <c r="B279" s="1067"/>
      <c r="C279" s="1067"/>
      <c r="D279" s="1068"/>
      <c r="E279" s="1058"/>
      <c r="F279" s="1058"/>
      <c r="G279" s="1058"/>
      <c r="H279" s="1058"/>
      <c r="I279" s="1058"/>
      <c r="J279" s="1058"/>
      <c r="K279" s="1058"/>
      <c r="L279" s="1058"/>
      <c r="M279" s="1058"/>
      <c r="N279" s="1058"/>
      <c r="O279" s="1058"/>
      <c r="P279" s="1058"/>
      <c r="Q279" s="1058"/>
      <c r="R279" s="1058"/>
      <c r="S279" s="1058"/>
      <c r="T279" s="1059"/>
    </row>
    <row r="280" spans="1:20" x14ac:dyDescent="0.2">
      <c r="A280" s="1066" t="s">
        <v>798</v>
      </c>
      <c r="B280" s="1067"/>
      <c r="C280" s="1067"/>
      <c r="D280" s="1068"/>
      <c r="E280" s="1058"/>
      <c r="F280" s="1058"/>
      <c r="G280" s="1058"/>
      <c r="H280" s="1058"/>
      <c r="I280" s="1058"/>
      <c r="J280" s="1058"/>
      <c r="K280" s="1058"/>
      <c r="L280" s="1058"/>
      <c r="M280" s="1058"/>
      <c r="N280" s="1058"/>
      <c r="O280" s="1058"/>
      <c r="P280" s="1058"/>
      <c r="Q280" s="1058"/>
      <c r="R280" s="1058"/>
      <c r="S280" s="1058"/>
      <c r="T280" s="1059"/>
    </row>
    <row r="281" spans="1:20" x14ac:dyDescent="0.2">
      <c r="A281" s="1066" t="s">
        <v>802</v>
      </c>
      <c r="B281" s="1067"/>
      <c r="C281" s="1067"/>
      <c r="D281" s="1068"/>
      <c r="E281" s="1058"/>
      <c r="F281" s="1058"/>
      <c r="G281" s="1058"/>
      <c r="H281" s="1058"/>
      <c r="I281" s="1058"/>
      <c r="J281" s="1058"/>
      <c r="K281" s="1058"/>
      <c r="L281" s="1058"/>
      <c r="M281" s="1058"/>
      <c r="N281" s="1058"/>
      <c r="O281" s="1058"/>
      <c r="P281" s="1058"/>
      <c r="Q281" s="1058"/>
      <c r="R281" s="1058"/>
      <c r="S281" s="1058"/>
      <c r="T281" s="1059"/>
    </row>
    <row r="282" spans="1:20" x14ac:dyDescent="0.2">
      <c r="A282" s="1066" t="s">
        <v>803</v>
      </c>
      <c r="B282" s="1067"/>
      <c r="C282" s="1067"/>
      <c r="D282" s="1068"/>
      <c r="E282" s="1058"/>
      <c r="F282" s="1058"/>
      <c r="G282" s="1058"/>
      <c r="H282" s="1058"/>
      <c r="I282" s="1058"/>
      <c r="J282" s="1058"/>
      <c r="K282" s="1058"/>
      <c r="L282" s="1058"/>
      <c r="M282" s="1058"/>
      <c r="N282" s="1058"/>
      <c r="O282" s="1058"/>
      <c r="P282" s="1058"/>
      <c r="Q282" s="1058"/>
      <c r="R282" s="1058"/>
      <c r="S282" s="1058"/>
      <c r="T282" s="1059"/>
    </row>
    <row r="283" spans="1:20" x14ac:dyDescent="0.2">
      <c r="A283" s="1066" t="s">
        <v>804</v>
      </c>
      <c r="B283" s="1067"/>
      <c r="C283" s="1067"/>
      <c r="D283" s="1068"/>
      <c r="E283" s="1058"/>
      <c r="F283" s="1058"/>
      <c r="G283" s="1058"/>
      <c r="H283" s="1058"/>
      <c r="I283" s="1058"/>
      <c r="J283" s="1058"/>
      <c r="K283" s="1058"/>
      <c r="L283" s="1058"/>
      <c r="M283" s="1058"/>
      <c r="N283" s="1058"/>
      <c r="O283" s="1058"/>
      <c r="P283" s="1058"/>
      <c r="Q283" s="1058"/>
      <c r="R283" s="1058"/>
      <c r="S283" s="1058"/>
      <c r="T283" s="1059"/>
    </row>
    <row r="284" spans="1:20" x14ac:dyDescent="0.2">
      <c r="A284" s="1066" t="s">
        <v>805</v>
      </c>
      <c r="B284" s="1067"/>
      <c r="C284" s="1067"/>
      <c r="D284" s="1068"/>
      <c r="E284" s="1058"/>
      <c r="F284" s="1058"/>
      <c r="G284" s="1058"/>
      <c r="H284" s="1058"/>
      <c r="I284" s="1058"/>
      <c r="J284" s="1058"/>
      <c r="K284" s="1058"/>
      <c r="L284" s="1058"/>
      <c r="M284" s="1058"/>
      <c r="N284" s="1058"/>
      <c r="O284" s="1058"/>
      <c r="P284" s="1058"/>
      <c r="Q284" s="1058"/>
      <c r="R284" s="1058"/>
      <c r="S284" s="1058"/>
      <c r="T284" s="1059"/>
    </row>
    <row r="285" spans="1:20" x14ac:dyDescent="0.2">
      <c r="A285" s="1066" t="s">
        <v>806</v>
      </c>
      <c r="B285" s="1067"/>
      <c r="C285" s="1067"/>
      <c r="D285" s="1068"/>
      <c r="E285" s="1058"/>
      <c r="F285" s="1058"/>
      <c r="G285" s="1058"/>
      <c r="H285" s="1058"/>
      <c r="I285" s="1058"/>
      <c r="J285" s="1058"/>
      <c r="K285" s="1058"/>
      <c r="L285" s="1058"/>
      <c r="M285" s="1058"/>
      <c r="N285" s="1058"/>
      <c r="O285" s="1058"/>
      <c r="P285" s="1058"/>
      <c r="Q285" s="1058"/>
      <c r="R285" s="1058"/>
      <c r="S285" s="1058"/>
      <c r="T285" s="1059"/>
    </row>
    <row r="286" spans="1:20" x14ac:dyDescent="0.2">
      <c r="A286" s="1066" t="s">
        <v>807</v>
      </c>
      <c r="B286" s="1067"/>
      <c r="C286" s="1067"/>
      <c r="D286" s="1068"/>
      <c r="E286" s="1058"/>
      <c r="F286" s="1058"/>
      <c r="G286" s="1058"/>
      <c r="H286" s="1058"/>
      <c r="I286" s="1058"/>
      <c r="J286" s="1058"/>
      <c r="K286" s="1058"/>
      <c r="L286" s="1058"/>
      <c r="M286" s="1058"/>
      <c r="N286" s="1058"/>
      <c r="O286" s="1058"/>
      <c r="P286" s="1058"/>
      <c r="Q286" s="1058"/>
      <c r="R286" s="1058"/>
      <c r="S286" s="1058"/>
      <c r="T286" s="1059"/>
    </row>
    <row r="287" spans="1:20" x14ac:dyDescent="0.2">
      <c r="A287" s="1057"/>
      <c r="B287" s="1058"/>
      <c r="C287" s="1058"/>
      <c r="D287" s="1058"/>
      <c r="E287" s="1058"/>
      <c r="F287" s="1058"/>
      <c r="G287" s="1058"/>
      <c r="H287" s="1058"/>
      <c r="I287" s="1058"/>
      <c r="J287" s="1058"/>
      <c r="K287" s="1058"/>
      <c r="L287" s="1058"/>
      <c r="M287" s="1058"/>
      <c r="N287" s="1058"/>
      <c r="O287" s="1058"/>
      <c r="P287" s="1058"/>
      <c r="Q287" s="1058"/>
      <c r="R287" s="1058"/>
      <c r="S287" s="1058"/>
      <c r="T287" s="1059"/>
    </row>
    <row r="288" spans="1:20" x14ac:dyDescent="0.2">
      <c r="A288" s="1057"/>
      <c r="B288" s="1058"/>
      <c r="C288" s="1058"/>
      <c r="D288" s="1058"/>
      <c r="E288" s="1058"/>
      <c r="F288" s="1058"/>
      <c r="G288" s="1058"/>
      <c r="H288" s="1058"/>
      <c r="I288" s="1058"/>
      <c r="J288" s="1058"/>
      <c r="K288" s="1058"/>
      <c r="L288" s="1058"/>
      <c r="M288" s="1058"/>
      <c r="N288" s="1058"/>
      <c r="O288" s="1058"/>
      <c r="P288" s="1058"/>
      <c r="Q288" s="1058"/>
      <c r="R288" s="1058"/>
      <c r="S288" s="1058"/>
      <c r="T288" s="1059"/>
    </row>
    <row r="289" spans="1:20" x14ac:dyDescent="0.2">
      <c r="A289" s="1057"/>
      <c r="B289" s="1058"/>
      <c r="C289" s="1058"/>
      <c r="D289" s="1058"/>
      <c r="E289" s="1058"/>
      <c r="F289" s="1058"/>
      <c r="G289" s="1058"/>
      <c r="H289" s="1058"/>
      <c r="I289" s="1058"/>
      <c r="J289" s="1058"/>
      <c r="K289" s="1058"/>
      <c r="L289" s="1058"/>
      <c r="M289" s="1058"/>
      <c r="N289" s="1058"/>
      <c r="O289" s="1058"/>
      <c r="P289" s="1058"/>
      <c r="Q289" s="1058"/>
      <c r="R289" s="1058"/>
      <c r="S289" s="1058"/>
      <c r="T289" s="1059"/>
    </row>
    <row r="290" spans="1:20" x14ac:dyDescent="0.2">
      <c r="A290" s="1057"/>
      <c r="B290" s="1058"/>
      <c r="C290" s="1058"/>
      <c r="D290" s="1058"/>
      <c r="E290" s="1058"/>
      <c r="F290" s="1058"/>
      <c r="G290" s="1058"/>
      <c r="H290" s="1058"/>
      <c r="I290" s="1058"/>
      <c r="J290" s="1058"/>
      <c r="K290" s="1058"/>
      <c r="L290" s="1058"/>
      <c r="M290" s="1058"/>
      <c r="N290" s="1058"/>
      <c r="O290" s="1058"/>
      <c r="P290" s="1058"/>
      <c r="Q290" s="1058"/>
      <c r="R290" s="1058"/>
      <c r="S290" s="1058"/>
      <c r="T290" s="1059"/>
    </row>
    <row r="291" spans="1:20" x14ac:dyDescent="0.2">
      <c r="A291" s="1057"/>
      <c r="B291" s="1058"/>
      <c r="C291" s="1058"/>
      <c r="D291" s="1058"/>
      <c r="E291" s="1058"/>
      <c r="F291" s="1058"/>
      <c r="G291" s="1058"/>
      <c r="H291" s="1058"/>
      <c r="I291" s="1058"/>
      <c r="J291" s="1058"/>
      <c r="K291" s="1058"/>
      <c r="L291" s="1058"/>
      <c r="M291" s="1058"/>
      <c r="N291" s="1058"/>
      <c r="O291" s="1058"/>
      <c r="P291" s="1058"/>
      <c r="Q291" s="1058"/>
      <c r="R291" s="1058"/>
      <c r="S291" s="1058"/>
      <c r="T291" s="1059"/>
    </row>
    <row r="292" spans="1:20" ht="16.5" thickBot="1" x14ac:dyDescent="0.3">
      <c r="A292" s="1060" t="s">
        <v>808</v>
      </c>
      <c r="B292" s="1058"/>
      <c r="C292" s="1058"/>
      <c r="D292" s="1058"/>
      <c r="E292" s="1058"/>
      <c r="F292" s="1058"/>
      <c r="G292" s="1058"/>
      <c r="H292" s="1058"/>
      <c r="I292" s="1058"/>
      <c r="J292" s="1058"/>
      <c r="K292" s="1058"/>
      <c r="L292" s="1058"/>
      <c r="M292" s="1058"/>
      <c r="N292" s="1058"/>
      <c r="O292" s="1058"/>
      <c r="P292" s="1058"/>
      <c r="Q292" s="1058"/>
      <c r="R292" s="1058"/>
      <c r="S292" s="1058"/>
      <c r="T292" s="1059"/>
    </row>
    <row r="293" spans="1:20" ht="13.5" thickBot="1" x14ac:dyDescent="0.25">
      <c r="A293" s="1074"/>
      <c r="B293" s="1061" t="s">
        <v>69</v>
      </c>
      <c r="C293" s="1061" t="s">
        <v>44</v>
      </c>
      <c r="D293" s="1062" t="s">
        <v>45</v>
      </c>
      <c r="E293" s="1058"/>
      <c r="F293" s="1058"/>
      <c r="G293" s="1058"/>
      <c r="H293" s="1058"/>
      <c r="I293" s="1058"/>
      <c r="J293" s="1058"/>
      <c r="K293" s="1058"/>
      <c r="L293" s="1058"/>
      <c r="M293" s="1058"/>
      <c r="N293" s="1058"/>
      <c r="O293" s="1058"/>
      <c r="P293" s="1058"/>
      <c r="Q293" s="1058"/>
      <c r="R293" s="1058"/>
      <c r="S293" s="1058"/>
      <c r="T293" s="1059"/>
    </row>
    <row r="294" spans="1:20" x14ac:dyDescent="0.2">
      <c r="A294" s="1063" t="s">
        <v>799</v>
      </c>
      <c r="B294" s="1064"/>
      <c r="C294" s="1064"/>
      <c r="D294" s="1065"/>
      <c r="E294" s="1058"/>
      <c r="F294" s="1058"/>
      <c r="G294" s="1058"/>
      <c r="H294" s="1058"/>
      <c r="I294" s="1058"/>
      <c r="J294" s="1058"/>
      <c r="K294" s="1058"/>
      <c r="L294" s="1058"/>
      <c r="M294" s="1058"/>
      <c r="N294" s="1058"/>
      <c r="O294" s="1058"/>
      <c r="P294" s="1058"/>
      <c r="Q294" s="1058"/>
      <c r="R294" s="1058"/>
      <c r="S294" s="1058"/>
      <c r="T294" s="1059"/>
    </row>
    <row r="295" spans="1:20" x14ac:dyDescent="0.2">
      <c r="A295" s="1066" t="s">
        <v>800</v>
      </c>
      <c r="B295" s="1067"/>
      <c r="C295" s="1067"/>
      <c r="D295" s="1068"/>
      <c r="E295" s="1058"/>
      <c r="F295" s="1058"/>
      <c r="G295" s="1058"/>
      <c r="H295" s="1058"/>
      <c r="I295" s="1058"/>
      <c r="J295" s="1058"/>
      <c r="K295" s="1058"/>
      <c r="L295" s="1058"/>
      <c r="M295" s="1058"/>
      <c r="N295" s="1058"/>
      <c r="O295" s="1058"/>
      <c r="P295" s="1058"/>
      <c r="Q295" s="1058"/>
      <c r="R295" s="1058"/>
      <c r="S295" s="1058"/>
      <c r="T295" s="1059"/>
    </row>
    <row r="296" spans="1:20" x14ac:dyDescent="0.2">
      <c r="A296" s="1066" t="s">
        <v>801</v>
      </c>
      <c r="B296" s="1067"/>
      <c r="C296" s="1067"/>
      <c r="D296" s="1068"/>
      <c r="E296" s="1058"/>
      <c r="F296" s="1058"/>
      <c r="G296" s="1058"/>
      <c r="H296" s="1058"/>
      <c r="I296" s="1058"/>
      <c r="J296" s="1058"/>
      <c r="K296" s="1058"/>
      <c r="L296" s="1058"/>
      <c r="M296" s="1058"/>
      <c r="N296" s="1058"/>
      <c r="O296" s="1058"/>
      <c r="P296" s="1058"/>
      <c r="Q296" s="1058"/>
      <c r="R296" s="1058"/>
      <c r="S296" s="1058"/>
      <c r="T296" s="1059"/>
    </row>
    <row r="297" spans="1:20" x14ac:dyDescent="0.2">
      <c r="A297" s="1066" t="s">
        <v>798</v>
      </c>
      <c r="B297" s="1067"/>
      <c r="C297" s="1067"/>
      <c r="D297" s="1068"/>
      <c r="E297" s="1058"/>
      <c r="F297" s="1058"/>
      <c r="G297" s="1058"/>
      <c r="H297" s="1058"/>
      <c r="I297" s="1058"/>
      <c r="J297" s="1058"/>
      <c r="K297" s="1058"/>
      <c r="L297" s="1058"/>
      <c r="M297" s="1058"/>
      <c r="N297" s="1058"/>
      <c r="O297" s="1058"/>
      <c r="P297" s="1058"/>
      <c r="Q297" s="1058"/>
      <c r="R297" s="1058"/>
      <c r="S297" s="1058"/>
      <c r="T297" s="1059"/>
    </row>
    <row r="298" spans="1:20" x14ac:dyDescent="0.2">
      <c r="A298" s="1066" t="s">
        <v>802</v>
      </c>
      <c r="B298" s="1067"/>
      <c r="C298" s="1067"/>
      <c r="D298" s="1068"/>
      <c r="E298" s="1058"/>
      <c r="F298" s="1058"/>
      <c r="G298" s="1058"/>
      <c r="H298" s="1058"/>
      <c r="I298" s="1058"/>
      <c r="J298" s="1058"/>
      <c r="K298" s="1058"/>
      <c r="L298" s="1058"/>
      <c r="M298" s="1058"/>
      <c r="N298" s="1058"/>
      <c r="O298" s="1058"/>
      <c r="P298" s="1058"/>
      <c r="Q298" s="1058"/>
      <c r="R298" s="1058"/>
      <c r="S298" s="1058"/>
      <c r="T298" s="1059"/>
    </row>
    <row r="299" spans="1:20" x14ac:dyDescent="0.2">
      <c r="A299" s="1066" t="s">
        <v>803</v>
      </c>
      <c r="B299" s="1067"/>
      <c r="C299" s="1067"/>
      <c r="D299" s="1068"/>
      <c r="E299" s="1058"/>
      <c r="F299" s="1058"/>
      <c r="G299" s="1058"/>
      <c r="H299" s="1058"/>
      <c r="I299" s="1058"/>
      <c r="J299" s="1058"/>
      <c r="K299" s="1058"/>
      <c r="L299" s="1058"/>
      <c r="M299" s="1058"/>
      <c r="N299" s="1058"/>
      <c r="O299" s="1058"/>
      <c r="P299" s="1058"/>
      <c r="Q299" s="1058"/>
      <c r="R299" s="1058"/>
      <c r="S299" s="1058"/>
      <c r="T299" s="1059"/>
    </row>
    <row r="300" spans="1:20" x14ac:dyDescent="0.2">
      <c r="A300" s="1066" t="s">
        <v>804</v>
      </c>
      <c r="B300" s="1067"/>
      <c r="C300" s="1067"/>
      <c r="D300" s="1068"/>
      <c r="E300" s="1058"/>
      <c r="F300" s="1058"/>
      <c r="G300" s="1058"/>
      <c r="H300" s="1058"/>
      <c r="I300" s="1058"/>
      <c r="J300" s="1058"/>
      <c r="K300" s="1058"/>
      <c r="L300" s="1058"/>
      <c r="M300" s="1058"/>
      <c r="N300" s="1058"/>
      <c r="O300" s="1058"/>
      <c r="P300" s="1058"/>
      <c r="Q300" s="1058"/>
      <c r="R300" s="1058"/>
      <c r="S300" s="1058"/>
      <c r="T300" s="1059"/>
    </row>
    <row r="301" spans="1:20" x14ac:dyDescent="0.2">
      <c r="A301" s="1066" t="s">
        <v>805</v>
      </c>
      <c r="B301" s="1067"/>
      <c r="C301" s="1067"/>
      <c r="D301" s="1068"/>
      <c r="E301" s="1058"/>
      <c r="F301" s="1058"/>
      <c r="G301" s="1058"/>
      <c r="H301" s="1058"/>
      <c r="I301" s="1058"/>
      <c r="J301" s="1058"/>
      <c r="K301" s="1058"/>
      <c r="L301" s="1058"/>
      <c r="M301" s="1058"/>
      <c r="N301" s="1058"/>
      <c r="O301" s="1058"/>
      <c r="P301" s="1058"/>
      <c r="Q301" s="1058"/>
      <c r="R301" s="1058"/>
      <c r="S301" s="1058"/>
      <c r="T301" s="1059"/>
    </row>
    <row r="302" spans="1:20" x14ac:dyDescent="0.2">
      <c r="A302" s="1066" t="s">
        <v>806</v>
      </c>
      <c r="B302" s="1067"/>
      <c r="C302" s="1067"/>
      <c r="D302" s="1068"/>
      <c r="E302" s="1058"/>
      <c r="F302" s="1058"/>
      <c r="G302" s="1058"/>
      <c r="H302" s="1058"/>
      <c r="I302" s="1058"/>
      <c r="J302" s="1058"/>
      <c r="K302" s="1058"/>
      <c r="L302" s="1058"/>
      <c r="M302" s="1058"/>
      <c r="N302" s="1058"/>
      <c r="O302" s="1058"/>
      <c r="P302" s="1058"/>
      <c r="Q302" s="1058"/>
      <c r="R302" s="1058"/>
      <c r="S302" s="1058"/>
      <c r="T302" s="1059"/>
    </row>
    <row r="303" spans="1:20" x14ac:dyDescent="0.2">
      <c r="A303" s="1066" t="s">
        <v>807</v>
      </c>
      <c r="B303" s="1067"/>
      <c r="C303" s="1067"/>
      <c r="D303" s="1068"/>
      <c r="E303" s="1058"/>
      <c r="F303" s="1058"/>
      <c r="G303" s="1058"/>
      <c r="H303" s="1058"/>
      <c r="I303" s="1058"/>
      <c r="J303" s="1058"/>
      <c r="K303" s="1058"/>
      <c r="L303" s="1058"/>
      <c r="M303" s="1058"/>
      <c r="N303" s="1058"/>
      <c r="O303" s="1058"/>
      <c r="P303" s="1058"/>
      <c r="Q303" s="1058"/>
      <c r="R303" s="1058"/>
      <c r="S303" s="1058"/>
      <c r="T303" s="1059"/>
    </row>
    <row r="304" spans="1:20" x14ac:dyDescent="0.2">
      <c r="A304" s="1057"/>
      <c r="B304" s="1058"/>
      <c r="C304" s="1070"/>
      <c r="D304" s="1070"/>
      <c r="E304" s="1058"/>
      <c r="F304" s="1058"/>
      <c r="G304" s="1058"/>
      <c r="H304" s="1058"/>
      <c r="I304" s="1058"/>
      <c r="J304" s="1058"/>
      <c r="K304" s="1058"/>
      <c r="L304" s="1058"/>
      <c r="M304" s="1058"/>
      <c r="N304" s="1058"/>
      <c r="O304" s="1058"/>
      <c r="P304" s="1058"/>
      <c r="Q304" s="1058"/>
      <c r="R304" s="1058"/>
      <c r="S304" s="1058"/>
      <c r="T304" s="1059"/>
    </row>
    <row r="305" spans="1:20" x14ac:dyDescent="0.2">
      <c r="A305" s="1057"/>
      <c r="B305" s="1058"/>
      <c r="C305" s="1058"/>
      <c r="D305" s="1058"/>
      <c r="E305" s="1058"/>
      <c r="F305" s="1058"/>
      <c r="G305" s="1058"/>
      <c r="H305" s="1058"/>
      <c r="I305" s="1058"/>
      <c r="J305" s="1058"/>
      <c r="K305" s="1058"/>
      <c r="L305" s="1058"/>
      <c r="M305" s="1058"/>
      <c r="N305" s="1058"/>
      <c r="O305" s="1058"/>
      <c r="P305" s="1058"/>
      <c r="Q305" s="1058"/>
      <c r="R305" s="1058"/>
      <c r="S305" s="1058"/>
      <c r="T305" s="1059"/>
    </row>
    <row r="306" spans="1:20" x14ac:dyDescent="0.2">
      <c r="A306" s="1057"/>
      <c r="B306" s="1058"/>
      <c r="C306" s="1058"/>
      <c r="D306" s="1058"/>
      <c r="E306" s="1058"/>
      <c r="F306" s="1058"/>
      <c r="G306" s="1058"/>
      <c r="H306" s="1058"/>
      <c r="I306" s="1058"/>
      <c r="J306" s="1058"/>
      <c r="K306" s="1058"/>
      <c r="L306" s="1058"/>
      <c r="M306" s="1058"/>
      <c r="N306" s="1058"/>
      <c r="O306" s="1058"/>
      <c r="P306" s="1058"/>
      <c r="Q306" s="1058"/>
      <c r="R306" s="1058"/>
      <c r="S306" s="1058"/>
      <c r="T306" s="1059"/>
    </row>
    <row r="307" spans="1:20" x14ac:dyDescent="0.2">
      <c r="A307" s="1057"/>
      <c r="B307" s="1058"/>
      <c r="C307" s="1058"/>
      <c r="D307" s="1058"/>
      <c r="E307" s="1058"/>
      <c r="F307" s="1058"/>
      <c r="G307" s="1058"/>
      <c r="H307" s="1058"/>
      <c r="I307" s="1058"/>
      <c r="J307" s="1058"/>
      <c r="K307" s="1058"/>
      <c r="L307" s="1058"/>
      <c r="M307" s="1058"/>
      <c r="N307" s="1058"/>
      <c r="O307" s="1058"/>
      <c r="P307" s="1058"/>
      <c r="Q307" s="1058"/>
      <c r="R307" s="1058"/>
      <c r="S307" s="1058"/>
      <c r="T307" s="1059"/>
    </row>
    <row r="308" spans="1:20" ht="13.5" thickBot="1" x14ac:dyDescent="0.25">
      <c r="A308" s="1071"/>
      <c r="B308" s="1072"/>
      <c r="C308" s="1072"/>
      <c r="D308" s="1072"/>
      <c r="E308" s="1072"/>
      <c r="F308" s="1072"/>
      <c r="G308" s="1072"/>
      <c r="H308" s="1072"/>
      <c r="I308" s="1072"/>
      <c r="J308" s="1072"/>
      <c r="K308" s="1072"/>
      <c r="L308" s="1072"/>
      <c r="M308" s="1072"/>
      <c r="N308" s="1072"/>
      <c r="O308" s="1072"/>
      <c r="P308" s="1072"/>
      <c r="Q308" s="1072"/>
      <c r="R308" s="1072"/>
      <c r="S308" s="1072"/>
      <c r="T308" s="1073"/>
    </row>
    <row r="309" spans="1:20" ht="13.5" thickTop="1" x14ac:dyDescent="0.2"/>
  </sheetData>
  <conditionalFormatting sqref="B41:D41 E39">
    <cfRule type="colorScale" priority="9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42:D42 E40">
    <cfRule type="colorScale" priority="9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43:D43 E41">
    <cfRule type="colorScale" priority="8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44:D44 E42">
    <cfRule type="colorScale" priority="8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45:D45 E43">
    <cfRule type="colorScale" priority="8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46:D46 E44">
    <cfRule type="colorScale" priority="8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47:D47 E45">
    <cfRule type="colorScale" priority="8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48:D48 E46">
    <cfRule type="colorScale" priority="8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49:D49 E47">
    <cfRule type="colorScale" priority="8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50:D50 E48">
    <cfRule type="colorScale" priority="8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51:D51 E49">
    <cfRule type="colorScale" priority="8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52:D52 E50">
    <cfRule type="colorScale" priority="8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53:D53 E51">
    <cfRule type="colorScale" priority="7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54:D54 E52">
    <cfRule type="colorScale" priority="7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55:D55 E53">
    <cfRule type="colorScale" priority="7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56:D56 E54">
    <cfRule type="colorScale" priority="7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57:D57 E55">
    <cfRule type="colorScale" priority="7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58:D58 E56">
    <cfRule type="colorScale" priority="7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142:D142 E138">
    <cfRule type="colorScale" priority="7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143:D143 E139">
    <cfRule type="colorScale" priority="7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144:D144 E140">
    <cfRule type="colorScale" priority="7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145:D145 E141">
    <cfRule type="colorScale" priority="7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146:D146 E142">
    <cfRule type="colorScale" priority="6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147:D147 E143">
    <cfRule type="colorScale" priority="6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148:D148 E144">
    <cfRule type="colorScale" priority="6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149:D149 E145">
    <cfRule type="colorScale" priority="6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150:D150 E146">
    <cfRule type="colorScale" priority="6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151:D151 E147">
    <cfRule type="colorScale" priority="6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152:D152 E148">
    <cfRule type="colorScale" priority="6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153:D153 E149">
    <cfRule type="colorScale" priority="6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154:D154 E150">
    <cfRule type="colorScale" priority="6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155:D155 E151">
    <cfRule type="colorScale" priority="6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229:D229">
    <cfRule type="colorScale" priority="5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231:D231">
    <cfRule type="colorScale" priority="5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232:D232">
    <cfRule type="colorScale" priority="5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233:D233">
    <cfRule type="colorScale" priority="5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234:D234">
    <cfRule type="colorScale" priority="5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235:D235">
    <cfRule type="colorScale" priority="5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236:D236">
    <cfRule type="colorScale" priority="5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237:D237">
    <cfRule type="colorScale" priority="5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238:D238">
    <cfRule type="colorScale" priority="5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239:D239">
    <cfRule type="colorScale" priority="5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240:D240">
    <cfRule type="colorScale" priority="4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241:D241">
    <cfRule type="colorScale" priority="4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242:D242">
    <cfRule type="colorScale" priority="4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252:D252">
    <cfRule type="colorScale" priority="4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256:D256">
    <cfRule type="colorScale" priority="4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257:D257">
    <cfRule type="colorScale" priority="4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258:D258">
    <cfRule type="colorScale" priority="4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259:D259">
    <cfRule type="colorScale" priority="4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260:D260">
    <cfRule type="colorScale" priority="3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261:D261">
    <cfRule type="colorScale" priority="3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262:D262">
    <cfRule type="colorScale" priority="3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263:D263">
    <cfRule type="colorScale" priority="3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264:D264">
    <cfRule type="colorScale" priority="3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265:D265">
    <cfRule type="colorScale" priority="3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230:D230">
    <cfRule type="colorScale" priority="3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277:D277">
    <cfRule type="colorScale" priority="2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280:D280">
    <cfRule type="colorScale" priority="2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281:D281">
    <cfRule type="colorScale" priority="2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282:D282">
    <cfRule type="colorScale" priority="2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283:D283">
    <cfRule type="colorScale" priority="2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284:D284">
    <cfRule type="colorScale" priority="2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285:D285">
    <cfRule type="colorScale" priority="2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286:D286">
    <cfRule type="colorScale" priority="2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278:D278">
    <cfRule type="colorScale" priority="1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279:D279">
    <cfRule type="colorScale" priority="1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294:D294">
    <cfRule type="colorScale" priority="1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297:D297">
    <cfRule type="colorScale" priority="1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298:D298">
    <cfRule type="colorScale" priority="1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299:D299">
    <cfRule type="colorScale" priority="1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300:D300">
    <cfRule type="colorScale" priority="1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301:D301">
    <cfRule type="colorScale" priority="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302:D302">
    <cfRule type="colorScale" priority="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303:D303">
    <cfRule type="colorScale" priority="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295:D295">
    <cfRule type="colorScale" priority="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296:D296">
    <cfRule type="colorScale" priority="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253:D253">
    <cfRule type="colorScale" priority="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254:D254">
    <cfRule type="colorScale" priority="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255:D255">
    <cfRule type="colorScale" priority="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313" r:id="rId3" name="Drop Down 1">
              <controlPr defaultSize="0" autoLine="0" autoPict="0">
                <anchor moveWithCells="1">
                  <from>
                    <xdr:col>6</xdr:col>
                    <xdr:colOff>0</xdr:colOff>
                    <xdr:row>36</xdr:row>
                    <xdr:rowOff>0</xdr:rowOff>
                  </from>
                  <to>
                    <xdr:col>16</xdr:col>
                    <xdr:colOff>0</xdr:colOff>
                    <xdr:row>37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4" r:id="rId4" name="Drop Down 2">
              <controlPr defaultSize="0" autoLine="0" autoPict="0">
                <anchor moveWithCells="1">
                  <from>
                    <xdr:col>6</xdr:col>
                    <xdr:colOff>0</xdr:colOff>
                    <xdr:row>135</xdr:row>
                    <xdr:rowOff>0</xdr:rowOff>
                  </from>
                  <to>
                    <xdr:col>16</xdr:col>
                    <xdr:colOff>0</xdr:colOff>
                    <xdr:row>136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rgb="FFFF6905"/>
  </sheetPr>
  <dimension ref="A1:CW104"/>
  <sheetViews>
    <sheetView workbookViewId="0">
      <selection activeCell="K26" sqref="K26"/>
    </sheetView>
  </sheetViews>
  <sheetFormatPr defaultColWidth="9" defaultRowHeight="15" x14ac:dyDescent="0.25"/>
  <cols>
    <col min="1" max="1" width="3.625" style="1087" customWidth="1"/>
    <col min="2" max="2" width="3.75" style="1087" customWidth="1"/>
    <col min="3" max="3" width="31.375" style="1087" customWidth="1"/>
    <col min="4" max="4" width="7.75" style="1087" customWidth="1"/>
    <col min="5" max="6" width="11" style="1087" customWidth="1"/>
    <col min="7" max="7" width="7.5" style="1087" customWidth="1"/>
    <col min="8" max="8" width="13.875" style="1087" customWidth="1"/>
    <col min="9" max="9" width="36.75" style="1087" customWidth="1"/>
    <col min="10" max="101" width="8.875" style="1087" customWidth="1"/>
    <col min="102" max="16384" width="9" style="1087"/>
  </cols>
  <sheetData>
    <row r="1" spans="1:101" ht="15.75" thickBot="1" x14ac:dyDescent="0.3"/>
    <row r="2" spans="1:101" ht="16.5" thickTop="1" thickBot="1" x14ac:dyDescent="0.3">
      <c r="B2" s="1182" t="s">
        <v>762</v>
      </c>
      <c r="C2" s="1183"/>
      <c r="D2" s="1183"/>
      <c r="E2" s="1183"/>
      <c r="F2" s="1184"/>
      <c r="H2" s="1188" t="s">
        <v>761</v>
      </c>
      <c r="I2" s="1189"/>
    </row>
    <row r="3" spans="1:101" ht="16.5" thickTop="1" thickBot="1" x14ac:dyDescent="0.3">
      <c r="B3" s="1182" t="s">
        <v>760</v>
      </c>
      <c r="C3" s="1183"/>
      <c r="D3" s="1183"/>
      <c r="E3" s="1183"/>
      <c r="F3" s="1184"/>
      <c r="H3" s="1190" t="s">
        <v>759</v>
      </c>
      <c r="I3" s="1191"/>
    </row>
    <row r="4" spans="1:101" ht="16.5" thickTop="1" thickBot="1" x14ac:dyDescent="0.3">
      <c r="B4" s="1185" t="s">
        <v>758</v>
      </c>
      <c r="C4" s="1186"/>
      <c r="D4" s="1186"/>
      <c r="E4" s="1186"/>
      <c r="F4" s="1187"/>
      <c r="H4" s="1185" t="s">
        <v>757</v>
      </c>
      <c r="I4" s="1187"/>
    </row>
    <row r="6" spans="1:101" x14ac:dyDescent="0.25">
      <c r="C6" s="1087" t="s">
        <v>756</v>
      </c>
      <c r="D6" s="1096" t="s">
        <v>755</v>
      </c>
    </row>
    <row r="8" spans="1:101" x14ac:dyDescent="0.25">
      <c r="A8" s="1093"/>
      <c r="B8" s="1192" t="s">
        <v>754</v>
      </c>
      <c r="C8" s="1192"/>
      <c r="D8" s="1094" t="s">
        <v>350</v>
      </c>
      <c r="E8" s="1095"/>
      <c r="F8" s="1095"/>
      <c r="G8" s="1094" t="s">
        <v>738</v>
      </c>
      <c r="H8" s="1094" t="s">
        <v>737</v>
      </c>
      <c r="I8" s="1094" t="s">
        <v>736</v>
      </c>
      <c r="J8" s="1093"/>
      <c r="K8" s="1093"/>
      <c r="L8" s="1093"/>
      <c r="M8" s="1093"/>
      <c r="N8" s="1093"/>
      <c r="O8" s="1093"/>
      <c r="P8" s="1093"/>
      <c r="Q8" s="1093"/>
      <c r="R8" s="1093"/>
      <c r="S8" s="1093"/>
      <c r="T8" s="1093"/>
      <c r="U8" s="1093"/>
      <c r="V8" s="1093"/>
      <c r="W8" s="1093"/>
      <c r="X8" s="1093"/>
      <c r="Y8" s="1093"/>
      <c r="Z8" s="1093"/>
      <c r="AA8" s="1093"/>
      <c r="AB8" s="1093"/>
      <c r="AC8" s="1093"/>
      <c r="AD8" s="1093"/>
      <c r="AE8" s="1093"/>
      <c r="AF8" s="1093"/>
      <c r="AG8" s="1093"/>
      <c r="AH8" s="1093"/>
      <c r="AI8" s="1093"/>
      <c r="AJ8" s="1093"/>
      <c r="AK8" s="1093"/>
      <c r="AL8" s="1093"/>
      <c r="AM8" s="1093"/>
      <c r="AN8" s="1093"/>
      <c r="AO8" s="1093"/>
      <c r="AP8" s="1093"/>
      <c r="AQ8" s="1093"/>
      <c r="AR8" s="1093"/>
      <c r="AS8" s="1093"/>
      <c r="AT8" s="1093"/>
      <c r="AU8" s="1093"/>
      <c r="AV8" s="1093"/>
      <c r="AW8" s="1093"/>
      <c r="AX8" s="1093"/>
      <c r="AY8" s="1093"/>
      <c r="AZ8" s="1093"/>
      <c r="BA8" s="1093"/>
      <c r="BB8" s="1093"/>
      <c r="BC8" s="1093"/>
      <c r="BD8" s="1093"/>
      <c r="BE8" s="1093"/>
      <c r="BF8" s="1093"/>
      <c r="BG8" s="1093"/>
      <c r="BH8" s="1093"/>
      <c r="BI8" s="1093"/>
      <c r="BJ8" s="1093"/>
      <c r="BK8" s="1093"/>
      <c r="BL8" s="1093"/>
      <c r="BM8" s="1093"/>
      <c r="BN8" s="1093"/>
      <c r="BO8" s="1093"/>
      <c r="BP8" s="1093"/>
      <c r="BQ8" s="1093"/>
      <c r="BR8" s="1093"/>
      <c r="BS8" s="1093"/>
      <c r="BT8" s="1093"/>
      <c r="BU8" s="1093"/>
      <c r="BV8" s="1093"/>
      <c r="BW8" s="1093"/>
      <c r="BX8" s="1093"/>
      <c r="BY8" s="1093"/>
      <c r="BZ8" s="1093"/>
      <c r="CA8" s="1093"/>
      <c r="CB8" s="1093"/>
      <c r="CC8" s="1093"/>
      <c r="CD8" s="1093"/>
      <c r="CE8" s="1093"/>
      <c r="CF8" s="1093"/>
      <c r="CG8" s="1093"/>
      <c r="CH8" s="1093"/>
      <c r="CI8" s="1093"/>
      <c r="CJ8" s="1093"/>
      <c r="CK8" s="1093"/>
      <c r="CL8" s="1093"/>
      <c r="CM8" s="1093"/>
      <c r="CN8" s="1093"/>
      <c r="CO8" s="1093"/>
      <c r="CP8" s="1093"/>
      <c r="CQ8" s="1093"/>
      <c r="CR8" s="1093"/>
      <c r="CS8" s="1093"/>
      <c r="CT8" s="1093"/>
      <c r="CU8" s="1093"/>
      <c r="CV8" s="1093"/>
      <c r="CW8" s="1093"/>
    </row>
    <row r="9" spans="1:101" x14ac:dyDescent="0.25">
      <c r="B9" s="1087" t="s">
        <v>753</v>
      </c>
      <c r="C9" s="1087" t="s">
        <v>752</v>
      </c>
      <c r="D9" s="1089">
        <f ca="1">'LCA Calculations'!F72</f>
        <v>3.6</v>
      </c>
      <c r="G9" s="1087" t="s">
        <v>561</v>
      </c>
    </row>
    <row r="10" spans="1:101" x14ac:dyDescent="0.25">
      <c r="B10" s="1087" t="s">
        <v>751</v>
      </c>
      <c r="C10" s="1087" t="s">
        <v>750</v>
      </c>
      <c r="D10" s="1089">
        <f ca="1">'LCA Calculations'!F73</f>
        <v>41.6</v>
      </c>
      <c r="G10" s="1087" t="s">
        <v>561</v>
      </c>
    </row>
    <row r="11" spans="1:101" x14ac:dyDescent="0.25">
      <c r="B11" s="1087" t="s">
        <v>749</v>
      </c>
      <c r="C11" s="1087" t="s">
        <v>748</v>
      </c>
      <c r="D11" s="1089">
        <f ca="1">'LCA Calculations'!F74</f>
        <v>97.5</v>
      </c>
      <c r="G11" s="1087" t="s">
        <v>561</v>
      </c>
    </row>
    <row r="12" spans="1:101" x14ac:dyDescent="0.25">
      <c r="B12" s="1087" t="s">
        <v>747</v>
      </c>
      <c r="C12" s="1087" t="s">
        <v>746</v>
      </c>
      <c r="D12" s="1089">
        <f ca="1">'LCA Calculations'!F75</f>
        <v>21.8</v>
      </c>
      <c r="G12" s="1087" t="s">
        <v>561</v>
      </c>
    </row>
    <row r="13" spans="1:101" x14ac:dyDescent="0.25">
      <c r="B13" s="1087" t="s">
        <v>745</v>
      </c>
      <c r="C13" s="1087" t="s">
        <v>744</v>
      </c>
      <c r="D13" s="1089">
        <f ca="1">'LCA Calculations'!F76</f>
        <v>35.1</v>
      </c>
      <c r="G13" s="1087" t="s">
        <v>561</v>
      </c>
    </row>
    <row r="14" spans="1:101" x14ac:dyDescent="0.25">
      <c r="B14" s="1087" t="s">
        <v>743</v>
      </c>
      <c r="C14" s="1087" t="s">
        <v>742</v>
      </c>
      <c r="D14" s="1089">
        <f>'ED - ES'!H3+1</f>
        <v>4</v>
      </c>
      <c r="G14" s="1087" t="s">
        <v>561</v>
      </c>
      <c r="I14" s="1087" t="s">
        <v>741</v>
      </c>
    </row>
    <row r="15" spans="1:101" x14ac:dyDescent="0.25">
      <c r="B15" s="1087" t="s">
        <v>841</v>
      </c>
      <c r="C15" s="1087" t="s">
        <v>840</v>
      </c>
      <c r="D15" s="1089">
        <f>IF('Expert Data Input'!D15="Global",0,1)</f>
        <v>0</v>
      </c>
      <c r="G15" s="1087" t="s">
        <v>561</v>
      </c>
      <c r="I15" s="1087" t="s">
        <v>809</v>
      </c>
    </row>
    <row r="16" spans="1:101" x14ac:dyDescent="0.25">
      <c r="B16" s="1181" t="s">
        <v>740</v>
      </c>
      <c r="C16" s="1181"/>
      <c r="D16" s="1090" t="s">
        <v>350</v>
      </c>
      <c r="E16" s="1092"/>
      <c r="F16" s="1092"/>
      <c r="G16" s="1090" t="s">
        <v>738</v>
      </c>
      <c r="H16" s="1090" t="s">
        <v>737</v>
      </c>
      <c r="I16" s="1090" t="s">
        <v>736</v>
      </c>
    </row>
    <row r="17" spans="2:9" x14ac:dyDescent="0.25">
      <c r="B17" s="1181" t="s">
        <v>739</v>
      </c>
      <c r="C17" s="1181"/>
      <c r="D17" s="1091" t="s">
        <v>69</v>
      </c>
      <c r="E17" s="1091" t="s">
        <v>44</v>
      </c>
      <c r="F17" s="1091" t="s">
        <v>45</v>
      </c>
      <c r="G17" s="1090" t="s">
        <v>738</v>
      </c>
      <c r="H17" s="1090" t="s">
        <v>737</v>
      </c>
      <c r="I17" s="1090" t="s">
        <v>736</v>
      </c>
    </row>
    <row r="18" spans="2:9" x14ac:dyDescent="0.25">
      <c r="B18" s="1087" t="s">
        <v>735</v>
      </c>
      <c r="C18" s="1087" t="s">
        <v>734</v>
      </c>
      <c r="D18" s="1089">
        <f ca="1">'LCA Calculations'!F3+'LCA Calculations'!F4</f>
        <v>48.143076923076933</v>
      </c>
      <c r="E18" s="1088">
        <f ca="1">'LCA Calculations'!G3+'LCA Calculations'!G4</f>
        <v>38.057019230769235</v>
      </c>
      <c r="F18" s="1088">
        <f ca="1">'LCA Calculations'!H3+'LCA Calculations'!H4</f>
        <v>449.97178846153844</v>
      </c>
      <c r="G18" s="1087" t="s">
        <v>561</v>
      </c>
    </row>
    <row r="19" spans="2:9" x14ac:dyDescent="0.25">
      <c r="B19" s="1087" t="s">
        <v>733</v>
      </c>
      <c r="C19" s="1087" t="s">
        <v>732</v>
      </c>
      <c r="D19" s="1089">
        <f ca="1">'LCA Calculations'!F5</f>
        <v>62.22</v>
      </c>
      <c r="E19" s="1088">
        <f ca="1">'LCA Calculations'!G5</f>
        <v>53.613749999999996</v>
      </c>
      <c r="F19" s="1088">
        <f ca="1">'LCA Calculations'!H5</f>
        <v>50.859749999999998</v>
      </c>
      <c r="G19" s="1087" t="s">
        <v>561</v>
      </c>
    </row>
    <row r="20" spans="2:9" x14ac:dyDescent="0.25">
      <c r="B20" s="1087" t="s">
        <v>731</v>
      </c>
      <c r="C20" s="1087" t="s">
        <v>730</v>
      </c>
      <c r="D20" s="1089">
        <f ca="1">'LCA Calculations'!F6</f>
        <v>0</v>
      </c>
      <c r="E20" s="1088">
        <f ca="1">'LCA Calculations'!G6</f>
        <v>0</v>
      </c>
      <c r="F20" s="1088">
        <f ca="1">'LCA Calculations'!H6</f>
        <v>0</v>
      </c>
      <c r="G20" s="1087" t="s">
        <v>561</v>
      </c>
    </row>
    <row r="21" spans="2:9" x14ac:dyDescent="0.25">
      <c r="B21" s="1087" t="s">
        <v>729</v>
      </c>
      <c r="C21" s="1087" t="s">
        <v>728</v>
      </c>
      <c r="D21" s="1089">
        <f ca="1">'LCA Calculations'!F7</f>
        <v>0</v>
      </c>
      <c r="E21" s="1088">
        <f ca="1">'LCA Calculations'!G7</f>
        <v>0</v>
      </c>
      <c r="F21" s="1088">
        <f ca="1">'LCA Calculations'!H7</f>
        <v>0</v>
      </c>
      <c r="G21" s="1087" t="s">
        <v>561</v>
      </c>
    </row>
    <row r="22" spans="2:9" x14ac:dyDescent="0.25">
      <c r="B22" s="1087" t="s">
        <v>727</v>
      </c>
      <c r="C22" s="1087" t="s">
        <v>726</v>
      </c>
      <c r="D22" s="1089">
        <f ca="1">'LCA Calculations'!F8</f>
        <v>0</v>
      </c>
      <c r="E22" s="1088">
        <f ca="1">'LCA Calculations'!G8</f>
        <v>0</v>
      </c>
      <c r="F22" s="1088">
        <f ca="1">'LCA Calculations'!H8</f>
        <v>0</v>
      </c>
      <c r="G22" s="1087" t="s">
        <v>561</v>
      </c>
    </row>
    <row r="23" spans="2:9" x14ac:dyDescent="0.25">
      <c r="B23" s="1087" t="s">
        <v>725</v>
      </c>
      <c r="C23" s="1087" t="s">
        <v>724</v>
      </c>
      <c r="D23" s="1089">
        <f ca="1">'LCA Calculations'!F9</f>
        <v>23.424000000000003</v>
      </c>
      <c r="E23" s="1088">
        <f ca="1">'LCA Calculations'!G9</f>
        <v>23.424000000000003</v>
      </c>
      <c r="F23" s="1088">
        <f ca="1">'LCA Calculations'!H9</f>
        <v>23.424000000000003</v>
      </c>
      <c r="G23" s="1087" t="s">
        <v>561</v>
      </c>
    </row>
    <row r="24" spans="2:9" x14ac:dyDescent="0.25">
      <c r="B24" s="1087" t="s">
        <v>723</v>
      </c>
      <c r="C24" s="1087" t="s">
        <v>722</v>
      </c>
      <c r="D24" s="1089">
        <f ca="1">'LCA Calculations'!F10</f>
        <v>0</v>
      </c>
      <c r="E24" s="1088">
        <f ca="1">'LCA Calculations'!G10</f>
        <v>0</v>
      </c>
      <c r="F24" s="1088">
        <f ca="1">'LCA Calculations'!H10</f>
        <v>0</v>
      </c>
      <c r="G24" s="1087" t="s">
        <v>561</v>
      </c>
    </row>
    <row r="25" spans="2:9" x14ac:dyDescent="0.25">
      <c r="B25" s="1087" t="s">
        <v>721</v>
      </c>
      <c r="C25" s="1087" t="s">
        <v>720</v>
      </c>
      <c r="D25" s="1089">
        <f ca="1">'LCA Calculations'!F11</f>
        <v>0</v>
      </c>
      <c r="E25" s="1088">
        <f ca="1">'LCA Calculations'!G11</f>
        <v>0</v>
      </c>
      <c r="F25" s="1088">
        <f ca="1">'LCA Calculations'!H11</f>
        <v>0</v>
      </c>
      <c r="G25" s="1087" t="s">
        <v>561</v>
      </c>
    </row>
    <row r="26" spans="2:9" x14ac:dyDescent="0.25">
      <c r="B26" s="1087" t="s">
        <v>719</v>
      </c>
      <c r="C26" s="1087" t="s">
        <v>718</v>
      </c>
      <c r="D26" s="1089">
        <f ca="1">'LCA Calculations'!F12</f>
        <v>35.136000000000003</v>
      </c>
      <c r="E26" s="1088">
        <f ca="1">'LCA Calculations'!G12</f>
        <v>35.136000000000003</v>
      </c>
      <c r="F26" s="1088">
        <f ca="1">'LCA Calculations'!H12</f>
        <v>35.136000000000003</v>
      </c>
      <c r="G26" s="1087" t="s">
        <v>561</v>
      </c>
    </row>
    <row r="27" spans="2:9" x14ac:dyDescent="0.25">
      <c r="B27" s="1087" t="s">
        <v>717</v>
      </c>
      <c r="C27" s="1087" t="s">
        <v>716</v>
      </c>
      <c r="D27" s="1089">
        <f ca="1">'LCA Calculations'!F13</f>
        <v>0</v>
      </c>
      <c r="E27" s="1088">
        <f ca="1">'LCA Calculations'!G13</f>
        <v>0</v>
      </c>
      <c r="F27" s="1088">
        <f ca="1">'LCA Calculations'!H13</f>
        <v>0</v>
      </c>
      <c r="G27" s="1087" t="s">
        <v>561</v>
      </c>
    </row>
    <row r="28" spans="2:9" x14ac:dyDescent="0.25">
      <c r="B28" s="1087" t="s">
        <v>715</v>
      </c>
      <c r="C28" s="1087" t="s">
        <v>714</v>
      </c>
      <c r="D28" s="1089">
        <f ca="1">'LCA Calculations'!F14</f>
        <v>0</v>
      </c>
      <c r="E28" s="1088">
        <f ca="1">'LCA Calculations'!G14</f>
        <v>0</v>
      </c>
      <c r="F28" s="1088">
        <f ca="1">'LCA Calculations'!H14</f>
        <v>0</v>
      </c>
      <c r="G28" s="1087" t="s">
        <v>561</v>
      </c>
    </row>
    <row r="29" spans="2:9" x14ac:dyDescent="0.25">
      <c r="B29" s="1087" t="s">
        <v>713</v>
      </c>
      <c r="C29" s="1087" t="s">
        <v>712</v>
      </c>
      <c r="D29" s="1089">
        <f ca="1">'LCA Calculations'!F15</f>
        <v>0</v>
      </c>
      <c r="E29" s="1088">
        <f ca="1">'LCA Calculations'!G15</f>
        <v>0</v>
      </c>
      <c r="F29" s="1088">
        <f ca="1">'LCA Calculations'!H15</f>
        <v>0</v>
      </c>
      <c r="G29" s="1087" t="s">
        <v>561</v>
      </c>
    </row>
    <row r="30" spans="2:9" x14ac:dyDescent="0.25">
      <c r="B30" s="1087" t="s">
        <v>711</v>
      </c>
      <c r="C30" s="1087" t="s">
        <v>710</v>
      </c>
      <c r="D30" s="1089">
        <f ca="1">'LCA Calculations'!F16</f>
        <v>35.136000000000003</v>
      </c>
      <c r="E30" s="1088">
        <f ca="1">'LCA Calculations'!G16</f>
        <v>35.136000000000003</v>
      </c>
      <c r="F30" s="1088">
        <f ca="1">'LCA Calculations'!H16</f>
        <v>35.136000000000003</v>
      </c>
      <c r="G30" s="1087" t="s">
        <v>561</v>
      </c>
    </row>
    <row r="31" spans="2:9" x14ac:dyDescent="0.25">
      <c r="B31" s="1087" t="s">
        <v>709</v>
      </c>
      <c r="C31" s="1087" t="s">
        <v>708</v>
      </c>
      <c r="D31" s="1089">
        <f ca="1">'LCA Calculations'!F17</f>
        <v>0</v>
      </c>
      <c r="E31" s="1088">
        <f ca="1">'LCA Calculations'!G17</f>
        <v>0</v>
      </c>
      <c r="F31" s="1088">
        <f ca="1">'LCA Calculations'!H17</f>
        <v>0</v>
      </c>
      <c r="G31" s="1087" t="s">
        <v>561</v>
      </c>
    </row>
    <row r="32" spans="2:9" x14ac:dyDescent="0.25">
      <c r="B32" s="1087" t="s">
        <v>707</v>
      </c>
      <c r="C32" s="1087" t="s">
        <v>706</v>
      </c>
      <c r="D32" s="1089">
        <f ca="1">'LCA Calculations'!F18</f>
        <v>0</v>
      </c>
      <c r="E32" s="1088">
        <f ca="1">'LCA Calculations'!G18</f>
        <v>0</v>
      </c>
      <c r="F32" s="1088">
        <f ca="1">'LCA Calculations'!H18</f>
        <v>0</v>
      </c>
      <c r="G32" s="1087" t="s">
        <v>561</v>
      </c>
    </row>
    <row r="33" spans="2:7" x14ac:dyDescent="0.25">
      <c r="B33" s="1087" t="s">
        <v>705</v>
      </c>
      <c r="C33" s="1087" t="s">
        <v>704</v>
      </c>
      <c r="D33" s="1089">
        <f ca="1">'LCA Calculations'!F19</f>
        <v>0</v>
      </c>
      <c r="E33" s="1088">
        <f ca="1">'LCA Calculations'!G19</f>
        <v>0</v>
      </c>
      <c r="F33" s="1088">
        <f ca="1">'LCA Calculations'!H19</f>
        <v>0</v>
      </c>
      <c r="G33" s="1087" t="s">
        <v>561</v>
      </c>
    </row>
    <row r="34" spans="2:7" x14ac:dyDescent="0.25">
      <c r="B34" s="1087" t="s">
        <v>703</v>
      </c>
      <c r="C34" s="1087" t="s">
        <v>702</v>
      </c>
      <c r="D34" s="1089">
        <f ca="1">'LCA Calculations'!F20</f>
        <v>0</v>
      </c>
      <c r="E34" s="1088">
        <f ca="1">'LCA Calculations'!G20</f>
        <v>0</v>
      </c>
      <c r="F34" s="1088">
        <f ca="1">'LCA Calculations'!H20</f>
        <v>0</v>
      </c>
      <c r="G34" s="1087" t="s">
        <v>561</v>
      </c>
    </row>
    <row r="35" spans="2:7" x14ac:dyDescent="0.25">
      <c r="B35" s="1087" t="s">
        <v>701</v>
      </c>
      <c r="C35" s="1087" t="s">
        <v>700</v>
      </c>
      <c r="D35" s="1089">
        <f ca="1">'LCA Calculations'!F21</f>
        <v>844.32872727272718</v>
      </c>
      <c r="E35" s="1088">
        <f ca="1">'LCA Calculations'!G21</f>
        <v>687.54872727272721</v>
      </c>
      <c r="F35" s="1088">
        <f ca="1">'LCA Calculations'!H21</f>
        <v>257.59876363636363</v>
      </c>
      <c r="G35" s="1087" t="s">
        <v>561</v>
      </c>
    </row>
    <row r="36" spans="2:7" x14ac:dyDescent="0.25">
      <c r="B36" s="1087" t="s">
        <v>699</v>
      </c>
      <c r="C36" s="1087" t="s">
        <v>698</v>
      </c>
      <c r="D36" s="1089">
        <f ca="1">'LCA Calculations'!F22</f>
        <v>388.09309090909096</v>
      </c>
      <c r="E36" s="1088">
        <f ca="1">'LCA Calculations'!G22</f>
        <v>363.67309090909094</v>
      </c>
      <c r="F36" s="1088">
        <f ca="1">'LCA Calculations'!H22</f>
        <v>308.78814545454549</v>
      </c>
      <c r="G36" s="1087" t="s">
        <v>561</v>
      </c>
    </row>
    <row r="37" spans="2:7" x14ac:dyDescent="0.25">
      <c r="B37" s="1087" t="s">
        <v>697</v>
      </c>
      <c r="C37" s="1087" t="s">
        <v>696</v>
      </c>
      <c r="D37" s="1089">
        <f>'LCA Calculations'!F43</f>
        <v>180</v>
      </c>
      <c r="E37" s="1088">
        <f>'LCA Calculations'!G43</f>
        <v>180</v>
      </c>
      <c r="F37" s="1088">
        <f>'LCA Calculations'!H43</f>
        <v>180</v>
      </c>
      <c r="G37" s="1087" t="s">
        <v>561</v>
      </c>
    </row>
    <row r="38" spans="2:7" x14ac:dyDescent="0.25">
      <c r="B38" s="1087" t="s">
        <v>695</v>
      </c>
      <c r="C38" s="1087" t="s">
        <v>694</v>
      </c>
      <c r="D38" s="1089">
        <f ca="1">'LCA Calculations'!F45</f>
        <v>11.4536222613504</v>
      </c>
      <c r="E38" s="1088">
        <f ca="1">'LCA Calculations'!G45</f>
        <v>11.4536222613504</v>
      </c>
      <c r="F38" s="1088">
        <f ca="1">'LCA Calculations'!H45</f>
        <v>11.4536222613504</v>
      </c>
      <c r="G38" s="1087" t="s">
        <v>561</v>
      </c>
    </row>
    <row r="39" spans="2:7" x14ac:dyDescent="0.25">
      <c r="B39" s="1087" t="s">
        <v>693</v>
      </c>
      <c r="C39" s="1087" t="s">
        <v>692</v>
      </c>
      <c r="D39" s="1089">
        <f ca="1">'LCA Calculations'!F46</f>
        <v>10.394516084659198</v>
      </c>
      <c r="E39" s="1088">
        <f ca="1">'LCA Calculations'!G46</f>
        <v>10.394516084659198</v>
      </c>
      <c r="F39" s="1088">
        <f ca="1">'LCA Calculations'!H46</f>
        <v>10.394516084659198</v>
      </c>
      <c r="G39" s="1087" t="s">
        <v>561</v>
      </c>
    </row>
    <row r="40" spans="2:7" x14ac:dyDescent="0.25">
      <c r="B40" s="1087" t="s">
        <v>691</v>
      </c>
      <c r="C40" s="1087" t="s">
        <v>690</v>
      </c>
      <c r="D40" s="1089">
        <f ca="1">'LCA Calculations'!F47</f>
        <v>15.038208000000001</v>
      </c>
      <c r="E40" s="1088">
        <f ca="1">'LCA Calculations'!G47</f>
        <v>15.038208000000001</v>
      </c>
      <c r="F40" s="1088">
        <f ca="1">'LCA Calculations'!H47</f>
        <v>15.038208000000001</v>
      </c>
      <c r="G40" s="1087" t="s">
        <v>561</v>
      </c>
    </row>
    <row r="41" spans="2:7" x14ac:dyDescent="0.25">
      <c r="B41" s="1087" t="s">
        <v>689</v>
      </c>
      <c r="C41" s="1087" t="s">
        <v>688</v>
      </c>
      <c r="D41" s="1089">
        <f ca="1">'LCA Calculations'!F48</f>
        <v>0.98380800000000013</v>
      </c>
      <c r="E41" s="1088">
        <f ca="1">'LCA Calculations'!G48</f>
        <v>0.98380800000000013</v>
      </c>
      <c r="F41" s="1088">
        <f ca="1">'LCA Calculations'!H48</f>
        <v>0.98380800000000013</v>
      </c>
      <c r="G41" s="1087" t="s">
        <v>561</v>
      </c>
    </row>
    <row r="42" spans="2:7" x14ac:dyDescent="0.25">
      <c r="B42" s="1087" t="s">
        <v>687</v>
      </c>
      <c r="C42" s="1087" t="s">
        <v>686</v>
      </c>
      <c r="D42" s="1089">
        <f ca="1">'LCA Calculations'!F49</f>
        <v>1.9650969596160004</v>
      </c>
      <c r="E42" s="1088">
        <f ca="1">'LCA Calculations'!G49</f>
        <v>1.9650969596160004</v>
      </c>
      <c r="F42" s="1088">
        <f ca="1">'LCA Calculations'!H49</f>
        <v>1.9650969596160004</v>
      </c>
      <c r="G42" s="1087" t="s">
        <v>561</v>
      </c>
    </row>
    <row r="43" spans="2:7" x14ac:dyDescent="0.25">
      <c r="B43" s="1087" t="s">
        <v>685</v>
      </c>
      <c r="C43" s="1087" t="s">
        <v>684</v>
      </c>
      <c r="D43" s="1089">
        <f ca="1">'LCA Calculations'!F50</f>
        <v>0.98380800000000013</v>
      </c>
      <c r="E43" s="1088">
        <f ca="1">'LCA Calculations'!G50</f>
        <v>0.98380800000000013</v>
      </c>
      <c r="F43" s="1088">
        <f ca="1">'LCA Calculations'!H50</f>
        <v>0.98380800000000013</v>
      </c>
      <c r="G43" s="1087" t="s">
        <v>561</v>
      </c>
    </row>
    <row r="44" spans="2:7" x14ac:dyDescent="0.25">
      <c r="B44" s="1087" t="s">
        <v>683</v>
      </c>
      <c r="C44" s="1087" t="s">
        <v>682</v>
      </c>
      <c r="D44" s="1089">
        <f ca="1">'LCA Calculations'!F51</f>
        <v>1.9650969596160004</v>
      </c>
      <c r="E44" s="1088">
        <f ca="1">'LCA Calculations'!G51</f>
        <v>1.9650969596160004</v>
      </c>
      <c r="F44" s="1088">
        <f ca="1">'LCA Calculations'!H51</f>
        <v>1.9650969596160004</v>
      </c>
      <c r="G44" s="1087" t="s">
        <v>561</v>
      </c>
    </row>
    <row r="45" spans="2:7" x14ac:dyDescent="0.25">
      <c r="B45" s="1087" t="s">
        <v>681</v>
      </c>
      <c r="C45" s="1087" t="s">
        <v>680</v>
      </c>
      <c r="D45" s="1089">
        <f ca="1">'LCA Calculations'!F52</f>
        <v>1.9650969596160004</v>
      </c>
      <c r="E45" s="1088">
        <f ca="1">'LCA Calculations'!G52</f>
        <v>1.9650969596160004</v>
      </c>
      <c r="F45" s="1088">
        <f ca="1">'LCA Calculations'!H52</f>
        <v>1.9650969596160004</v>
      </c>
      <c r="G45" s="1087" t="s">
        <v>561</v>
      </c>
    </row>
    <row r="46" spans="2:7" x14ac:dyDescent="0.25">
      <c r="B46" s="1087" t="s">
        <v>679</v>
      </c>
      <c r="C46" s="1087" t="s">
        <v>678</v>
      </c>
      <c r="D46" s="1089">
        <f ca="1">'LCA Calculations'!F53</f>
        <v>1.5853475354111999</v>
      </c>
      <c r="E46" s="1088">
        <f ca="1">'LCA Calculations'!G53</f>
        <v>1.5853475354111999</v>
      </c>
      <c r="F46" s="1088">
        <f ca="1">'LCA Calculations'!H53</f>
        <v>1.5853475354111999</v>
      </c>
      <c r="G46" s="1087" t="s">
        <v>561</v>
      </c>
    </row>
    <row r="47" spans="2:7" x14ac:dyDescent="0.25">
      <c r="B47" s="1087" t="s">
        <v>677</v>
      </c>
      <c r="C47" s="1087" t="s">
        <v>676</v>
      </c>
      <c r="D47" s="1089">
        <f ca="1">'LCA Calculations'!F54</f>
        <v>10.169559348480002</v>
      </c>
      <c r="E47" s="1088">
        <f ca="1">'LCA Calculations'!G54</f>
        <v>10.169559348480002</v>
      </c>
      <c r="F47" s="1088">
        <f ca="1">'LCA Calculations'!H54</f>
        <v>10.169559348480002</v>
      </c>
      <c r="G47" s="1087" t="s">
        <v>561</v>
      </c>
    </row>
    <row r="48" spans="2:7" x14ac:dyDescent="0.25">
      <c r="B48" s="1087" t="s">
        <v>675</v>
      </c>
      <c r="C48" s="1087" t="s">
        <v>674</v>
      </c>
      <c r="D48" s="1089">
        <f ca="1">'LCA Calculations'!F55</f>
        <v>5.4535133721600015</v>
      </c>
      <c r="E48" s="1088">
        <f ca="1">'LCA Calculations'!G55</f>
        <v>5.4535133721600015</v>
      </c>
      <c r="F48" s="1088">
        <f ca="1">'LCA Calculations'!H55</f>
        <v>5.4535133721600015</v>
      </c>
      <c r="G48" s="1087" t="s">
        <v>561</v>
      </c>
    </row>
    <row r="49" spans="2:7" x14ac:dyDescent="0.25">
      <c r="B49" s="1087" t="s">
        <v>673</v>
      </c>
      <c r="C49" s="1087" t="s">
        <v>672</v>
      </c>
      <c r="D49" s="1089">
        <f ca="1">'LCA Calculations'!F56</f>
        <v>2.5556591232000003</v>
      </c>
      <c r="E49" s="1088">
        <f ca="1">'LCA Calculations'!G56</f>
        <v>2.5556591232000003</v>
      </c>
      <c r="F49" s="1088">
        <f ca="1">'LCA Calculations'!H56</f>
        <v>2.5556591232000003</v>
      </c>
      <c r="G49" s="1087" t="s">
        <v>561</v>
      </c>
    </row>
    <row r="50" spans="2:7" x14ac:dyDescent="0.25">
      <c r="B50" s="1087" t="s">
        <v>671</v>
      </c>
      <c r="C50" s="1087" t="s">
        <v>670</v>
      </c>
      <c r="D50" s="1089">
        <f ca="1">'LCA Calculations'!F57</f>
        <v>28.047046457571842</v>
      </c>
      <c r="E50" s="1088">
        <f ca="1">'LCA Calculations'!G57</f>
        <v>28.047046457571842</v>
      </c>
      <c r="F50" s="1088">
        <f ca="1">'LCA Calculations'!H57</f>
        <v>28.047046457571842</v>
      </c>
      <c r="G50" s="1087" t="s">
        <v>561</v>
      </c>
    </row>
    <row r="51" spans="2:7" x14ac:dyDescent="0.25">
      <c r="B51" s="1087" t="s">
        <v>669</v>
      </c>
      <c r="C51" s="1087" t="s">
        <v>668</v>
      </c>
      <c r="D51" s="1089">
        <f ca="1">'LCA Calculations'!F58</f>
        <v>17.146368000000002</v>
      </c>
      <c r="E51" s="1088">
        <f ca="1">'LCA Calculations'!G58</f>
        <v>17.146368000000002</v>
      </c>
      <c r="F51" s="1088">
        <f ca="1">'LCA Calculations'!H58</f>
        <v>17.146368000000002</v>
      </c>
      <c r="G51" s="1087" t="s">
        <v>561</v>
      </c>
    </row>
    <row r="52" spans="2:7" x14ac:dyDescent="0.25">
      <c r="B52" s="1087" t="s">
        <v>667</v>
      </c>
      <c r="C52" s="1087" t="s">
        <v>666</v>
      </c>
      <c r="D52" s="1089">
        <f ca="1">'LCA Calculations'!F59</f>
        <v>16.303104000000001</v>
      </c>
      <c r="E52" s="1088">
        <f ca="1">'LCA Calculations'!G59</f>
        <v>16.303104000000001</v>
      </c>
      <c r="F52" s="1088">
        <f ca="1">'LCA Calculations'!H59</f>
        <v>16.303104000000001</v>
      </c>
      <c r="G52" s="1087" t="s">
        <v>561</v>
      </c>
    </row>
    <row r="53" spans="2:7" x14ac:dyDescent="0.25">
      <c r="B53" s="1087" t="s">
        <v>665</v>
      </c>
      <c r="C53" s="1087" t="s">
        <v>664</v>
      </c>
      <c r="D53" s="1089">
        <f ca="1">'LCA Calculations'!F60</f>
        <v>20.138851676620785</v>
      </c>
      <c r="E53" s="1088">
        <f ca="1">'LCA Calculations'!G60</f>
        <v>20.138851676620785</v>
      </c>
      <c r="F53" s="1088">
        <f ca="1">'LCA Calculations'!H60</f>
        <v>20.138851676620785</v>
      </c>
      <c r="G53" s="1087" t="s">
        <v>561</v>
      </c>
    </row>
    <row r="54" spans="2:7" x14ac:dyDescent="0.25">
      <c r="B54" s="1087" t="s">
        <v>663</v>
      </c>
      <c r="C54" s="1087" t="s">
        <v>662</v>
      </c>
      <c r="D54" s="1089">
        <f ca="1">'LCA Calculations'!F26</f>
        <v>73.2</v>
      </c>
      <c r="E54" s="1088">
        <f ca="1">'LCA Calculations'!G26</f>
        <v>63.074999999999996</v>
      </c>
      <c r="F54" s="1088">
        <f ca="1">'LCA Calculations'!H26</f>
        <v>59.835000000000001</v>
      </c>
      <c r="G54" s="1087" t="s">
        <v>561</v>
      </c>
    </row>
    <row r="55" spans="2:7" x14ac:dyDescent="0.25">
      <c r="B55" s="1087" t="s">
        <v>661</v>
      </c>
      <c r="C55" s="1087" t="s">
        <v>660</v>
      </c>
      <c r="D55" s="1089">
        <f ca="1">'LCA Calculations'!F27</f>
        <v>14.64</v>
      </c>
      <c r="E55" s="1088">
        <f ca="1">'LCA Calculations'!G27</f>
        <v>11.265000000000001</v>
      </c>
      <c r="F55" s="1088">
        <f ca="1">'LCA Calculations'!H27</f>
        <v>100.63500000000001</v>
      </c>
      <c r="G55" s="1087" t="s">
        <v>561</v>
      </c>
    </row>
    <row r="56" spans="2:7" x14ac:dyDescent="0.25">
      <c r="B56" s="1087" t="s">
        <v>659</v>
      </c>
      <c r="C56" s="1087" t="s">
        <v>658</v>
      </c>
      <c r="D56" s="1089">
        <f ca="1">'LCA Calculations'!F28</f>
        <v>22.523076923076925</v>
      </c>
      <c r="E56" s="1088">
        <f ca="1">'LCA Calculations'!G28</f>
        <v>17.330769230769231</v>
      </c>
      <c r="F56" s="1088">
        <f ca="1">'LCA Calculations'!H28</f>
        <v>340.36153846153843</v>
      </c>
      <c r="G56" s="1087" t="s">
        <v>561</v>
      </c>
    </row>
    <row r="57" spans="2:7" x14ac:dyDescent="0.25">
      <c r="B57" s="1087" t="s">
        <v>657</v>
      </c>
      <c r="C57" s="1087" t="s">
        <v>656</v>
      </c>
      <c r="D57" s="1089">
        <f ca="1">'LCA Calculations'!F29</f>
        <v>0</v>
      </c>
      <c r="E57" s="1088">
        <f ca="1">'LCA Calculations'!G29</f>
        <v>0</v>
      </c>
      <c r="F57" s="1088">
        <f ca="1">'LCA Calculations'!H29</f>
        <v>0</v>
      </c>
      <c r="G57" s="1087" t="s">
        <v>561</v>
      </c>
    </row>
    <row r="58" spans="2:7" x14ac:dyDescent="0.25">
      <c r="B58" s="1087" t="s">
        <v>655</v>
      </c>
      <c r="C58" s="1087" t="s">
        <v>654</v>
      </c>
      <c r="D58" s="1089">
        <f ca="1">'LCA Calculations'!F30</f>
        <v>23.424000000000003</v>
      </c>
      <c r="E58" s="1088">
        <f ca="1">'LCA Calculations'!G30</f>
        <v>23.424000000000003</v>
      </c>
      <c r="F58" s="1088">
        <f ca="1">'LCA Calculations'!H30</f>
        <v>23.424000000000003</v>
      </c>
      <c r="G58" s="1087" t="s">
        <v>561</v>
      </c>
    </row>
    <row r="59" spans="2:7" x14ac:dyDescent="0.25">
      <c r="B59" s="1087" t="s">
        <v>653</v>
      </c>
      <c r="C59" s="1087" t="s">
        <v>652</v>
      </c>
      <c r="D59" s="1089">
        <f ca="1">'LCA Calculations'!F31</f>
        <v>0</v>
      </c>
      <c r="E59" s="1088">
        <f ca="1">'LCA Calculations'!G31</f>
        <v>0</v>
      </c>
      <c r="F59" s="1088">
        <f ca="1">'LCA Calculations'!H31</f>
        <v>0</v>
      </c>
      <c r="G59" s="1087" t="s">
        <v>561</v>
      </c>
    </row>
    <row r="60" spans="2:7" x14ac:dyDescent="0.25">
      <c r="B60" s="1087" t="s">
        <v>651</v>
      </c>
      <c r="C60" s="1087" t="s">
        <v>650</v>
      </c>
      <c r="D60" s="1089">
        <f ca="1">'LCA Calculations'!F32</f>
        <v>35.136000000000003</v>
      </c>
      <c r="E60" s="1088">
        <f ca="1">'LCA Calculations'!G32</f>
        <v>35.136000000000003</v>
      </c>
      <c r="F60" s="1088">
        <f ca="1">'LCA Calculations'!H32</f>
        <v>35.136000000000003</v>
      </c>
      <c r="G60" s="1087" t="s">
        <v>561</v>
      </c>
    </row>
    <row r="61" spans="2:7" x14ac:dyDescent="0.25">
      <c r="B61" s="1087" t="s">
        <v>649</v>
      </c>
      <c r="C61" s="1087" t="s">
        <v>648</v>
      </c>
      <c r="D61" s="1089">
        <f ca="1">'LCA Calculations'!F33</f>
        <v>0</v>
      </c>
      <c r="E61" s="1088">
        <f ca="1">'LCA Calculations'!G33</f>
        <v>0</v>
      </c>
      <c r="F61" s="1088">
        <f ca="1">'LCA Calculations'!H33</f>
        <v>0</v>
      </c>
      <c r="G61" s="1087" t="s">
        <v>561</v>
      </c>
    </row>
    <row r="62" spans="2:7" x14ac:dyDescent="0.25">
      <c r="B62" s="1087" t="s">
        <v>647</v>
      </c>
      <c r="C62" s="1087" t="s">
        <v>646</v>
      </c>
      <c r="D62" s="1089">
        <f ca="1">'LCA Calculations'!F34</f>
        <v>0</v>
      </c>
      <c r="E62" s="1088">
        <f ca="1">'LCA Calculations'!G34</f>
        <v>0</v>
      </c>
      <c r="F62" s="1088">
        <f ca="1">'LCA Calculations'!H34</f>
        <v>0</v>
      </c>
      <c r="G62" s="1087" t="s">
        <v>561</v>
      </c>
    </row>
    <row r="63" spans="2:7" x14ac:dyDescent="0.25">
      <c r="B63" s="1087" t="s">
        <v>645</v>
      </c>
      <c r="C63" s="1087" t="s">
        <v>644</v>
      </c>
      <c r="D63" s="1089">
        <f ca="1">'LCA Calculations'!F35</f>
        <v>31.271040000000003</v>
      </c>
      <c r="E63" s="1088">
        <f ca="1">'LCA Calculations'!G35</f>
        <v>31.271040000000003</v>
      </c>
      <c r="F63" s="1088">
        <f ca="1">'LCA Calculations'!H35</f>
        <v>31.271040000000003</v>
      </c>
      <c r="G63" s="1087" t="s">
        <v>561</v>
      </c>
    </row>
    <row r="64" spans="2:7" x14ac:dyDescent="0.25">
      <c r="B64" s="1087" t="s">
        <v>643</v>
      </c>
      <c r="C64" s="1087" t="s">
        <v>642</v>
      </c>
      <c r="D64" s="1089">
        <f ca="1">'LCA Calculations'!F36</f>
        <v>3.86496</v>
      </c>
      <c r="E64" s="1088">
        <f ca="1">'LCA Calculations'!G36</f>
        <v>3.86496</v>
      </c>
      <c r="F64" s="1088">
        <f ca="1">'LCA Calculations'!H36</f>
        <v>3.86496</v>
      </c>
      <c r="G64" s="1087" t="s">
        <v>561</v>
      </c>
    </row>
    <row r="65" spans="2:7" x14ac:dyDescent="0.25">
      <c r="B65" s="1087" t="s">
        <v>641</v>
      </c>
      <c r="C65" s="1087" t="s">
        <v>640</v>
      </c>
      <c r="D65" s="1089">
        <f ca="1">'LCA Calculations'!F37</f>
        <v>0</v>
      </c>
      <c r="E65" s="1088">
        <f ca="1">'LCA Calculations'!G37</f>
        <v>0</v>
      </c>
      <c r="F65" s="1088">
        <f ca="1">'LCA Calculations'!H37</f>
        <v>0</v>
      </c>
      <c r="G65" s="1087" t="s">
        <v>561</v>
      </c>
    </row>
    <row r="66" spans="2:7" x14ac:dyDescent="0.25">
      <c r="B66" s="1087" t="s">
        <v>639</v>
      </c>
      <c r="C66" s="1087" t="s">
        <v>638</v>
      </c>
      <c r="D66" s="1089">
        <f ca="1">'LCA Calculations'!F38</f>
        <v>0</v>
      </c>
      <c r="E66" s="1088">
        <f ca="1">'LCA Calculations'!G38</f>
        <v>0</v>
      </c>
      <c r="F66" s="1088">
        <f ca="1">'LCA Calculations'!H38</f>
        <v>0</v>
      </c>
      <c r="G66" s="1087" t="s">
        <v>561</v>
      </c>
    </row>
    <row r="67" spans="2:7" x14ac:dyDescent="0.25">
      <c r="B67" s="1087" t="s">
        <v>637</v>
      </c>
      <c r="C67" s="1087" t="s">
        <v>636</v>
      </c>
      <c r="D67" s="1089">
        <f ca="1">'LCA Calculations'!F39</f>
        <v>146.4</v>
      </c>
      <c r="E67" s="1088">
        <f ca="1">'LCA Calculations'!G39</f>
        <v>146.4</v>
      </c>
      <c r="F67" s="1088">
        <f ca="1">'LCA Calculations'!H39</f>
        <v>146.4</v>
      </c>
      <c r="G67" s="1087" t="s">
        <v>561</v>
      </c>
    </row>
    <row r="68" spans="2:7" x14ac:dyDescent="0.25">
      <c r="B68" s="1087" t="s">
        <v>635</v>
      </c>
      <c r="C68" s="1087" t="s">
        <v>634</v>
      </c>
      <c r="D68" s="1089">
        <f ca="1">'LCA Calculations'!F40</f>
        <v>638.83636363636356</v>
      </c>
      <c r="E68" s="1088">
        <f ca="1">'LCA Calculations'!G40</f>
        <v>517.33636363636356</v>
      </c>
      <c r="F68" s="1088">
        <f ca="1">'LCA Calculations'!H40</f>
        <v>182.43818181818182</v>
      </c>
      <c r="G68" s="1087" t="s">
        <v>561</v>
      </c>
    </row>
    <row r="69" spans="2:7" x14ac:dyDescent="0.25">
      <c r="B69" s="1087" t="s">
        <v>633</v>
      </c>
      <c r="C69" s="1087" t="s">
        <v>632</v>
      </c>
      <c r="D69" s="1089">
        <f ca="1">'LCA Calculations'!F41</f>
        <v>212.94545454545454</v>
      </c>
      <c r="E69" s="1088">
        <f ca="1">'LCA Calculations'!G41</f>
        <v>172.44545454545454</v>
      </c>
      <c r="F69" s="1088">
        <f ca="1">'LCA Calculations'!H41</f>
        <v>60.812727272727273</v>
      </c>
      <c r="G69" s="1087" t="s">
        <v>561</v>
      </c>
    </row>
    <row r="70" spans="2:7" x14ac:dyDescent="0.25">
      <c r="B70" s="1087" t="s">
        <v>631</v>
      </c>
      <c r="C70" s="1087" t="s">
        <v>630</v>
      </c>
      <c r="D70" s="1089">
        <f ca="1">'LCA Calculations'!F42</f>
        <v>234.24</v>
      </c>
      <c r="E70" s="1088">
        <f ca="1">'LCA Calculations'!G42</f>
        <v>215.04</v>
      </c>
      <c r="F70" s="1088">
        <f ca="1">'LCA Calculations'!H42</f>
        <v>176.73600000000002</v>
      </c>
      <c r="G70" s="1087" t="s">
        <v>561</v>
      </c>
    </row>
    <row r="71" spans="2:7" x14ac:dyDescent="0.25">
      <c r="B71" s="1087" t="s">
        <v>629</v>
      </c>
      <c r="C71" s="1087" t="s">
        <v>628</v>
      </c>
      <c r="D71" s="1089">
        <f ca="1">'LCA Calculations'!F62</f>
        <v>3.0188476037623539</v>
      </c>
      <c r="E71" s="1088">
        <f ca="1">'LCA Calculations'!G62</f>
        <v>3.0188476037623539</v>
      </c>
      <c r="F71" s="1088">
        <f ca="1">'LCA Calculations'!H62</f>
        <v>3.0188476037623539</v>
      </c>
      <c r="G71" s="1087" t="s">
        <v>561</v>
      </c>
    </row>
    <row r="72" spans="2:7" x14ac:dyDescent="0.25">
      <c r="B72" s="1087" t="s">
        <v>627</v>
      </c>
      <c r="C72" s="1087" t="s">
        <v>626</v>
      </c>
      <c r="D72" s="1089">
        <f ca="1">'LCA Calculations'!F63</f>
        <v>3.6505022969972902</v>
      </c>
      <c r="E72" s="1088">
        <f ca="1">'LCA Calculations'!G63</f>
        <v>3.6505022969972902</v>
      </c>
      <c r="F72" s="1088">
        <f ca="1">'LCA Calculations'!H63</f>
        <v>3.6505022969972902</v>
      </c>
      <c r="G72" s="1087" t="s">
        <v>561</v>
      </c>
    </row>
    <row r="73" spans="2:7" x14ac:dyDescent="0.25">
      <c r="B73" s="1087" t="s">
        <v>625</v>
      </c>
      <c r="C73" s="1087" t="s">
        <v>624</v>
      </c>
      <c r="D73" s="1089">
        <f ca="1">'LCA Calculations'!F64</f>
        <v>18.406449913580712</v>
      </c>
      <c r="E73" s="1088">
        <f ca="1">'LCA Calculations'!G64</f>
        <v>18.406449913580712</v>
      </c>
      <c r="F73" s="1088">
        <f ca="1">'LCA Calculations'!H64</f>
        <v>18.406449913580712</v>
      </c>
      <c r="G73" s="1087" t="s">
        <v>561</v>
      </c>
    </row>
    <row r="74" spans="2:7" x14ac:dyDescent="0.25">
      <c r="B74" s="1087" t="s">
        <v>623</v>
      </c>
      <c r="C74" s="1087" t="s">
        <v>622</v>
      </c>
      <c r="D74" s="1089">
        <f ca="1">'LCA Calculations'!F65</f>
        <v>8.4240112258356934</v>
      </c>
      <c r="E74" s="1088">
        <f ca="1">'LCA Calculations'!G65</f>
        <v>8.4240112258356934</v>
      </c>
      <c r="F74" s="1088">
        <f ca="1">'LCA Calculations'!H65</f>
        <v>8.4240112258356934</v>
      </c>
      <c r="G74" s="1087" t="s">
        <v>561</v>
      </c>
    </row>
    <row r="75" spans="2:7" x14ac:dyDescent="0.25">
      <c r="B75" s="1087" t="s">
        <v>621</v>
      </c>
      <c r="C75" s="1087" t="s">
        <v>620</v>
      </c>
      <c r="D75" s="1089">
        <f ca="1">'LCA Calculations'!F66</f>
        <v>0.50260538871701854</v>
      </c>
      <c r="E75" s="1088">
        <f ca="1">'LCA Calculations'!G66</f>
        <v>0.50260538871701854</v>
      </c>
      <c r="F75" s="1088">
        <f ca="1">'LCA Calculations'!H66</f>
        <v>0.50260538871701854</v>
      </c>
      <c r="G75" s="1087" t="s">
        <v>561</v>
      </c>
    </row>
    <row r="76" spans="2:7" x14ac:dyDescent="0.25">
      <c r="B76" s="1087" t="s">
        <v>619</v>
      </c>
      <c r="C76" s="1087" t="s">
        <v>618</v>
      </c>
      <c r="D76" s="1089">
        <f ca="1">'LCA Calculations'!F67</f>
        <v>10.306114219699532</v>
      </c>
      <c r="E76" s="1088">
        <f ca="1">'LCA Calculations'!G67</f>
        <v>10.306114219699532</v>
      </c>
      <c r="F76" s="1088">
        <f ca="1">'LCA Calculations'!H67</f>
        <v>10.306114219699532</v>
      </c>
      <c r="G76" s="1087" t="s">
        <v>561</v>
      </c>
    </row>
    <row r="77" spans="2:7" x14ac:dyDescent="0.25">
      <c r="B77" s="1087" t="s">
        <v>617</v>
      </c>
      <c r="C77" s="1087" t="s">
        <v>616</v>
      </c>
      <c r="D77" s="1089">
        <f ca="1">'LCA Calculations'!F68</f>
        <v>4.0819332674807587</v>
      </c>
      <c r="E77" s="1088">
        <f ca="1">'LCA Calculations'!G68</f>
        <v>4.0819332674807587</v>
      </c>
      <c r="F77" s="1088">
        <f ca="1">'LCA Calculations'!H68</f>
        <v>4.0819332674807587</v>
      </c>
      <c r="G77" s="1087" t="s">
        <v>561</v>
      </c>
    </row>
    <row r="78" spans="2:7" x14ac:dyDescent="0.25">
      <c r="B78" s="1087" t="s">
        <v>615</v>
      </c>
      <c r="C78" s="1087" t="s">
        <v>614</v>
      </c>
      <c r="D78" s="1089">
        <f ca="1">'LCA Calculations'!F69</f>
        <v>39.381477892657358</v>
      </c>
      <c r="E78" s="1088">
        <f ca="1">'LCA Calculations'!G69</f>
        <v>39.381477892657358</v>
      </c>
      <c r="F78" s="1088">
        <f ca="1">'LCA Calculations'!H69</f>
        <v>39.381477892657358</v>
      </c>
      <c r="G78" s="1087" t="s">
        <v>561</v>
      </c>
    </row>
    <row r="79" spans="2:7" x14ac:dyDescent="0.25">
      <c r="B79" s="1087" t="s">
        <v>613</v>
      </c>
      <c r="C79" s="1087" t="s">
        <v>612</v>
      </c>
      <c r="D79" s="1089">
        <f ca="1">'LCA Calculations'!F70</f>
        <v>5.9093766465204745</v>
      </c>
      <c r="E79" s="1088">
        <f ca="1">'LCA Calculations'!G70</f>
        <v>5.9093766465204745</v>
      </c>
      <c r="F79" s="1088">
        <f ca="1">'LCA Calculations'!H70</f>
        <v>5.9093766465204745</v>
      </c>
      <c r="G79" s="1087" t="s">
        <v>561</v>
      </c>
    </row>
    <row r="80" spans="2:7" x14ac:dyDescent="0.25">
      <c r="B80" s="1087" t="s">
        <v>611</v>
      </c>
      <c r="C80" s="1087" t="s">
        <v>610</v>
      </c>
      <c r="D80" s="1089">
        <f ca="1">'LCA Calculations'!F86</f>
        <v>-32.989299940925676</v>
      </c>
      <c r="E80" s="1088">
        <f ca="1">'LCA Calculations'!G86</f>
        <v>-29.457398995379716</v>
      </c>
      <c r="F80" s="1088">
        <f ca="1">'LCA Calculations'!H86</f>
        <v>113.39453448628313</v>
      </c>
      <c r="G80" s="1087" t="s">
        <v>561</v>
      </c>
    </row>
    <row r="81" spans="2:9" x14ac:dyDescent="0.25">
      <c r="B81" s="1087" t="s">
        <v>609</v>
      </c>
      <c r="C81" s="1087" t="s">
        <v>608</v>
      </c>
      <c r="D81" s="1089">
        <v>0</v>
      </c>
      <c r="E81" s="1088">
        <v>0</v>
      </c>
      <c r="F81" s="1088">
        <v>0</v>
      </c>
      <c r="G81" s="1087" t="s">
        <v>561</v>
      </c>
    </row>
    <row r="82" spans="2:9" x14ac:dyDescent="0.25">
      <c r="B82" s="1087" t="s">
        <v>607</v>
      </c>
      <c r="C82" s="1087" t="s">
        <v>606</v>
      </c>
      <c r="D82" s="1089">
        <v>0</v>
      </c>
      <c r="E82" s="1088">
        <v>0</v>
      </c>
      <c r="F82" s="1088">
        <v>0</v>
      </c>
      <c r="G82" s="1087" t="s">
        <v>561</v>
      </c>
    </row>
    <row r="83" spans="2:9" x14ac:dyDescent="0.25">
      <c r="B83" s="1087" t="s">
        <v>605</v>
      </c>
      <c r="C83" s="1087" t="s">
        <v>604</v>
      </c>
      <c r="D83" s="1089">
        <f ca="1">'LCA Calculations'!F87</f>
        <v>0</v>
      </c>
      <c r="E83" s="1088">
        <f ca="1">'LCA Calculations'!G87</f>
        <v>0</v>
      </c>
      <c r="F83" s="1088">
        <f ca="1">'LCA Calculations'!H87</f>
        <v>0</v>
      </c>
      <c r="G83" s="1087" t="s">
        <v>561</v>
      </c>
    </row>
    <row r="84" spans="2:9" x14ac:dyDescent="0.25">
      <c r="B84" s="1087" t="s">
        <v>603</v>
      </c>
      <c r="C84" s="1087" t="s">
        <v>602</v>
      </c>
      <c r="D84" s="1089">
        <f ca="1">'LCA Calculations'!F88</f>
        <v>-36.28242698590995</v>
      </c>
      <c r="E84" s="1088">
        <f ca="1">'LCA Calculations'!G88</f>
        <v>-68.529012098587145</v>
      </c>
      <c r="F84" s="1088">
        <f ca="1">'LCA Calculations'!H88</f>
        <v>-166.7678342713088</v>
      </c>
      <c r="G84" s="1087" t="s">
        <v>561</v>
      </c>
    </row>
    <row r="85" spans="2:9" x14ac:dyDescent="0.25">
      <c r="B85" s="1087" t="s">
        <v>601</v>
      </c>
      <c r="C85" s="1087" t="s">
        <v>600</v>
      </c>
      <c r="D85" s="1089">
        <f>'LCA Calculations'!F90</f>
        <v>0</v>
      </c>
      <c r="E85" s="1088">
        <f>'LCA Calculations'!G90</f>
        <v>0</v>
      </c>
      <c r="F85" s="1088">
        <f>'LCA Calculations'!H90</f>
        <v>0</v>
      </c>
      <c r="G85" s="1087" t="s">
        <v>561</v>
      </c>
      <c r="I85" s="1087" t="s">
        <v>342</v>
      </c>
    </row>
    <row r="86" spans="2:9" x14ac:dyDescent="0.25">
      <c r="B86" s="1087" t="s">
        <v>599</v>
      </c>
      <c r="C86" s="1087" t="s">
        <v>598</v>
      </c>
      <c r="D86" s="1089">
        <f ca="1">'LCA Calculations'!F91</f>
        <v>0</v>
      </c>
      <c r="E86" s="1088">
        <f ca="1">'LCA Calculations'!G91</f>
        <v>0</v>
      </c>
      <c r="F86" s="1088">
        <f ca="1">'LCA Calculations'!H91</f>
        <v>0</v>
      </c>
      <c r="G86" s="1087" t="s">
        <v>561</v>
      </c>
      <c r="I86" s="1087" t="s">
        <v>342</v>
      </c>
    </row>
    <row r="87" spans="2:9" x14ac:dyDescent="0.25">
      <c r="B87" s="1087" t="s">
        <v>597</v>
      </c>
      <c r="C87" s="1087" t="s">
        <v>596</v>
      </c>
      <c r="D87" s="1089">
        <f ca="1">'LCA Calculations'!F92</f>
        <v>0</v>
      </c>
      <c r="E87" s="1088">
        <f ca="1">'LCA Calculations'!G92</f>
        <v>0</v>
      </c>
      <c r="F87" s="1088">
        <f ca="1">'LCA Calculations'!H92</f>
        <v>0</v>
      </c>
      <c r="G87" s="1087" t="s">
        <v>561</v>
      </c>
      <c r="I87" s="1087" t="s">
        <v>342</v>
      </c>
    </row>
    <row r="88" spans="2:9" x14ac:dyDescent="0.25">
      <c r="B88" s="1087" t="s">
        <v>595</v>
      </c>
      <c r="C88" s="1087" t="s">
        <v>594</v>
      </c>
      <c r="D88" s="1089">
        <f ca="1">'LCA Calculations'!F93</f>
        <v>0</v>
      </c>
      <c r="E88" s="1088">
        <f ca="1">'LCA Calculations'!G93</f>
        <v>0</v>
      </c>
      <c r="F88" s="1088">
        <f ca="1">'LCA Calculations'!H93</f>
        <v>0</v>
      </c>
      <c r="G88" s="1087" t="s">
        <v>561</v>
      </c>
      <c r="I88" s="1087" t="s">
        <v>342</v>
      </c>
    </row>
    <row r="89" spans="2:9" x14ac:dyDescent="0.25">
      <c r="B89" s="1087" t="s">
        <v>593</v>
      </c>
      <c r="C89" s="1087" t="s">
        <v>592</v>
      </c>
      <c r="D89" s="1089">
        <f>'LCA Calculations'!F94</f>
        <v>0</v>
      </c>
      <c r="E89" s="1088">
        <f>'LCA Calculations'!G94</f>
        <v>0</v>
      </c>
      <c r="F89" s="1088">
        <f>'LCA Calculations'!H94</f>
        <v>0</v>
      </c>
      <c r="G89" s="1087" t="s">
        <v>561</v>
      </c>
      <c r="I89" s="1087" t="s">
        <v>342</v>
      </c>
    </row>
    <row r="90" spans="2:9" x14ac:dyDescent="0.25">
      <c r="B90" s="1087" t="s">
        <v>591</v>
      </c>
      <c r="C90" s="1087" t="s">
        <v>590</v>
      </c>
      <c r="D90" s="1089">
        <f>'LCA Calculations'!F95</f>
        <v>0</v>
      </c>
      <c r="E90" s="1088">
        <f>'LCA Calculations'!G95</f>
        <v>0</v>
      </c>
      <c r="F90" s="1088">
        <f>'LCA Calculations'!H95</f>
        <v>0</v>
      </c>
      <c r="G90" s="1087" t="s">
        <v>561</v>
      </c>
      <c r="I90" s="1087" t="s">
        <v>342</v>
      </c>
    </row>
    <row r="91" spans="2:9" x14ac:dyDescent="0.25">
      <c r="B91" s="1087" t="s">
        <v>589</v>
      </c>
      <c r="C91" s="1087" t="s">
        <v>588</v>
      </c>
      <c r="D91" s="1089">
        <f ca="1">'LCA Calculations'!F96</f>
        <v>335197.36028376821</v>
      </c>
      <c r="E91" s="1088">
        <f ca="1">'LCA Calculations'!G96</f>
        <v>317019.42160106008</v>
      </c>
      <c r="F91" s="1088">
        <f ca="1">'LCA Calculations'!H96</f>
        <v>311202.48122259352</v>
      </c>
      <c r="G91" s="1087" t="s">
        <v>561</v>
      </c>
      <c r="I91" s="1087" t="s">
        <v>342</v>
      </c>
    </row>
    <row r="92" spans="2:9" x14ac:dyDescent="0.25">
      <c r="B92" s="1087" t="s">
        <v>587</v>
      </c>
      <c r="C92" s="1087" t="s">
        <v>586</v>
      </c>
      <c r="D92" s="1089">
        <f ca="1">'LCA Calculations'!F97</f>
        <v>0</v>
      </c>
      <c r="E92" s="1088">
        <f ca="1">'LCA Calculations'!G97</f>
        <v>0</v>
      </c>
      <c r="F92" s="1088">
        <f ca="1">'LCA Calculations'!H97</f>
        <v>0</v>
      </c>
      <c r="G92" s="1087" t="s">
        <v>561</v>
      </c>
      <c r="I92" s="1087" t="s">
        <v>342</v>
      </c>
    </row>
    <row r="93" spans="2:9" x14ac:dyDescent="0.25">
      <c r="B93" s="1087" t="s">
        <v>585</v>
      </c>
      <c r="C93" s="1087" t="s">
        <v>584</v>
      </c>
      <c r="D93" s="1089">
        <f ca="1">'LCA Calculations'!F98</f>
        <v>0</v>
      </c>
      <c r="E93" s="1088">
        <f ca="1">'LCA Calculations'!G98</f>
        <v>0</v>
      </c>
      <c r="F93" s="1088">
        <f ca="1">'LCA Calculations'!H98</f>
        <v>0</v>
      </c>
      <c r="G93" s="1087" t="s">
        <v>561</v>
      </c>
      <c r="I93" s="1087" t="s">
        <v>343</v>
      </c>
    </row>
    <row r="94" spans="2:9" x14ac:dyDescent="0.25">
      <c r="B94" s="1087" t="s">
        <v>583</v>
      </c>
      <c r="C94" s="1087" t="s">
        <v>582</v>
      </c>
      <c r="D94" s="1089">
        <f>'LCA Calculations'!F99</f>
        <v>0</v>
      </c>
      <c r="E94" s="1088">
        <f>'LCA Calculations'!G99</f>
        <v>0</v>
      </c>
      <c r="F94" s="1088">
        <f>'LCA Calculations'!H99</f>
        <v>0</v>
      </c>
      <c r="G94" s="1087" t="s">
        <v>561</v>
      </c>
      <c r="I94" s="1087" t="s">
        <v>344</v>
      </c>
    </row>
    <row r="95" spans="2:9" x14ac:dyDescent="0.25">
      <c r="B95" s="1087" t="s">
        <v>581</v>
      </c>
      <c r="C95" s="1087" t="s">
        <v>580</v>
      </c>
      <c r="D95" s="1089">
        <f>'LCA Calculations'!F100</f>
        <v>0</v>
      </c>
      <c r="E95" s="1088">
        <f>'LCA Calculations'!G100</f>
        <v>0</v>
      </c>
      <c r="F95" s="1088">
        <f>'LCA Calculations'!H100</f>
        <v>0</v>
      </c>
      <c r="G95" s="1087" t="s">
        <v>561</v>
      </c>
      <c r="I95" s="1087" t="s">
        <v>345</v>
      </c>
    </row>
    <row r="96" spans="2:9" x14ac:dyDescent="0.25">
      <c r="B96" s="1087" t="s">
        <v>579</v>
      </c>
      <c r="C96" s="1087" t="s">
        <v>578</v>
      </c>
      <c r="D96" s="1089">
        <f>'LCA Calculations'!F101</f>
        <v>0</v>
      </c>
      <c r="E96" s="1088">
        <f>'LCA Calculations'!G101</f>
        <v>0</v>
      </c>
      <c r="F96" s="1088">
        <f>'LCA Calculations'!H101</f>
        <v>0</v>
      </c>
      <c r="G96" s="1087" t="s">
        <v>561</v>
      </c>
      <c r="I96" s="1087" t="s">
        <v>346</v>
      </c>
    </row>
    <row r="97" spans="2:9" x14ac:dyDescent="0.25">
      <c r="B97" s="1087" t="s">
        <v>577</v>
      </c>
      <c r="C97" s="1087" t="s">
        <v>576</v>
      </c>
      <c r="D97" s="1089">
        <f>'LCA Calculations'!F102</f>
        <v>0</v>
      </c>
      <c r="E97" s="1088">
        <f>'LCA Calculations'!G102</f>
        <v>0</v>
      </c>
      <c r="F97" s="1088">
        <f>'LCA Calculations'!H102</f>
        <v>0</v>
      </c>
      <c r="G97" s="1087" t="s">
        <v>561</v>
      </c>
      <c r="I97" s="1087" t="s">
        <v>347</v>
      </c>
    </row>
    <row r="98" spans="2:9" x14ac:dyDescent="0.25">
      <c r="B98" s="1087" t="s">
        <v>575</v>
      </c>
      <c r="C98" s="1087" t="s">
        <v>574</v>
      </c>
      <c r="D98" s="1089">
        <f>'LCA Calculations'!F103</f>
        <v>0</v>
      </c>
      <c r="E98" s="1088">
        <f>'LCA Calculations'!G103</f>
        <v>0</v>
      </c>
      <c r="F98" s="1088">
        <f>'LCA Calculations'!H103</f>
        <v>0</v>
      </c>
      <c r="G98" s="1087" t="s">
        <v>561</v>
      </c>
      <c r="I98" s="1087" t="s">
        <v>348</v>
      </c>
    </row>
    <row r="99" spans="2:9" x14ac:dyDescent="0.25">
      <c r="B99" s="1087" t="s">
        <v>573</v>
      </c>
      <c r="C99" s="1087" t="s">
        <v>572</v>
      </c>
      <c r="D99" s="1089">
        <f>'LCA Calculations'!F104</f>
        <v>0</v>
      </c>
      <c r="E99" s="1088">
        <f>'LCA Calculations'!G104</f>
        <v>0</v>
      </c>
      <c r="F99" s="1088">
        <f>'LCA Calculations'!H104</f>
        <v>0</v>
      </c>
      <c r="G99" s="1087" t="s">
        <v>561</v>
      </c>
      <c r="I99" s="1087" t="s">
        <v>349</v>
      </c>
    </row>
    <row r="100" spans="2:9" x14ac:dyDescent="0.25">
      <c r="B100" s="1087" t="s">
        <v>571</v>
      </c>
      <c r="C100" s="1087" t="s">
        <v>570</v>
      </c>
      <c r="D100" s="1089">
        <f ca="1">'LCA Calculations'!F111</f>
        <v>58.48040037169492</v>
      </c>
      <c r="E100" s="1088">
        <f ca="1">'LCA Calculations'!G111</f>
        <v>48.845367503072033</v>
      </c>
      <c r="F100" s="1088">
        <f ca="1">'LCA Calculations'!H111</f>
        <v>218.73400222910146</v>
      </c>
      <c r="G100" s="1087" t="s">
        <v>561</v>
      </c>
    </row>
    <row r="101" spans="2:9" x14ac:dyDescent="0.25">
      <c r="B101" s="1087" t="s">
        <v>569</v>
      </c>
      <c r="C101" s="1087" t="s">
        <v>568</v>
      </c>
      <c r="D101" s="1089">
        <f ca="1">'LCA Calculations'!F113</f>
        <v>0</v>
      </c>
      <c r="E101" s="1088">
        <f ca="1">'LCA Calculations'!G113</f>
        <v>0</v>
      </c>
      <c r="F101" s="1088">
        <f ca="1">'LCA Calculations'!H113</f>
        <v>0</v>
      </c>
      <c r="G101" s="1087" t="s">
        <v>561</v>
      </c>
    </row>
    <row r="102" spans="2:9" x14ac:dyDescent="0.25">
      <c r="B102" s="1087" t="s">
        <v>567</v>
      </c>
      <c r="C102" s="1087" t="s">
        <v>566</v>
      </c>
      <c r="D102" s="1089">
        <f ca="1">'LCA Calculations'!F112</f>
        <v>0</v>
      </c>
      <c r="E102" s="1088">
        <f ca="1">'LCA Calculations'!G112</f>
        <v>0</v>
      </c>
      <c r="F102" s="1088">
        <f ca="1">'LCA Calculations'!H112</f>
        <v>0</v>
      </c>
      <c r="G102" s="1087" t="s">
        <v>561</v>
      </c>
    </row>
    <row r="103" spans="2:9" x14ac:dyDescent="0.25">
      <c r="B103" s="1087" t="s">
        <v>565</v>
      </c>
      <c r="C103" s="1087" t="s">
        <v>564</v>
      </c>
      <c r="D103" s="1089">
        <f ca="1">'LCA Calculations'!F114</f>
        <v>0</v>
      </c>
      <c r="E103" s="1088">
        <f ca="1">'LCA Calculations'!G114</f>
        <v>0</v>
      </c>
      <c r="F103" s="1088">
        <f ca="1">'LCA Calculations'!H114</f>
        <v>0</v>
      </c>
      <c r="G103" s="1087" t="s">
        <v>561</v>
      </c>
    </row>
    <row r="104" spans="2:9" x14ac:dyDescent="0.25">
      <c r="B104" s="1087" t="s">
        <v>563</v>
      </c>
      <c r="C104" s="1087" t="s">
        <v>562</v>
      </c>
      <c r="D104" s="1089">
        <f ca="1">'LCA Calculations'!F115</f>
        <v>706.91800816551074</v>
      </c>
      <c r="E104" s="1088">
        <f ca="1">'LCA Calculations'!G115</f>
        <v>610.61395375693064</v>
      </c>
      <c r="F104" s="1088">
        <f ca="1">'LCA Calculations'!H115</f>
        <v>355.30383885464846</v>
      </c>
      <c r="G104" s="1087" t="s">
        <v>561</v>
      </c>
    </row>
  </sheetData>
  <sheetProtection password="CF3D" sheet="1" objects="1" scenarios="1"/>
  <mergeCells count="9">
    <mergeCell ref="B17:C17"/>
    <mergeCell ref="B2:F2"/>
    <mergeCell ref="B3:F3"/>
    <mergeCell ref="B4:F4"/>
    <mergeCell ref="H2:I2"/>
    <mergeCell ref="H3:I3"/>
    <mergeCell ref="H4:I4"/>
    <mergeCell ref="B8:C8"/>
    <mergeCell ref="B16:C16"/>
  </mergeCells>
  <pageMargins left="0.7" right="0.7" top="0.75" bottom="0.75" header="0.3" footer="0.3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12</vt:i4>
      </vt:variant>
      <vt:variant>
        <vt:lpstr>Named Ranges</vt:lpstr>
      </vt:variant>
      <vt:variant>
        <vt:i4>23</vt:i4>
      </vt:variant>
    </vt:vector>
  </HeadingPairs>
  <TitlesOfParts>
    <vt:vector size="35" baseType="lpstr">
      <vt:lpstr>Results</vt:lpstr>
      <vt:lpstr>Data Input</vt:lpstr>
      <vt:lpstr>BOM Entry</vt:lpstr>
      <vt:lpstr>Expert Data Input</vt:lpstr>
      <vt:lpstr>Saved Scenarios</vt:lpstr>
      <vt:lpstr>Material Flows</vt:lpstr>
      <vt:lpstr>Use </vt:lpstr>
      <vt:lpstr>Recycling</vt:lpstr>
      <vt:lpstr>ED - ES</vt:lpstr>
      <vt:lpstr>LCA Calculations</vt:lpstr>
      <vt:lpstr>autoLCA Results</vt:lpstr>
      <vt:lpstr>GaBi Envision Parameters</vt:lpstr>
      <vt:lpstr>BOM</vt:lpstr>
      <vt:lpstr>CW</vt:lpstr>
      <vt:lpstr>CWc</vt:lpstr>
      <vt:lpstr>CWminus</vt:lpstr>
      <vt:lpstr>DMc</vt:lpstr>
      <vt:lpstr>'GaBi Envision Parameters'!Envision_FileVersion</vt:lpstr>
      <vt:lpstr>'GaBi Envision Parameters'!Envision_GlobalSettings</vt:lpstr>
      <vt:lpstr>'GaBi Envision Parameters'!Envision_ScenarioSettings</vt:lpstr>
      <vt:lpstr>'GaBi Envision Parameters'!Envision_TextInputFields</vt:lpstr>
      <vt:lpstr>KAa</vt:lpstr>
      <vt:lpstr>KAc</vt:lpstr>
      <vt:lpstr>KCc</vt:lpstr>
      <vt:lpstr>KMc</vt:lpstr>
      <vt:lpstr>KSa</vt:lpstr>
      <vt:lpstr>KSc</vt:lpstr>
      <vt:lpstr>MPG</vt:lpstr>
      <vt:lpstr>nedc</vt:lpstr>
      <vt:lpstr>'Data Input'!Print_Area</vt:lpstr>
      <vt:lpstr>'ED - ES'!Print_Area</vt:lpstr>
      <vt:lpstr>'Data Input'!Print_Titles</vt:lpstr>
      <vt:lpstr>Results!Print_Titles</vt:lpstr>
      <vt:lpstr>Sc</vt:lpstr>
      <vt:lpstr>VM</vt:lpstr>
    </vt:vector>
  </TitlesOfParts>
  <Company>UCSB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 of all that is good in the universe</dc:creator>
  <cp:lastModifiedBy>Kate Hickey</cp:lastModifiedBy>
  <cp:lastPrinted>2012-01-06T17:59:44Z</cp:lastPrinted>
  <dcterms:created xsi:type="dcterms:W3CDTF">2007-05-01T23:12:55Z</dcterms:created>
  <dcterms:modified xsi:type="dcterms:W3CDTF">2018-06-18T13:25:24Z</dcterms:modified>
</cp:coreProperties>
</file>