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2008886\Downloads\"/>
    </mc:Choice>
  </mc:AlternateContent>
  <xr:revisionPtr revIDLastSave="0" documentId="13_ncr:1_{A9A196BF-4B22-433A-BB49-F89AA2461A26}" xr6:coauthVersionLast="47" xr6:coauthVersionMax="47" xr10:uidLastSave="{00000000-0000-0000-0000-000000000000}"/>
  <bookViews>
    <workbookView xWindow="-120" yWindow="-120" windowWidth="29040" windowHeight="15840" tabRatio="842" firstSheet="5" activeTab="5" xr2:uid="{00000000-000D-0000-FFFF-FFFF00000000}"/>
  </bookViews>
  <sheets>
    <sheet name="Cover" sheetId="4" r:id="rId1"/>
    <sheet name="Summary" sheetId="2" r:id="rId2"/>
    <sheet name="Allowances &amp; Assumptions" sheetId="3" state="hidden" r:id="rId3"/>
    <sheet name="Document Register" sheetId="5" r:id="rId4"/>
    <sheet name="Initial Feasability" sheetId="22" r:id="rId5"/>
    <sheet name="Developed Feasibility" sheetId="25" r:id="rId6"/>
    <sheet name="Material Cost Comparison" sheetId="28" r:id="rId7"/>
    <sheet name="1. Preliminaries-main contract" sheetId="26" r:id="rId8"/>
    <sheet name="Information given by model" sheetId="24" r:id="rId9"/>
    <sheet name="Takeoff Quantities" sheetId="27" r:id="rId10"/>
    <sheet name="Take-off Quantities" sheetId="14" state="hidden" r:id="rId11"/>
    <sheet name="Index Factors" sheetId="12" state="hidden" r:id="rId12"/>
    <sheet name="BCIS Indices" sheetId="18" state="hidden" r:id="rId13"/>
  </sheets>
  <definedNames>
    <definedName name="_xlnm.Print_Area" localSheetId="0">Cover!$A$1:$G$30</definedName>
    <definedName name="_xlnm.Print_Area" localSheetId="3">'Document Register'!$A$1:$G$14</definedName>
    <definedName name="_xlnm.Print_Area" localSheetId="11">'Index Factors'!$A$1:$J$26</definedName>
    <definedName name="_xlnm.Print_Area" localSheetId="1">Summary!$A$1:$I$16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28" l="1"/>
  <c r="I5" i="28"/>
  <c r="K4" i="28"/>
  <c r="K3" i="28"/>
  <c r="K207" i="22"/>
  <c r="D8" i="2"/>
  <c r="K168" i="25"/>
  <c r="K163" i="25"/>
  <c r="K164" i="25"/>
  <c r="K165" i="25"/>
  <c r="K166" i="25"/>
  <c r="K167" i="25"/>
  <c r="H162" i="25"/>
  <c r="K162" i="25" s="1"/>
  <c r="K183" i="22"/>
  <c r="D11" i="2"/>
  <c r="K149" i="25"/>
  <c r="K150" i="25"/>
  <c r="K151" i="25"/>
  <c r="K152" i="25"/>
  <c r="K153" i="25"/>
  <c r="K154" i="25"/>
  <c r="K155" i="25"/>
  <c r="K156" i="25"/>
  <c r="K157" i="25"/>
  <c r="K158" i="25"/>
  <c r="K159" i="25"/>
  <c r="K160" i="25"/>
  <c r="K161" i="25"/>
  <c r="K137" i="25"/>
  <c r="K138" i="25"/>
  <c r="K139" i="25"/>
  <c r="K141" i="25"/>
  <c r="K142" i="25"/>
  <c r="K143" i="25"/>
  <c r="K144" i="25"/>
  <c r="K145" i="25"/>
  <c r="K146" i="25"/>
  <c r="K147" i="25"/>
  <c r="K148" i="25"/>
  <c r="K136" i="25"/>
  <c r="H140" i="25"/>
  <c r="K140" i="25" s="1"/>
  <c r="D40" i="27"/>
  <c r="H14" i="2"/>
  <c r="C5" i="2"/>
  <c r="D5" i="2"/>
  <c r="H5" i="2" s="1"/>
  <c r="C13" i="2"/>
  <c r="C12" i="2"/>
  <c r="C11" i="2"/>
  <c r="C10" i="2"/>
  <c r="C9" i="2"/>
  <c r="C8" i="2"/>
  <c r="C7" i="2"/>
  <c r="C6" i="2"/>
  <c r="C15" i="2"/>
  <c r="D13" i="2"/>
  <c r="H13" i="2" s="1"/>
  <c r="D12" i="2"/>
  <c r="H12" i="2" s="1"/>
  <c r="H11" i="2"/>
  <c r="D10" i="2"/>
  <c r="H10" i="2" s="1"/>
  <c r="B5" i="2"/>
  <c r="B6" i="2"/>
  <c r="B13" i="2"/>
  <c r="B12" i="2"/>
  <c r="B11" i="2"/>
  <c r="B10" i="2"/>
  <c r="B9" i="2"/>
  <c r="B8" i="2"/>
  <c r="B7" i="2"/>
  <c r="J127" i="22"/>
  <c r="K136" i="22"/>
  <c r="K137" i="22"/>
  <c r="K138" i="22"/>
  <c r="K139" i="22"/>
  <c r="K147" i="22"/>
  <c r="K148" i="22"/>
  <c r="K149" i="22"/>
  <c r="K150" i="22"/>
  <c r="K151" i="22"/>
  <c r="K161" i="22"/>
  <c r="K162" i="22"/>
  <c r="K135" i="22"/>
  <c r="J136" i="22"/>
  <c r="J137" i="22"/>
  <c r="J138" i="22"/>
  <c r="J139" i="22"/>
  <c r="J147" i="22"/>
  <c r="J148" i="22"/>
  <c r="J149" i="22"/>
  <c r="J150" i="22"/>
  <c r="J151" i="22"/>
  <c r="J161" i="22"/>
  <c r="J162" i="22"/>
  <c r="J135" i="22"/>
  <c r="J264" i="22"/>
  <c r="K264" i="22"/>
  <c r="J265" i="22"/>
  <c r="K265" i="22"/>
  <c r="J266" i="22"/>
  <c r="K266" i="22"/>
  <c r="J270" i="22"/>
  <c r="K270" i="22"/>
  <c r="J272" i="22"/>
  <c r="K274" i="22"/>
  <c r="K277" i="22"/>
  <c r="J277" i="22"/>
  <c r="K303" i="22"/>
  <c r="J303" i="22"/>
  <c r="J296" i="22"/>
  <c r="J284" i="22"/>
  <c r="K284" i="22"/>
  <c r="J285" i="22"/>
  <c r="K285" i="22"/>
  <c r="J287" i="22"/>
  <c r="K287" i="22"/>
  <c r="J289" i="22"/>
  <c r="K289" i="22"/>
  <c r="J292" i="22"/>
  <c r="K292" i="22"/>
  <c r="J295" i="22"/>
  <c r="K295" i="22"/>
  <c r="K296" i="22"/>
  <c r="K283" i="22"/>
  <c r="J283" i="22"/>
  <c r="K127" i="22"/>
  <c r="K115" i="22"/>
  <c r="J115" i="22"/>
  <c r="F85" i="22"/>
  <c r="F39" i="22"/>
  <c r="F47" i="22"/>
  <c r="F45" i="22"/>
  <c r="J105" i="22"/>
  <c r="J96" i="22" s="1"/>
  <c r="K101" i="22"/>
  <c r="K96" i="22" s="1"/>
  <c r="D9" i="2" s="1"/>
  <c r="H9" i="2" s="1"/>
  <c r="F104" i="25"/>
  <c r="K104" i="25" s="1"/>
  <c r="F102" i="25"/>
  <c r="K102" i="25" s="1"/>
  <c r="F94" i="25"/>
  <c r="F93" i="25"/>
  <c r="F91" i="25"/>
  <c r="K93" i="25"/>
  <c r="J93" i="25"/>
  <c r="K94" i="25"/>
  <c r="J94" i="25"/>
  <c r="K91" i="25"/>
  <c r="J91" i="25"/>
  <c r="F111" i="25"/>
  <c r="K111" i="25" s="1"/>
  <c r="K115" i="25"/>
  <c r="K131" i="25"/>
  <c r="D172" i="25"/>
  <c r="F172" i="25" s="1"/>
  <c r="K172" i="25" s="1"/>
  <c r="D171" i="25"/>
  <c r="F171" i="25" s="1"/>
  <c r="K171" i="25" s="1"/>
  <c r="D170" i="25"/>
  <c r="F170" i="25" s="1"/>
  <c r="K97" i="25"/>
  <c r="F130" i="25"/>
  <c r="K130" i="25" s="1"/>
  <c r="F122" i="25"/>
  <c r="K122" i="25" s="1"/>
  <c r="F121" i="25"/>
  <c r="K121" i="25" s="1"/>
  <c r="F119" i="25"/>
  <c r="F120" i="25"/>
  <c r="F128" i="25"/>
  <c r="J128" i="25" s="1"/>
  <c r="F126" i="25"/>
  <c r="J126" i="25" s="1"/>
  <c r="F125" i="25"/>
  <c r="F78" i="25"/>
  <c r="K189" i="25"/>
  <c r="K187" i="25"/>
  <c r="K185" i="25"/>
  <c r="K183" i="25"/>
  <c r="K181" i="25"/>
  <c r="K178" i="25"/>
  <c r="K177" i="25"/>
  <c r="K176" i="25"/>
  <c r="J125" i="25"/>
  <c r="K120" i="25"/>
  <c r="K119" i="25"/>
  <c r="K114" i="25"/>
  <c r="K113" i="25"/>
  <c r="K76" i="25"/>
  <c r="F88" i="25"/>
  <c r="K88" i="25" s="1"/>
  <c r="F87" i="25"/>
  <c r="K87" i="25" s="1"/>
  <c r="K68" i="25"/>
  <c r="K78" i="25"/>
  <c r="K106" i="25"/>
  <c r="K96" i="25"/>
  <c r="J124" i="25"/>
  <c r="J72" i="25"/>
  <c r="K74" i="25"/>
  <c r="K72" i="25"/>
  <c r="K70" i="25"/>
  <c r="K8" i="22"/>
  <c r="J8" i="22"/>
  <c r="K18" i="22"/>
  <c r="J18" i="22"/>
  <c r="K20" i="22"/>
  <c r="J20" i="22"/>
  <c r="K29" i="22"/>
  <c r="J29" i="22"/>
  <c r="F234" i="22"/>
  <c r="L13" i="14"/>
  <c r="L24" i="14"/>
  <c r="L36" i="14"/>
  <c r="L38" i="14"/>
  <c r="L40" i="14"/>
  <c r="L48" i="14"/>
  <c r="K236" i="25"/>
  <c r="J236" i="25"/>
  <c r="F210" i="25"/>
  <c r="F204" i="25"/>
  <c r="F197" i="25"/>
  <c r="K64" i="25"/>
  <c r="J64" i="25"/>
  <c r="K63" i="25"/>
  <c r="J63" i="25"/>
  <c r="K62" i="25"/>
  <c r="J62" i="25"/>
  <c r="K57" i="25"/>
  <c r="J57" i="25"/>
  <c r="K55" i="25"/>
  <c r="J55" i="25"/>
  <c r="F53" i="25"/>
  <c r="K31" i="25"/>
  <c r="J31" i="25"/>
  <c r="K23" i="25"/>
  <c r="J23" i="25"/>
  <c r="K170" i="25" l="1"/>
  <c r="F134" i="25"/>
  <c r="J2" i="22"/>
  <c r="K2" i="22"/>
  <c r="D6" i="2" s="1"/>
  <c r="H6" i="2" s="1"/>
  <c r="J45" i="22"/>
  <c r="K45" i="22"/>
  <c r="J47" i="22"/>
  <c r="K47" i="22"/>
  <c r="K39" i="22"/>
  <c r="K33" i="22" s="1"/>
  <c r="D7" i="2" s="1"/>
  <c r="J39" i="22"/>
  <c r="J33" i="22" s="1"/>
  <c r="K260" i="22"/>
  <c r="J260" i="22"/>
  <c r="K234" i="22"/>
  <c r="J234" i="22"/>
  <c r="F82" i="25"/>
  <c r="K53" i="25"/>
  <c r="J53" i="25"/>
  <c r="F214" i="25"/>
  <c r="J210" i="25"/>
  <c r="K214" i="25"/>
  <c r="J214" i="25"/>
  <c r="K210" i="25"/>
  <c r="J81" i="22"/>
  <c r="D10" i="24"/>
  <c r="J73" i="22"/>
  <c r="F195" i="22"/>
  <c r="F188" i="22"/>
  <c r="J134" i="25" l="1"/>
  <c r="K134" i="25"/>
  <c r="K195" i="22"/>
  <c r="J195" i="22"/>
  <c r="K82" i="25"/>
  <c r="J82" i="25"/>
  <c r="F44" i="25"/>
  <c r="F39" i="25"/>
  <c r="F35" i="25"/>
  <c r="F89" i="22"/>
  <c r="F94" i="22"/>
  <c r="J89" i="22"/>
  <c r="J85" i="22"/>
  <c r="J94" i="22"/>
  <c r="F201" i="22"/>
  <c r="K180" i="22"/>
  <c r="K164" i="22" s="1"/>
  <c r="J174" i="22"/>
  <c r="J164" i="22" s="1"/>
  <c r="F170" i="22"/>
  <c r="K227" i="22"/>
  <c r="J227" i="22"/>
  <c r="J207" i="22" s="1"/>
  <c r="F205" i="22" l="1"/>
  <c r="J201" i="22"/>
  <c r="K35" i="25"/>
  <c r="J35" i="25"/>
  <c r="K39" i="25"/>
  <c r="J39" i="25"/>
  <c r="K44" i="25"/>
  <c r="J44" i="25"/>
  <c r="E4" i="24"/>
  <c r="D16" i="24"/>
  <c r="D15" i="24"/>
  <c r="D14" i="24"/>
  <c r="D17" i="24"/>
  <c r="F207" i="25" l="1"/>
  <c r="F198" i="22"/>
  <c r="F200" i="25"/>
  <c r="F191" i="22"/>
  <c r="D13" i="24"/>
  <c r="K205" i="22"/>
  <c r="F20" i="25" l="1"/>
  <c r="F9" i="25"/>
  <c r="J9" i="25" s="1"/>
  <c r="F8" i="24"/>
  <c r="F59" i="22"/>
  <c r="K59" i="22" s="1"/>
  <c r="K53" i="22" s="1"/>
  <c r="H8" i="2" s="1"/>
  <c r="F70" i="22"/>
  <c r="K191" i="22"/>
  <c r="J191" i="22"/>
  <c r="K200" i="25"/>
  <c r="J200" i="25"/>
  <c r="K198" i="22"/>
  <c r="J198" i="22"/>
  <c r="K207" i="25"/>
  <c r="J207" i="25"/>
  <c r="M26" i="14"/>
  <c r="M23" i="14"/>
  <c r="M20" i="14"/>
  <c r="E9" i="12"/>
  <c r="E12" i="12"/>
  <c r="E13" i="12" s="1"/>
  <c r="H8" i="12" s="1"/>
  <c r="D15" i="2" l="1"/>
  <c r="E14" i="2" s="1"/>
  <c r="J183" i="22"/>
  <c r="J70" i="22"/>
  <c r="F27" i="25"/>
  <c r="F77" i="22"/>
  <c r="K20" i="25"/>
  <c r="J20" i="25"/>
  <c r="M27" i="14"/>
  <c r="Z19" i="14"/>
  <c r="T49" i="14"/>
  <c r="W49" i="14"/>
  <c r="E5" i="2" l="1"/>
  <c r="E9" i="2"/>
  <c r="E10" i="2"/>
  <c r="E11" i="2"/>
  <c r="E12" i="2"/>
  <c r="E13" i="2"/>
  <c r="E7" i="2"/>
  <c r="E6" i="2"/>
  <c r="E8" i="2"/>
  <c r="J77" i="22"/>
  <c r="J53" i="22" s="1"/>
  <c r="K27" i="25"/>
  <c r="J27" i="25"/>
  <c r="L57" i="14" l="1"/>
  <c r="P57" i="14" s="1"/>
  <c r="V17" i="3"/>
  <c r="I16" i="14"/>
  <c r="I27" i="14"/>
  <c r="I37" i="14"/>
  <c r="I47" i="14"/>
  <c r="D43" i="14"/>
  <c r="D30" i="14"/>
  <c r="D23" i="14"/>
  <c r="D11" i="14"/>
  <c r="L7" i="14" l="1"/>
  <c r="Z25" i="14" s="1"/>
  <c r="L6" i="14"/>
  <c r="L9" i="14"/>
  <c r="H17" i="12" l="1"/>
  <c r="H7" i="2" l="1"/>
  <c r="H15" i="2" l="1"/>
  <c r="E15" i="2" l="1"/>
</calcChain>
</file>

<file path=xl/sharedStrings.xml><?xml version="1.0" encoding="utf-8"?>
<sst xmlns="http://schemas.openxmlformats.org/spreadsheetml/2006/main" count="1573" uniqueCount="774">
  <si>
    <t>INITIAL FEASIBILITY</t>
  </si>
  <si>
    <t>Element of Work</t>
  </si>
  <si>
    <t xml:space="preserve">Lower specification </t>
  </si>
  <si>
    <t>Higher specification</t>
  </si>
  <si>
    <t>Percentage of Total cost</t>
  </si>
  <si>
    <t>Time Factor</t>
  </si>
  <si>
    <t>Location Factor</t>
  </si>
  <si>
    <t>TOTAL with    indices applied</t>
  </si>
  <si>
    <t>OVERHEADS</t>
  </si>
  <si>
    <t>Further Allowances, Assumptions &amp; Information Used</t>
  </si>
  <si>
    <t>Notable exerpts from Groundworks tender pack</t>
  </si>
  <si>
    <t>In exerpt 4, we have a referral to 'SKETCH SK005 ENABLING WORK', mentioning cut and turn specification</t>
  </si>
  <si>
    <t>MIN 200 THK RC SLAB WITH 2</t>
  </si>
  <si>
    <t>REVOLVING DOOR ASSUME DIMS</t>
  </si>
  <si>
    <t>Also with exerpt 2, we are not in receipt of 'DWG 101' for 'GROUND IMPROVEMENT'</t>
  </si>
  <si>
    <t>LAYERS A393 MESH, FOR</t>
  </si>
  <si>
    <t xml:space="preserve">Based on this limited information, we assumed an excavation of 2 metres and filled with import stone. </t>
  </si>
  <si>
    <t>REVOLVING DOOR, REFER TO</t>
  </si>
  <si>
    <t>We have use the drawing 'Library  Building  Sub-structure Sections' to inform this assumption.</t>
  </si>
  <si>
    <t>ARCHITECT'S DRAWING FOR</t>
  </si>
  <si>
    <t>SETTING-OUT.</t>
  </si>
  <si>
    <t>The drawing 'LibrarY Building Ground Floor Layout' gives a number of specifications we have used:</t>
  </si>
  <si>
    <t xml:space="preserve"> - "150 THK RC GROUND BEARING SLAB WITH 1 LAYER OF A393 MESH ON 2000g DPM</t>
  </si>
  <si>
    <t>150 THK RC GROUND BEARING SLAB</t>
  </si>
  <si>
    <t>ON 150 THK WELL COMPACTED STONEDUST BLINDED TYPE 1 MATERIAL, FOR DETAILS OF</t>
  </si>
  <si>
    <t>WITH 1 LAYER OF A393 MESH ON 2000g DPM</t>
  </si>
  <si>
    <t>GROUND IMPROVEMENT BELOW SLAB REFER TO SECTION 1-1 &amp; 2-2 ON DWG 101."</t>
  </si>
  <si>
    <t>ON 150 THK WELL COMPACTED STONEDUST</t>
  </si>
  <si>
    <t>BLINDED TYPE 1 MATERIAL, FOR DETAILS OF</t>
  </si>
  <si>
    <t>We have assumed the dimensions of revolving door to ensure we have allowed as per the following specification:</t>
  </si>
  <si>
    <t>GROUND IMPROVEMENT BELOW SLAB REFER</t>
  </si>
  <si>
    <t xml:space="preserve">- "MIN 200 THK RC SLAB WITH 2 FOR REVOLVING DOOR, 
LAYERS A393 MESH, </t>
  </si>
  <si>
    <t>TO SECTION 1-1 &amp; 2-2 ON DWG 101.</t>
  </si>
  <si>
    <t>REFER TO ARCHITECT'S DRAWING FOR SETTING-OUT"</t>
  </si>
  <si>
    <t>1500 X 900 X 900 DEEP PIT WITH 200 THK RC</t>
  </si>
  <si>
    <t>x</t>
  </si>
  <si>
    <t>We have two 'DEEP PIT' items specified in the 'Library Building Ground Floor Layout'.</t>
  </si>
  <si>
    <t>BASE SLAB AND 200THK RC WALLS WITH 1</t>
  </si>
  <si>
    <t>We have included these items within our 'Bill No. 11 - In-situ concrete works' section</t>
  </si>
  <si>
    <t>LAYER OF A393 MESH TO ALL FACES TOP &amp;</t>
  </si>
  <si>
    <t>BOTTOM. TOP EDGE TO HAVE 100x100</t>
  </si>
  <si>
    <t>We have various reinforced concrete shear walls specified  in the 'Library Building Ground Floor Layout'</t>
  </si>
  <si>
    <t>GALVANISED ANGLE WITH</t>
  </si>
  <si>
    <t>FISH TAIL TANGS ALL ROUND TO TO SUPPORT</t>
  </si>
  <si>
    <t>CHECKER PLATE.</t>
  </si>
  <si>
    <t xml:space="preserve">We included a powerfloated finished slab, with the 'RC UPSTAND' and 600mm facing brickwork </t>
  </si>
  <si>
    <t>as we do not have the 'FINISHES TO ARCHITECT'S DETAILS'. We are happy to include for additional</t>
  </si>
  <si>
    <t>REFER TO SKETCH SK005</t>
  </si>
  <si>
    <t>floor finishes if further specification is available.</t>
  </si>
  <si>
    <t>'ENABLING WORKS' FOR</t>
  </si>
  <si>
    <t>CUT AND TURN</t>
  </si>
  <si>
    <t>We have not been provided with a ring beam detail in full. We have assumed an allowance</t>
  </si>
  <si>
    <t>SPECIFICATION.</t>
  </si>
  <si>
    <t xml:space="preserve">of reinforced steel within the pile ringbeam. </t>
  </si>
  <si>
    <t>Document Register / Drawings Used</t>
  </si>
  <si>
    <t>Drawing / Document description</t>
  </si>
  <si>
    <t>No</t>
  </si>
  <si>
    <t>Revision</t>
  </si>
  <si>
    <t>Project Ref</t>
  </si>
  <si>
    <t>QUANTITY</t>
  </si>
  <si>
    <t>UNIT</t>
  </si>
  <si>
    <t>RATE (LOWER SPEC)</t>
  </si>
  <si>
    <t>RATE (HIGHER SPEC)</t>
  </si>
  <si>
    <t>VALUE (LOWER SPEC)</t>
  </si>
  <si>
    <t>VALUE (HIGHER SPEC)</t>
  </si>
  <si>
    <t>ENABLING  WORKS</t>
  </si>
  <si>
    <t>Knotweed treatment</t>
  </si>
  <si>
    <t xml:space="preserve">Japanese Knotweed Management Plan; PBA Solutions Ltd Formulate </t>
  </si>
  <si>
    <t xml:space="preserve">Japanese Knotweed Management Plan (KMP) as recommended by the </t>
  </si>
  <si>
    <t>Environment Agency Code of Practice 2006 (EA
CoP)</t>
  </si>
  <si>
    <t>nr</t>
  </si>
  <si>
    <t xml:space="preserve">Treatment of Japanese Knotweed; PBA Solutions Ltd; removal and/or </t>
  </si>
  <si>
    <t xml:space="preserve">treatment in accordance with The Knotweed Code of Practice </t>
  </si>
  <si>
    <t xml:space="preserve">Commercial chemical treatments
based on areas greater than 900m2
knotweed area; allows for the
</t>
  </si>
  <si>
    <t xml:space="preserve">provision of contractual
arrangements including method
statements and spraying records;
</t>
  </si>
  <si>
    <t xml:space="preserve">also allows for the provision of risk,
environment and COSHH
</t>
  </si>
  <si>
    <t xml:space="preserve">assessments; rates for 3–5 year
programme, </t>
  </si>
  <si>
    <t>incl. management plan
and post-treatment monitoring</t>
  </si>
  <si>
    <t>rate per visit</t>
  </si>
  <si>
    <t>m2</t>
  </si>
  <si>
    <t>OR</t>
  </si>
  <si>
    <t>Rate per year (3-5 year)</t>
  </si>
  <si>
    <t xml:space="preserve">Removal off site to a licensed landfill
site using 20 tonne </t>
  </si>
  <si>
    <t xml:space="preserve">gross vehicle
weight lorries; price is for haulage
and tipping only; </t>
  </si>
  <si>
    <t xml:space="preserve">the mileage stated
below is the distance from point of
collection to </t>
  </si>
  <si>
    <t xml:space="preserve">licensed landfill site;
price excludes landfill tax and
loading of material into lorries; rates
</t>
  </si>
  <si>
    <t>will fluctuate between landfill
operators and the figures</t>
  </si>
  <si>
    <t xml:space="preserve"> given are
for initial guidance only</t>
  </si>
  <si>
    <t>20-40 miles</t>
  </si>
  <si>
    <t>(Provisional)</t>
  </si>
  <si>
    <t>loads</t>
  </si>
  <si>
    <t>EXCAVATE AND FILL</t>
  </si>
  <si>
    <t>GENERAL EXCAVATION</t>
  </si>
  <si>
    <t xml:space="preserve">Excavate material other than topsoil, rock or artificial hard </t>
  </si>
  <si>
    <t>material</t>
  </si>
  <si>
    <t>2.0-5.0 deep</t>
  </si>
  <si>
    <t> </t>
  </si>
  <si>
    <t>EXCAVATION ANCILLARIES</t>
  </si>
  <si>
    <t>Disposal of excavated earth other than rock or artificial hard material</t>
  </si>
  <si>
    <t>storage on site; 100m maximum distance; using 22.5 t ADT</t>
  </si>
  <si>
    <t>Add to the above rates where tipping charges apply:</t>
  </si>
  <si>
    <t>hazardous waste</t>
  </si>
  <si>
    <t>NOTE: NO ALLOWANCE FOR CONTAMINATED</t>
  </si>
  <si>
    <t>LAND REMEDIATION TAX RELIEF</t>
  </si>
  <si>
    <t xml:space="preserve">SUBSTRUCTURE </t>
  </si>
  <si>
    <t xml:space="preserve">Building Cost Model Used: Concert Hall </t>
  </si>
  <si>
    <t>Model location is Inner London Model TPI = 131; LF = 1.06</t>
  </si>
  <si>
    <t xml:space="preserve">Substructure </t>
  </si>
  <si>
    <t>Piled foundations; RC ground bearing slab; lift pits</t>
  </si>
  <si>
    <t>&amp; sumps. Partial basement 1,000 m² assumed</t>
  </si>
  <si>
    <t xml:space="preserve">secant piled with RC lining walls and cavity drain </t>
  </si>
  <si>
    <t>Approximate Estimating Rates</t>
  </si>
  <si>
    <t>Unless otherwise described units denoted as m² refer to appropriate unit areas (rather than gross internal floor areas).</t>
  </si>
  <si>
    <t>1.1.2 Specialist Foundations</t>
  </si>
  <si>
    <t>Piling</t>
  </si>
  <si>
    <t>Enabling works</t>
  </si>
  <si>
    <t>excavate to form piling mat; supply and lay imported hardcore – recycled</t>
  </si>
  <si>
    <t>brick and similar to form piling mat</t>
  </si>
  <si>
    <t>m3</t>
  </si>
  <si>
    <t>provision of plant (1 nr rig); including bringing to and removing from site;</t>
  </si>
  <si>
    <t>maintenance, erection and dismantling at each pile position</t>
  </si>
  <si>
    <t>item</t>
  </si>
  <si>
    <t>Supply and install concrete Continuous Flight Auger (CFA) piles; cart away</t>
  </si>
  <si>
    <t>inactive spoil; measure total length of pile</t>
  </si>
  <si>
    <t>750mm dia. reinforced concrete CFA piles</t>
  </si>
  <si>
    <t>m</t>
  </si>
  <si>
    <t>Pile testing</t>
  </si>
  <si>
    <t>using tension piles as reaction; typical loading test 1000 kN to 2000 kN</t>
  </si>
  <si>
    <t>integrity testing; minimum 20 per visit</t>
  </si>
  <si>
    <t>Secant wall piling, 750mm dia. piles including site mobilization and</t>
  </si>
  <si>
    <t>demobilization; Measure total area of piling (total length × total depth)</t>
  </si>
  <si>
    <t>supply and install secant wall piling</t>
  </si>
  <si>
    <t>Steel sheet piling; Measure total area of piling (total length × total depth)</t>
  </si>
  <si>
    <t>interlocking steel sheet piling to excavation perimeter; Corus LX or similar;</t>
  </si>
  <si>
    <t>extraction on completion</t>
  </si>
  <si>
    <t xml:space="preserve">Reinforced concrete basement walls; </t>
  </si>
  <si>
    <t>NOTE: excluding bulk excavation costs and hardcore fill</t>
  </si>
  <si>
    <t xml:space="preserve">200mm thick waterproof reinforced concrete </t>
  </si>
  <si>
    <t>DRAINAGE</t>
  </si>
  <si>
    <t>Soakaways: Stormwater Management</t>
  </si>
  <si>
    <t>Soakaway crates; heavyweight (60 tonne) polypropylene high-void box</t>
  </si>
  <si>
    <t>units; including excavation and backfilling as required. Note final surfacing</t>
  </si>
  <si>
    <t>not included</t>
  </si>
  <si>
    <t>Soakaway crates; lightweight (20 tonne) polypropylene high-void box units;</t>
  </si>
  <si>
    <t>including excavation and backfilling as required. Note final surfacing not</t>
  </si>
  <si>
    <t>included</t>
  </si>
  <si>
    <t>EXTERNAL DRAINAGE</t>
  </si>
  <si>
    <t>GULLIES</t>
  </si>
  <si>
    <t>Vitrified clay; set in concrete grade C20, 150mm</t>
  </si>
  <si>
    <t>thick; additional excavation and disposal</t>
  </si>
  <si>
    <t>Yard gully (mud); trapped with rodding eye;</t>
  </si>
  <si>
    <t>galvanized bucket; stopper</t>
  </si>
  <si>
    <t>225mm dia., 100mm dia. outlet, cast iron hinged</t>
  </si>
  <si>
    <t>grate and frame</t>
  </si>
  <si>
    <t>34.01 URBAN AND LANDSCAPE DRAINAGE</t>
  </si>
  <si>
    <t>Slot and grate drainage</t>
  </si>
  <si>
    <t>ACO MultiDrain M100D polymer concrete channel</t>
  </si>
  <si>
    <t>drainage system; galvanized steel edge trim;</t>
  </si>
  <si>
    <t>nominal bore 100mm; type of fall constant; bedding</t>
  </si>
  <si>
    <t>and haunching with in situ concrete (not included)</t>
  </si>
  <si>
    <t>Slotted grating</t>
  </si>
  <si>
    <t>galvanized steel grating, load class A15</t>
  </si>
  <si>
    <t>(pedestrian areas)</t>
  </si>
  <si>
    <t>UNDER SLAB DRAINAGE</t>
  </si>
  <si>
    <t>POLYVINYL CHLORIDE PIPES</t>
  </si>
  <si>
    <t>Unplasticized PVC pipes; ring seal sockets;</t>
  </si>
  <si>
    <t xml:space="preserve">excavation and supports, backfilling; </t>
  </si>
  <si>
    <t>6 m pipe lengths unless stated otherwise</t>
  </si>
  <si>
    <t xml:space="preserve">110 mm pipes; in trenches, depth </t>
  </si>
  <si>
    <t>not in trench</t>
  </si>
  <si>
    <t>extra for bend; short radius (socket/spigot)</t>
  </si>
  <si>
    <t>extra for bend; adjustable (socket/spigot)</t>
  </si>
  <si>
    <t>extra for reducer</t>
  </si>
  <si>
    <t>extra for branches; equal (socket/spigot)</t>
  </si>
  <si>
    <t>ne 1.50m deep</t>
  </si>
  <si>
    <t xml:space="preserve">MANHOLES </t>
  </si>
  <si>
    <t>Precast concrete circular manhole; CPM Perfect</t>
  </si>
  <si>
    <t>Manhole; complete with preformed benching and</t>
  </si>
  <si>
    <t>outlets to base; elastomeric seal to joints to</t>
  </si>
  <si>
    <t>rings; single steps as required. Excavations and</t>
  </si>
  <si>
    <t>backfilling not included</t>
  </si>
  <si>
    <t>1200mm dia. with up to four outlets 100mm or</t>
  </si>
  <si>
    <t>150mm dia.; effective internal depth:</t>
  </si>
  <si>
    <t>1250 mm deep</t>
  </si>
  <si>
    <t>1500 mm deep</t>
  </si>
  <si>
    <t>CAR PARKING</t>
  </si>
  <si>
    <t>Building Prices per Functional Unit</t>
  </si>
  <si>
    <t>Utilities, Civil Engineering facilities</t>
  </si>
  <si>
    <t>Car Parking</t>
  </si>
  <si>
    <t>underground car parks partially underground under buildings; natural</t>
  </si>
  <si>
    <t>ventilation; 27 to 30m2 / car</t>
  </si>
  <si>
    <t>p/car</t>
  </si>
  <si>
    <t>underground car parks completely underground with landscaped roof;</t>
  </si>
  <si>
    <t>mechanical ventilation; 28 to 32m2/car</t>
  </si>
  <si>
    <t>underground car parks completely underground under buildings;</t>
  </si>
  <si>
    <t>Building Prices per Square Metre</t>
  </si>
  <si>
    <t>UNICLASS D1 UTILITIES, CIVIL ENGINEERING FACILITIES</t>
  </si>
  <si>
    <t>Underground car parks</t>
  </si>
  <si>
    <t>partially underground under buildings; naturally ventilated</t>
  </si>
  <si>
    <t>completely underground under buildings with mechanical ventilation</t>
  </si>
  <si>
    <t>completely underground with landscaped roof and mechanical ventilation</t>
  </si>
  <si>
    <t>GENERAL SUPERSTRUCTURES AND FACILITIES</t>
  </si>
  <si>
    <t>UNICLASS D5 RECREATIONAL FACILITIES</t>
  </si>
  <si>
    <t>Dining blocks and canteens</t>
  </si>
  <si>
    <t>General purpose halls</t>
  </si>
  <si>
    <t>Swimming pools</t>
  </si>
  <si>
    <t>international standard</t>
  </si>
  <si>
    <t>Indoor bowls halls</t>
  </si>
  <si>
    <t>Health and fitness clubs</t>
  </si>
  <si>
    <t>Sports pavilions</t>
  </si>
  <si>
    <t>changing only</t>
  </si>
  <si>
    <t>social and changing</t>
  </si>
  <si>
    <t>Clubhouses</t>
  </si>
  <si>
    <t xml:space="preserve">Wernick's Modular Building </t>
  </si>
  <si>
    <t>Suitable standard building incorporating our standard finishes of colourcoat steel external to the external walls, vinyl faced plasterboard internal walls, suspended ceilings,  comfort heating and cooling as your heat source, suitable floor coverings'</t>
  </si>
  <si>
    <t>SPORTS PITCH</t>
  </si>
  <si>
    <t>8.3 SOFT LANDSCAPING, PLANTING AND IRRIGATION SYSTEMS</t>
  </si>
  <si>
    <t>8.3.1 Seeding and Turfing</t>
  </si>
  <si>
    <t>Please refer to Spon’s External Works and Landscape Price Book for a more</t>
  </si>
  <si>
    <t>comprehensive range of rates</t>
  </si>
  <si>
    <t>Surface treatment</t>
  </si>
  <si>
    <t>spread and lightly consolidate top soil from spoil heap 150mm thick; by</t>
  </si>
  <si>
    <t xml:space="preserve">machine </t>
  </si>
  <si>
    <t>Plant supply, planting, maintenance and 12 months guarantee</t>
  </si>
  <si>
    <t>turfed areas</t>
  </si>
  <si>
    <t>8.2.2 Special Surfacing and Pavings Sports Grounds</t>
  </si>
  <si>
    <t>Pitch plateau construction and pitch drainage not included</t>
  </si>
  <si>
    <t>FIFA one star football and IRB reg 22 rugby union</t>
  </si>
  <si>
    <t>Lano Rugby Max 60mm monofilament laid on shockpad on a dynamic base</t>
  </si>
  <si>
    <t>infill with 32 kg/m2 sand and 11 kg/m2 SBR rubber – IRB Clause 22 compliant;</t>
  </si>
  <si>
    <t>supply and spread to required infill rates, 2EW sand and 0.5–2mm SBR</t>
  </si>
  <si>
    <t>Rubber. Sand (32 kg/m2)and rubber (11 kg/m2) spread and brushed into</t>
  </si>
  <si>
    <t>surface; white lining; 3.5m high perimeter fence</t>
  </si>
  <si>
    <t>Tennis and netball court</t>
  </si>
  <si>
    <t>Lay final layer on existing subbase of 50mm porous stone followed by 2</t>
  </si>
  <si>
    <t>coats of porous bitumen macadam. 40mm binder course; 14mm aggregate</t>
  </si>
  <si>
    <t>and 20mm surface course with 6mm aggregate. Laid to fine level tolerances</t>
  </si>
  <si>
    <t>and laser leveled, +/- 6mm tolerance over 3 m; white lining; 3m high</t>
  </si>
  <si>
    <t>perimeter fencing</t>
  </si>
  <si>
    <t>Natural grass winter sports</t>
  </si>
  <si>
    <t>Strip topsoil and level existing surface (cut and fill); laser grade formation and</t>
  </si>
  <si>
    <t>proof roll. Load and spread topsoil, grade and consolidate; cultivate and</t>
  </si>
  <si>
    <t>grade topsoil. Supply and spread 25mm approved sand and mix into topsoil</t>
  </si>
  <si>
    <t>by power harrow; apply pre-seeding fertilizer and sow winter rye sports grass</t>
  </si>
  <si>
    <t>Tennis courts; En Tout Cas Ltd</t>
  </si>
  <si>
    <t>Hard playing surfaces to SAPCA</t>
  </si>
  <si>
    <t>Code of Practice minimum</t>
  </si>
  <si>
    <t>requirements; laid on 40mm thick</t>
  </si>
  <si>
    <t>macadam base on 200mm thick</t>
  </si>
  <si>
    <t>stone foundation; to include lines,</t>
  </si>
  <si>
    <t>nets, posts, brick edging, 2.75m</t>
  </si>
  <si>
    <t>high fence and perimeter drainage;</t>
  </si>
  <si>
    <t>based on court size 573m2</t>
  </si>
  <si>
    <t>Playdek; all weather porous</t>
  </si>
  <si>
    <t>macadam and acrylic colour</t>
  </si>
  <si>
    <t>coating hardcourt – – – – – nr £40,700.00</t>
  </si>
  <si>
    <t>GENERAL GARDEN LANDSCAPED AREA</t>
  </si>
  <si>
    <t>8.3.2 External Planting</t>
  </si>
  <si>
    <t>Planted areas (per m² of planted area)</t>
  </si>
  <si>
    <t>shrubbed planting</t>
  </si>
  <si>
    <t>dense planting</t>
  </si>
  <si>
    <t>shrubbed area including allowance for small trees</t>
  </si>
  <si>
    <t>Paved areas</t>
  </si>
  <si>
    <t>Gravel paving rolled to falls and chambers paving on subbase; including</t>
  </si>
  <si>
    <t>excavation</t>
  </si>
  <si>
    <t>Resin bound paving</t>
  </si>
  <si>
    <t>16mm–24mm deep of natural gravel</t>
  </si>
  <si>
    <t>16mm–24mm deep of crushed rock</t>
  </si>
  <si>
    <t>16mm–24mm deep of marble chips</t>
  </si>
  <si>
    <t>Dwarf support wall</t>
  </si>
  <si>
    <t>140 mm thick; solid</t>
  </si>
  <si>
    <t>8.5 EXTERNAL FIXTURES</t>
  </si>
  <si>
    <t>8.5.1 Site/Street Furniture and Equipment</t>
  </si>
  <si>
    <t>Street Furniture</t>
  </si>
  <si>
    <t>Roadsigns</t>
  </si>
  <si>
    <t>reflected traffic signs 0.25 m² area on steel post</t>
  </si>
  <si>
    <t>internally illuminated traffic signs; dependent on area</t>
  </si>
  <si>
    <t>externally illuminated traffic signs; dependent on area</t>
  </si>
  <si>
    <t>Benches; bolted to ground</t>
  </si>
  <si>
    <t>benches – hardwood or precast concrete</t>
  </si>
  <si>
    <t>Litter bins; bolted to ground</t>
  </si>
  <si>
    <t>precast concrete</t>
  </si>
  <si>
    <t>hardwood slatted</t>
  </si>
  <si>
    <t>cast iron</t>
  </si>
  <si>
    <t>large aluminium</t>
  </si>
  <si>
    <t>Bus stops including basic shelter</t>
  </si>
  <si>
    <t>Pillar box</t>
  </si>
  <si>
    <t>Galvanized steel cycle stand</t>
  </si>
  <si>
    <t>Galvanized steel flag staff</t>
  </si>
  <si>
    <t>RESIN BOUND AND RESIN BONDED SURFACES</t>
  </si>
  <si>
    <t>Resin bonded surfaces; excavate 230mm; bring to grade; lay 150mm Type</t>
  </si>
  <si>
    <t>1 granular material; hand lay base course of 60mm macadam and resin</t>
  </si>
  <si>
    <t>bonded wearing course; all disposal off site; edgings excluded</t>
  </si>
  <si>
    <t>Natratex resin bonded macadam wearing course</t>
  </si>
  <si>
    <t xml:space="preserve">general paved area </t>
  </si>
  <si>
    <t>SPECIFIC SUPERSTRUCTURE PRICING</t>
  </si>
  <si>
    <t>Total GIFA M2</t>
  </si>
  <si>
    <t xml:space="preserve">Frame </t>
  </si>
  <si>
    <t>Steel frame; composite beam and slab floors Suspended slab; permanent steel shuttering with 130mm thick concrete; no coverings or finishes - up to 6 storeys</t>
  </si>
  <si>
    <t xml:space="preserve">Changed to tpi 4Q2022 and location of wales </t>
  </si>
  <si>
    <t>GIFA</t>
  </si>
  <si>
    <t xml:space="preserve">Upper Floors </t>
  </si>
  <si>
    <t>Post-tensioned concrete upper floors reinforced post-tensioned suspended concrete slab 150–225mm thick, 40N/mm2, reinforcement 60kg/m3, formwork </t>
  </si>
  <si>
    <t xml:space="preserve">Roofing </t>
  </si>
  <si>
    <t>Flat Roof - Flat roofing systemsIncludes insulation and vapour control barrier; excludes decking (U-value = 0.25W/m2K)</t>
  </si>
  <si>
    <t xml:space="preserve">lower cost - 20mm thick polymer modified asphalt roofing including felt underlay. higher cost - single layer polymer roofing membrane with tapered insulation </t>
  </si>
  <si>
    <t>Pitched Roof - Steel trussed with metal sheet cladding Steel roof trusses and beams; thermal and acoustic insulation (U-value =0.25W/m2K) aluminium profiled composite cladding</t>
  </si>
  <si>
    <t xml:space="preserve">Stairs &amp; Ramps </t>
  </si>
  <si>
    <t>Reinforced concrete construction Staircase; terrazzofinish; mild steel balustrades and handrails; plastered soffit;balustrades and staircase soffit decorated3.00m rise; dogleg</t>
  </si>
  <si>
    <t xml:space="preserve">nr </t>
  </si>
  <si>
    <t>spons Pg.194</t>
  </si>
  <si>
    <t xml:space="preserve">External walls </t>
  </si>
  <si>
    <t>Metal profiled cladding panel -  Flat panel composite insulated roofing system; micro-rib panel; 60mm overall panel, thickness (U-value = 0.35W/m2K)</t>
  </si>
  <si>
    <t>454 perimeter 2 floors</t>
  </si>
  <si>
    <t>Spons Pg.197</t>
  </si>
  <si>
    <t>Wall Insulation</t>
  </si>
  <si>
    <t>Insulation - External wall insulation - Kingspan Kooltherm K8 (Thermal conductivity 0.022W/mK) zero ODP rigiurethene insulation board or other equal; as partial cavity fill; including cutting and fitting around wall ties and retaining discs </t>
  </si>
  <si>
    <t>40mm thickness low cost</t>
  </si>
  <si>
    <t>75mm Thickness high cost</t>
  </si>
  <si>
    <t xml:space="preserve">External windows &amp; Doors </t>
  </si>
  <si>
    <t>Windows</t>
  </si>
  <si>
    <t>Unitized curtain walling system with double glazed units, aluminium structural framing and sandal rails. Standard colour powered coated </t>
  </si>
  <si>
    <t>Glazing to swimming pool</t>
  </si>
  <si>
    <t>Tennis side</t>
  </si>
  <si>
    <t>H 7.5m x W 50m</t>
  </si>
  <si>
    <t>spons Pg.198</t>
  </si>
  <si>
    <t>Rugby side</t>
  </si>
  <si>
    <t>H 9.5-8m x 17m</t>
  </si>
  <si>
    <t xml:space="preserve">window number </t>
  </si>
  <si>
    <t>uPVC windows, Windows; standard ironmongery; sills and factory glazed with low-e 24 mm double glazing</t>
  </si>
  <si>
    <t>low cost wer rating C, high cost wer rating A</t>
  </si>
  <si>
    <t xml:space="preserve">GF </t>
  </si>
  <si>
    <t>4 x 3.4</t>
  </si>
  <si>
    <t>spons Pg. 200</t>
  </si>
  <si>
    <t>0.5 x 3</t>
  </si>
  <si>
    <t>Doors</t>
  </si>
  <si>
    <t>Wheel chair entrance door - Stainless steel entrance screens and doors, Purpose-made screen; double glazed, with automatic doors</t>
  </si>
  <si>
    <t>spons Pg.202</t>
  </si>
  <si>
    <t>Steel external doors
Standard doors, single external steel door, including frame, ironmongery, powder coated finish</t>
  </si>
  <si>
    <t>spons Pg.201</t>
  </si>
  <si>
    <t xml:space="preserve">Internal Walls </t>
  </si>
  <si>
    <t>Frame and panel partitions, Timber stud partitions, structure only comprising 100 mm × 38 mm softwood studs at 600 mm centres; head and sole plates</t>
  </si>
  <si>
    <t>184.593 x 3.4</t>
  </si>
  <si>
    <t>spons Pg. 203</t>
  </si>
  <si>
    <t>FF</t>
  </si>
  <si>
    <t>220.463 x 3.4</t>
  </si>
  <si>
    <t>Lift and Conveyor installations </t>
  </si>
  <si>
    <t>Passenger lifts (standard brushed stainless steel finish; 2 panel centre opening doors) 8-person; 4 stops; 1.0m/s speed</t>
  </si>
  <si>
    <t>Internal Windows &amp; Doors</t>
  </si>
  <si>
    <t xml:space="preserve">Windows </t>
  </si>
  <si>
    <t>internal window gym looking over pool area, Purpose-made windows, 
Softwood windows (U-value = 1.6 W/m2 K) painted; double glazed; over 1.50 m2</t>
  </si>
  <si>
    <t xml:space="preserve">Doors &amp; Screens </t>
  </si>
  <si>
    <t>Toilet doors - Ironmongery sets Stainless steel ironmongery; euro locks; push plates; kick plates; signage; closures; standard sets, standard bathroom door (unisex)</t>
  </si>
  <si>
    <t>spons Pg. 206</t>
  </si>
  <si>
    <t>Plant rooms - Ironmongery sets Stainless steel ironmongery; euro locks; push plates; kick plates; signage; closures; standard sets, maintenance/plant room door; lockable; fire-rated</t>
  </si>
  <si>
    <t xml:space="preserve">
Fire doors
Standard fire doors; cellular core; softwood lining; softwood architrave; aluminuim ironmongery (lockable, self-closure); painting or polishing; single leaf; Oak veneered; 60 min fire resistance; polished</t>
  </si>
  <si>
    <t xml:space="preserve">Internal Finishes </t>
  </si>
  <si>
    <t xml:space="preserve">Walls </t>
  </si>
  <si>
    <t xml:space="preserve">In situ wallfinishes - one mist and two coats emulsion paint ( to General areas) GF                                                                                                                                                   </t>
  </si>
  <si>
    <t xml:space="preserve">office 1, staff room, reception, office 2, lift, corridor </t>
  </si>
  <si>
    <t>Aquamura wall Panels; including backing (In Wet Areas) GF</t>
  </si>
  <si>
    <t>Swimming pool, pool store, plant room, pool changing room, pool walkway, toilets 1, toilets 2, first aid</t>
  </si>
  <si>
    <t xml:space="preserve">In situ wallfinishes - one mist and two coats emulsion paint ( to General areas) FF                                                                                                                                      </t>
  </si>
  <si>
    <t>studio 1, studio 2, gym, gallery, corridors, store 1, store 2, store 3, store 4, store 5, stairwell, store 6, emergency access</t>
  </si>
  <si>
    <t>Aquamura wall Panels; including backing (In Wet Areas) FF</t>
  </si>
  <si>
    <t>changing rooms gym, toillets, disabled toilets</t>
  </si>
  <si>
    <t xml:space="preserve">Floors </t>
  </si>
  <si>
    <t>Vinyl GF</t>
  </si>
  <si>
    <t>Tiles GF - Glazed ceramic tiled flooring, anti-slip tiles</t>
  </si>
  <si>
    <t>Vinyl FF</t>
  </si>
  <si>
    <t xml:space="preserve">Ceilings </t>
  </si>
  <si>
    <t>plaster skim coat to plasterboard ceilings</t>
  </si>
  <si>
    <t>spons Pg. 210</t>
  </si>
  <si>
    <t>Emulsion paint to plaster, two coats</t>
  </si>
  <si>
    <t xml:space="preserve">Fittings and Furnishings </t>
  </si>
  <si>
    <t>General fittings, furnishings and equipment</t>
  </si>
  <si>
    <t xml:space="preserve">Provisional Sum </t>
  </si>
  <si>
    <t xml:space="preserve">Gym </t>
  </si>
  <si>
    <t>Body Power Smith Half Rack - Bench Included</t>
  </si>
  <si>
    <t>Powertec Leg Press</t>
  </si>
  <si>
    <t>Hammer Strength Plated Loaded V-Squat</t>
  </si>
  <si>
    <t>Body-Solid Pro club line series 2 Bicep &amp; Tricep (235lbs)</t>
  </si>
  <si>
    <t>Powerline Preacher Curl Bench</t>
  </si>
  <si>
    <t>TuffStuff Apollo AP-71MP Multi Press</t>
  </si>
  <si>
    <t>Powertec Isolateral Workbench Multi Press</t>
  </si>
  <si>
    <t>Body-Solid Pro Club Line T-Bar</t>
  </si>
  <si>
    <t>Matrix Fitness Magnum MG-A52 Back Extension</t>
  </si>
  <si>
    <t>Life Fitness Series Plate Loaded Row</t>
  </si>
  <si>
    <t>Body-Solid G6B Bi-Angular Gym with Inner/Outer Thigh </t>
  </si>
  <si>
    <t>Life Fitness Insignia Series Abdominal </t>
  </si>
  <si>
    <t>Body-Solid Pro Club Line Series 2, Chin &amp; Dip (235lbs)</t>
  </si>
  <si>
    <t>Body Power Premium Ab Wheel</t>
  </si>
  <si>
    <t>Solid Weight Plates</t>
  </si>
  <si>
    <t>Powertec Spotter Arms</t>
  </si>
  <si>
    <t>Body-Solid J Cups</t>
  </si>
  <si>
    <t>Body-Solid Dip Attachment </t>
  </si>
  <si>
    <t>Barbell Pad</t>
  </si>
  <si>
    <t>Floor Tile Ramp Edge</t>
  </si>
  <si>
    <t>Tricep Rope</t>
  </si>
  <si>
    <t>Floor Tile</t>
  </si>
  <si>
    <t>Soft Pilates Weights</t>
  </si>
  <si>
    <t>Pro-grip Seated Row Bar</t>
  </si>
  <si>
    <t>Double Handled Lat Bar</t>
  </si>
  <si>
    <t>Running machine</t>
  </si>
  <si>
    <t>Cycle bike 1</t>
  </si>
  <si>
    <t xml:space="preserve">Cycle bike 2 </t>
  </si>
  <si>
    <t>SkiErg</t>
  </si>
  <si>
    <t>Rowing Machine</t>
  </si>
  <si>
    <t xml:space="preserve">Cross trainer </t>
  </si>
  <si>
    <t>Clumbmmill</t>
  </si>
  <si>
    <r>
      <t xml:space="preserve">Framed panel cubicles </t>
    </r>
    <r>
      <rPr>
        <sz val="8"/>
        <color rgb="FF000000"/>
        <rFont val="AdvTT16F3B945.B+20"/>
        <charset val="1"/>
      </rPr>
      <t xml:space="preserve">– </t>
    </r>
    <r>
      <rPr>
        <sz val="8"/>
        <color rgb="FF000000"/>
        <rFont val="AdvTT16F3B945.B"/>
        <charset val="1"/>
      </rPr>
      <t>cont</t>
    </r>
  </si>
  <si>
    <t>Family changing bays</t>
  </si>
  <si>
    <t>IPS duct panel systems; melamine finish chipboard; softwood timber subframe, 2.70 m high IPS back panelling system; to accommodate wash hand basins or urinals; access hatch; frame support</t>
  </si>
  <si>
    <t>Double changing bays</t>
  </si>
  <si>
    <t>Single changing bays</t>
  </si>
  <si>
    <t xml:space="preserve">services </t>
  </si>
  <si>
    <t>Sanitary installations </t>
  </si>
  <si>
    <t>Disabled toilet, including WC, wash hand basin, grabrails and otherfittings</t>
  </si>
  <si>
    <t>spons Pg. 140</t>
  </si>
  <si>
    <t>shower tray; glazedfireclay; chromium plated waste; riser pipe; rose andmixing valve</t>
  </si>
  <si>
    <t>spons Pg. 213</t>
  </si>
  <si>
    <t>WC suite</t>
  </si>
  <si>
    <t>spons Pg. 143</t>
  </si>
  <si>
    <t>Disposal Installations</t>
  </si>
  <si>
    <t>Provisional sum</t>
  </si>
  <si>
    <t>Water installations</t>
  </si>
  <si>
    <t>Heat source</t>
  </si>
  <si>
    <t>Electrical installations</t>
  </si>
  <si>
    <t xml:space="preserve">Power </t>
  </si>
  <si>
    <t xml:space="preserve">Material Cost Comparison </t>
  </si>
  <si>
    <t>Material</t>
  </si>
  <si>
    <t>Unit</t>
  </si>
  <si>
    <t xml:space="preserve">Cost </t>
  </si>
  <si>
    <t xml:space="preserve">Material </t>
  </si>
  <si>
    <t xml:space="preserve">Unit </t>
  </si>
  <si>
    <t xml:space="preserve">Cost Difference </t>
  </si>
  <si>
    <t xml:space="preserve">UPVC Windows </t>
  </si>
  <si>
    <t>0.9 x 1.1</t>
  </si>
  <si>
    <t xml:space="preserve">Composite Windows </t>
  </si>
  <si>
    <t xml:space="preserve">No </t>
  </si>
  <si>
    <t xml:space="preserve">Costing an additional £400.00 for that size window to have composite, while UPVC is a better financial option </t>
  </si>
  <si>
    <t xml:space="preserve">Aquamura Panels </t>
  </si>
  <si>
    <t xml:space="preserve">m2 </t>
  </si>
  <si>
    <t xml:space="preserve">Wall tiles </t>
  </si>
  <si>
    <t xml:space="preserve">The chosen material is aquamura panels as the product is easy to install reducing the labour cost for installation, is designed to have a longer lasting life line than tiles. </t>
  </si>
  <si>
    <t xml:space="preserve">Roof Tiles </t>
  </si>
  <si>
    <t xml:space="preserve">Roof panel system </t>
  </si>
  <si>
    <t>The roofing panel system is considered a specialist topic in the construction area, causing only certain people can install the material which will be seen as an additional cost. the panell systems are considered to be more weather resistant and there for tend to have a longer life line, allowing the maintence costs to be lower through the life cycle which is a bigger consideration due to the location of the building.</t>
  </si>
  <si>
    <t xml:space="preserve">Bill of Quantities </t>
  </si>
  <si>
    <t xml:space="preserve"> Page of BoQ (1 of </t>
  </si>
  <si>
    <t>Item No</t>
  </si>
  <si>
    <t>Description</t>
  </si>
  <si>
    <t>Quantity</t>
  </si>
  <si>
    <t xml:space="preserve"> Rate </t>
  </si>
  <si>
    <t>Amount</t>
  </si>
  <si>
    <t>PRELIMINARIES</t>
  </si>
  <si>
    <t>Bill No. 1: Preliminaries (main contract)</t>
  </si>
  <si>
    <t>PART B: PRICING SCHEDULE</t>
  </si>
  <si>
    <t>Employer's requirements</t>
  </si>
  <si>
    <t>1.1.1</t>
  </si>
  <si>
    <t>Site accommodation</t>
  </si>
  <si>
    <t>1.1.1.1</t>
  </si>
  <si>
    <t>Fixed charge</t>
  </si>
  <si>
    <t>Contractor's office rental</t>
  </si>
  <si>
    <t>Mobile offices (10 staff × 8 m²) = 80 m²</t>
  </si>
  <si>
    <t>weeks</t>
  </si>
  <si>
    <t xml:space="preserve"> £          205.00</t>
  </si>
  <si>
    <t xml:space="preserve"> £                 15,170.00</t>
  </si>
  <si>
    <t>Contractor's site huts</t>
  </si>
  <si>
    <t>Stores hut, 22 m²</t>
  </si>
  <si>
    <t xml:space="preserve"> £             56.00</t>
  </si>
  <si>
    <t xml:space="preserve"> £                   4,144.00</t>
  </si>
  <si>
    <t>Canteen and welfare huts</t>
  </si>
  <si>
    <t>Canteen 70 m² (assume 70 men)</t>
  </si>
  <si>
    <t xml:space="preserve"> £          180.00</t>
  </si>
  <si>
    <t xml:space="preserve"> £                 13,320.00</t>
  </si>
  <si>
    <t>Washroom 30 m²</t>
  </si>
  <si>
    <t xml:space="preserve"> </t>
  </si>
  <si>
    <t xml:space="preserve"> £             70.00</t>
  </si>
  <si>
    <t xml:space="preserve"> £                   5,180.00</t>
  </si>
  <si>
    <t>Staff toilets</t>
  </si>
  <si>
    <t>Site toilets</t>
  </si>
  <si>
    <t xml:space="preserve"> £          240.00</t>
  </si>
  <si>
    <t xml:space="preserve"> £                 17,760.00</t>
  </si>
  <si>
    <t>1.1.1.1.2</t>
  </si>
  <si>
    <t>Adaptation/alterations during works</t>
  </si>
  <si>
    <t>1.1.1.1.3</t>
  </si>
  <si>
    <t>Dismantling and removing from site, including rectifying any damage</t>
  </si>
  <si>
    <t>1.1.1.1.4</t>
  </si>
  <si>
    <t>Maintaining</t>
  </si>
  <si>
    <t>1.1.1.1.5</t>
  </si>
  <si>
    <t>Cleaning</t>
  </si>
  <si>
    <t>1.1.1.1.6</t>
  </si>
  <si>
    <t>Charges</t>
  </si>
  <si>
    <t>1.1.1.1.7</t>
  </si>
  <si>
    <t>Off-site rented temporary accomodation</t>
  </si>
  <si>
    <t>1.1.1.2</t>
  </si>
  <si>
    <t>Furniture and equipment</t>
  </si>
  <si>
    <t>1. Bring to site and installing</t>
  </si>
  <si>
    <t>2. Cleaning</t>
  </si>
  <si>
    <t>week</t>
  </si>
  <si>
    <t>3. Charges</t>
  </si>
  <si>
    <t>4. Dismantling and removing from site</t>
  </si>
  <si>
    <t>1.1.2</t>
  </si>
  <si>
    <t>Site Records</t>
  </si>
  <si>
    <t>1.1.2.1</t>
  </si>
  <si>
    <t>1.1.2.2</t>
  </si>
  <si>
    <t>Web-based information management system</t>
  </si>
  <si>
    <t>1.1.3</t>
  </si>
  <si>
    <t>Completion and post-completion requirements</t>
  </si>
  <si>
    <t>1.1.3.1</t>
  </si>
  <si>
    <t>Handover requirements</t>
  </si>
  <si>
    <t>1.1.3.2</t>
  </si>
  <si>
    <t>Opetion and maintenance services</t>
  </si>
  <si>
    <t>1.1.3.3</t>
  </si>
  <si>
    <t>Landscape management services</t>
  </si>
  <si>
    <t>Main Contractor's cost items</t>
  </si>
  <si>
    <t>1.2.1</t>
  </si>
  <si>
    <t>Management and staff</t>
  </si>
  <si>
    <t>1.2.2</t>
  </si>
  <si>
    <t>1. Project-specific management and staff</t>
  </si>
  <si>
    <t>Agent</t>
  </si>
  <si>
    <t xml:space="preserve"> £       1,895.00</t>
  </si>
  <si>
    <t xml:space="preserve"> £               125,070.00</t>
  </si>
  <si>
    <t>Senior Engineer</t>
  </si>
  <si>
    <t xml:space="preserve"> £       1,745.00</t>
  </si>
  <si>
    <t xml:space="preserve"> £               115,170.00</t>
  </si>
  <si>
    <t>Engineers</t>
  </si>
  <si>
    <t xml:space="preserve"> £       1,320.00</t>
  </si>
  <si>
    <t xml:space="preserve"> £               105,600.00</t>
  </si>
  <si>
    <t>General foreman</t>
  </si>
  <si>
    <t xml:space="preserve"> £       1,020.00</t>
  </si>
  <si>
    <t xml:space="preserve"> £                 67,320.00</t>
  </si>
  <si>
    <t>26/05/2023</t>
  </si>
  <si>
    <t>Office manager/cost clerk</t>
  </si>
  <si>
    <t xml:space="preserve"> £          870.00</t>
  </si>
  <si>
    <t xml:space="preserve"> £                 57,420.00</t>
  </si>
  <si>
    <t>30/08/2024</t>
  </si>
  <si>
    <t>Timekeeper/Storeman/Checker</t>
  </si>
  <si>
    <t xml:space="preserve"> £          610.00</t>
  </si>
  <si>
    <t xml:space="preserve"> £                 40,260.00</t>
  </si>
  <si>
    <t>Admin support</t>
  </si>
  <si>
    <t xml:space="preserve"> £          460.00</t>
  </si>
  <si>
    <t xml:space="preserve"> £                 30,360.00</t>
  </si>
  <si>
    <t>Security guard</t>
  </si>
  <si>
    <t xml:space="preserve"> £          510.00</t>
  </si>
  <si>
    <t xml:space="preserve"> £                 33,660.00</t>
  </si>
  <si>
    <t>Quantity Surveyor</t>
  </si>
  <si>
    <t xml:space="preserve"> £       1,566.00</t>
  </si>
  <si>
    <t xml:space="preserve"> £               103,356.00</t>
  </si>
  <si>
    <t>Fitter</t>
  </si>
  <si>
    <t xml:space="preserve"> £          850.00</t>
  </si>
  <si>
    <t xml:space="preserve"> £                 56,100.00</t>
  </si>
  <si>
    <t>2 Visiting management and staff</t>
  </si>
  <si>
    <t>3 Extraordinary support costs</t>
  </si>
  <si>
    <t>4. Staff travel</t>
  </si>
  <si>
    <t>Site transport for staff and general use</t>
  </si>
  <si>
    <t>QS/Agent's cars</t>
  </si>
  <si>
    <t xml:space="preserve"> £          160.00</t>
  </si>
  <si>
    <t xml:space="preserve"> £                 10,560.00</t>
  </si>
  <si>
    <t>Engineers' cars (contribution)</t>
  </si>
  <si>
    <t xml:space="preserve"> £             80.00</t>
  </si>
  <si>
    <t xml:space="preserve"> £                 11,680.00</t>
  </si>
  <si>
    <t>Land Rover or similar SWB</t>
  </si>
  <si>
    <t xml:space="preserve"> £          390.00</t>
  </si>
  <si>
    <t xml:space="preserve"> £                 25,740.00</t>
  </si>
  <si>
    <t>Site transport – Labour</t>
  </si>
  <si>
    <t xml:space="preserve"> £                 36,600.00</t>
  </si>
  <si>
    <t>Site establishment</t>
  </si>
  <si>
    <t>Depth</t>
  </si>
  <si>
    <t>Area</t>
  </si>
  <si>
    <t>Volume</t>
  </si>
  <si>
    <t>Length</t>
  </si>
  <si>
    <t>Reinforced slab for Car park</t>
  </si>
  <si>
    <t>Car park</t>
  </si>
  <si>
    <t>Reinforced slab for 3G pitch</t>
  </si>
  <si>
    <t>3G pitch</t>
  </si>
  <si>
    <t>Piling (estimate based on UWTSD library)</t>
  </si>
  <si>
    <t>Basment wall</t>
  </si>
  <si>
    <t>GF plan - Dims' take-off</t>
  </si>
  <si>
    <t xml:space="preserve">General building </t>
  </si>
  <si>
    <t>Swimming pool incl surrounding walkways</t>
  </si>
  <si>
    <t>Pool store</t>
  </si>
  <si>
    <t>Plant room</t>
  </si>
  <si>
    <t>Changing rooms</t>
  </si>
  <si>
    <t>Tennis courts</t>
  </si>
  <si>
    <t>Club house GF</t>
  </si>
  <si>
    <t>Club house 1st Fl</t>
  </si>
  <si>
    <t>Changing facilities / Gym</t>
  </si>
  <si>
    <t>Studio areas</t>
  </si>
  <si>
    <t>Concept design 6</t>
  </si>
  <si>
    <t>Object Title</t>
  </si>
  <si>
    <t xml:space="preserve"> Area (m²) </t>
  </si>
  <si>
    <t xml:space="preserve"> Perimeter of Original Areas (m) </t>
  </si>
  <si>
    <t>GROUND FLOOR</t>
  </si>
  <si>
    <t>Swimming Pool</t>
  </si>
  <si>
    <t>Changing rooms (Pool)</t>
  </si>
  <si>
    <t>Office</t>
  </si>
  <si>
    <t>Staff rom</t>
  </si>
  <si>
    <t>Reception/foyer area</t>
  </si>
  <si>
    <t>Pool walkways/surround</t>
  </si>
  <si>
    <t>Lift shaft</t>
  </si>
  <si>
    <t>Corridor</t>
  </si>
  <si>
    <t>Toilets</t>
  </si>
  <si>
    <t>First Aid</t>
  </si>
  <si>
    <t>TOTAL GF</t>
  </si>
  <si>
    <t>FIRST FLOOR</t>
  </si>
  <si>
    <t>Studio</t>
  </si>
  <si>
    <t>Gym</t>
  </si>
  <si>
    <t>Changing rooms (Gym)</t>
  </si>
  <si>
    <t>Gallery / stand</t>
  </si>
  <si>
    <t>Corridors</t>
  </si>
  <si>
    <t>Store</t>
  </si>
  <si>
    <t>Stairwell</t>
  </si>
  <si>
    <t>Disabled toilets/changing</t>
  </si>
  <si>
    <t>Emergency access</t>
  </si>
  <si>
    <t>TOTAL 1st F</t>
  </si>
  <si>
    <t>OTHER</t>
  </si>
  <si>
    <t>GIFA Total</t>
  </si>
  <si>
    <t>TA Building Consultancy LTD</t>
  </si>
  <si>
    <t>LEVEL 6 QUANTITY SURVEYING [UWTSD]</t>
  </si>
  <si>
    <t>PILING SCHEDULE</t>
  </si>
  <si>
    <t>BOREHOLE INFORMATION</t>
  </si>
  <si>
    <t>External wall face length</t>
  </si>
  <si>
    <t>Total trench length</t>
  </si>
  <si>
    <t>GROUND SLAB</t>
  </si>
  <si>
    <t>A-E</t>
  </si>
  <si>
    <t>Total trench area</t>
  </si>
  <si>
    <t>P1</t>
  </si>
  <si>
    <t>P43</t>
  </si>
  <si>
    <t>P85</t>
  </si>
  <si>
    <t>P2</t>
  </si>
  <si>
    <t>P44</t>
  </si>
  <si>
    <t>P86</t>
  </si>
  <si>
    <t>Plus Working Space</t>
  </si>
  <si>
    <t>P3</t>
  </si>
  <si>
    <t>P45</t>
  </si>
  <si>
    <t>P87</t>
  </si>
  <si>
    <t>P4</t>
  </si>
  <si>
    <t>P46</t>
  </si>
  <si>
    <t>P88</t>
  </si>
  <si>
    <t>P5</t>
  </si>
  <si>
    <t>P47</t>
  </si>
  <si>
    <t>P89</t>
  </si>
  <si>
    <t>REVOLVING DOOR</t>
  </si>
  <si>
    <t>P6</t>
  </si>
  <si>
    <t>P48</t>
  </si>
  <si>
    <t>P90</t>
  </si>
  <si>
    <t>P7</t>
  </si>
  <si>
    <t>P49</t>
  </si>
  <si>
    <t>P91</t>
  </si>
  <si>
    <t>1-9'</t>
  </si>
  <si>
    <t>P8</t>
  </si>
  <si>
    <t>P50</t>
  </si>
  <si>
    <t>P92</t>
  </si>
  <si>
    <t>P9</t>
  </si>
  <si>
    <t>P51</t>
  </si>
  <si>
    <t>P93</t>
  </si>
  <si>
    <t>P10</t>
  </si>
  <si>
    <t>P52</t>
  </si>
  <si>
    <t>P94</t>
  </si>
  <si>
    <t>MASS PILE CAPS</t>
  </si>
  <si>
    <t>P11</t>
  </si>
  <si>
    <t>P53</t>
  </si>
  <si>
    <t>P95</t>
  </si>
  <si>
    <t>AREA 1</t>
  </si>
  <si>
    <t>P12</t>
  </si>
  <si>
    <t>P54</t>
  </si>
  <si>
    <t>P96</t>
  </si>
  <si>
    <t>P13</t>
  </si>
  <si>
    <t>P55</t>
  </si>
  <si>
    <t>P14</t>
  </si>
  <si>
    <t>P56</t>
  </si>
  <si>
    <t>AREA 2</t>
  </si>
  <si>
    <t>P15</t>
  </si>
  <si>
    <t>P57</t>
  </si>
  <si>
    <t>P16</t>
  </si>
  <si>
    <t>P58</t>
  </si>
  <si>
    <t>P17</t>
  </si>
  <si>
    <t>P59</t>
  </si>
  <si>
    <t>P18</t>
  </si>
  <si>
    <t>P60</t>
  </si>
  <si>
    <t>A-E 2</t>
  </si>
  <si>
    <t>P19</t>
  </si>
  <si>
    <t>P61</t>
  </si>
  <si>
    <t>P20</t>
  </si>
  <si>
    <t>P62</t>
  </si>
  <si>
    <t>P21</t>
  </si>
  <si>
    <t>P63</t>
  </si>
  <si>
    <t>P22</t>
  </si>
  <si>
    <t>P64</t>
  </si>
  <si>
    <t>P23</t>
  </si>
  <si>
    <t>P65</t>
  </si>
  <si>
    <t>P24</t>
  </si>
  <si>
    <t>P66</t>
  </si>
  <si>
    <t>SHEER WALLS</t>
  </si>
  <si>
    <t>P25</t>
  </si>
  <si>
    <t>P67</t>
  </si>
  <si>
    <t>P26</t>
  </si>
  <si>
    <t>P68</t>
  </si>
  <si>
    <t>P27</t>
  </si>
  <si>
    <t>P69</t>
  </si>
  <si>
    <t>1-9' 2</t>
  </si>
  <si>
    <t>P28</t>
  </si>
  <si>
    <t>P70</t>
  </si>
  <si>
    <t>P29</t>
  </si>
  <si>
    <t>P71</t>
  </si>
  <si>
    <t>P30</t>
  </si>
  <si>
    <t>P72</t>
  </si>
  <si>
    <t>P31</t>
  </si>
  <si>
    <t>P73</t>
  </si>
  <si>
    <t>P32</t>
  </si>
  <si>
    <t>P74</t>
  </si>
  <si>
    <t>P33</t>
  </si>
  <si>
    <t>P75</t>
  </si>
  <si>
    <t>P34</t>
  </si>
  <si>
    <t>P76</t>
  </si>
  <si>
    <t>P35</t>
  </si>
  <si>
    <t>P77</t>
  </si>
  <si>
    <t>P36</t>
  </si>
  <si>
    <t>P78</t>
  </si>
  <si>
    <t>P37</t>
  </si>
  <si>
    <t>P79</t>
  </si>
  <si>
    <t>P38</t>
  </si>
  <si>
    <t>P80</t>
  </si>
  <si>
    <t>P39</t>
  </si>
  <si>
    <t>P81</t>
  </si>
  <si>
    <t>P40</t>
  </si>
  <si>
    <t>P82</t>
  </si>
  <si>
    <t>P41</t>
  </si>
  <si>
    <t>P83</t>
  </si>
  <si>
    <t>P42</t>
  </si>
  <si>
    <t>P84</t>
  </si>
  <si>
    <t>Steel Reinforcement to Piles</t>
  </si>
  <si>
    <t>WEIGHT CALCULATION</t>
  </si>
  <si>
    <t>DIA</t>
  </si>
  <si>
    <t>LENGTH</t>
  </si>
  <si>
    <t>mm</t>
  </si>
  <si>
    <t>Index Factors</t>
  </si>
  <si>
    <t>SPONS - Original Tender Index - SPONS 2020 book TPI</t>
  </si>
  <si>
    <t>=Submission/Original</t>
  </si>
  <si>
    <t>SPONS Current Tender Index - Q2 2022 (PROJECT COMMENCEMENT)</t>
  </si>
  <si>
    <t>SPONS Tender Index - Movement</t>
  </si>
  <si>
    <t>BCIS Tender Index - in line with SPONS 2020 book TPI</t>
  </si>
  <si>
    <t>BCIS Tender Index - Q2 2022 (PROJECT COMMENCEMENT)</t>
  </si>
  <si>
    <t>BCIS Tender Index - Movement</t>
  </si>
  <si>
    <t>SPONS TPI with BCIS accurate index movement</t>
  </si>
  <si>
    <t>Original Location Index - Outer London (Spon’s 2020)</t>
  </si>
  <si>
    <t>=Current/Original</t>
  </si>
  <si>
    <t>Current Location Index - Wales</t>
  </si>
  <si>
    <t>Reference Description</t>
  </si>
  <si>
    <t>Page</t>
  </si>
  <si>
    <t xml:space="preserve">Spon's A&amp;B 2020 has been model calculated to give a book TPI </t>
  </si>
  <si>
    <t>SP - pg. 44</t>
  </si>
  <si>
    <t>Outer London (Spon’s 2020)</t>
  </si>
  <si>
    <t>SP - pg. 46</t>
  </si>
  <si>
    <t>BCIS All-in TPI - Last updated 22-Dec-2021</t>
  </si>
  <si>
    <t>Series:</t>
  </si>
  <si>
    <t>BCIS All-in TPI</t>
  </si>
  <si>
    <t xml:space="preserve">Series number: </t>
  </si>
  <si>
    <t>quarterly</t>
  </si>
  <si>
    <t xml:space="preserve">Base: </t>
  </si>
  <si>
    <t>1985 mean = 100</t>
  </si>
  <si>
    <t xml:space="preserve">Last updated: </t>
  </si>
  <si>
    <t>Downloaded:</t>
  </si>
  <si>
    <t>Date</t>
  </si>
  <si>
    <t>Index</t>
  </si>
  <si>
    <t>Status</t>
  </si>
  <si>
    <t>Equivalent sample</t>
  </si>
  <si>
    <t>Percentage     change</t>
  </si>
  <si>
    <t>On year</t>
  </si>
  <si>
    <t>On quarter</t>
  </si>
  <si>
    <t>Provisional</t>
  </si>
  <si>
    <t>Forecast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</si>
</sst>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quot;£&quot;* #,##0.00_-;_-&quot;£&quot;* &quot;-&quot;??_-;_-@_-"/>
    <numFmt numFmtId="43" formatCode="_-* #,##0.00_-;\-* #,##0.00_-;_-* &quot;-&quot;??_-;_-@_-"/>
    <numFmt numFmtId="164" formatCode="_(* #,##0.00_);_(* \(#,##0.00\);_(* &quot;-&quot;??_);_(@_)"/>
    <numFmt numFmtId="165" formatCode="0.000"/>
    <numFmt numFmtId="166" formatCode="0.0"/>
    <numFmt numFmtId="167" formatCode="_-* #,##0_-;\-* #,##0_-;_-* &quot;-&quot;??_-;_-@_-"/>
    <numFmt numFmtId="168" formatCode="_-[$£-809]* #,##0.00_-;\-[$£-809]* #,##0.00_-;_-[$£-809]* &quot;-&quot;??_-;_-@_-"/>
    <numFmt numFmtId="169" formatCode="_(* #,##0_);_(* \(#,##0\);_(* &quot;-&quot;??_);_(@_)"/>
    <numFmt numFmtId="170" formatCode="_-[$£-809]* #,##0_-;\-[$£-809]* #,##0_-;_-[$£-809]* &quot;-&quot;??_-;_-@_-"/>
    <numFmt numFmtId="171" formatCode="_-&quot;£&quot;* #,##0_-;\-&quot;£&quot;* #,##0_-;_-&quot;£&quot;* &quot;-&quot;??_-;_-@_-"/>
  </numFmts>
  <fonts count="44">
    <font>
      <sz val="11"/>
      <color theme="1"/>
      <name val="Calibri"/>
      <family val="2"/>
      <scheme val="minor"/>
    </font>
    <font>
      <b/>
      <sz val="11"/>
      <color theme="1"/>
      <name val="Calibri"/>
      <family val="2"/>
      <scheme val="minor"/>
    </font>
    <font>
      <u/>
      <sz val="11"/>
      <color theme="1"/>
      <name val="Calibri"/>
      <family val="2"/>
      <scheme val="minor"/>
    </font>
    <font>
      <b/>
      <u/>
      <sz val="11"/>
      <color theme="1"/>
      <name val="Calibri"/>
      <family val="2"/>
      <scheme val="minor"/>
    </font>
    <font>
      <sz val="11"/>
      <color theme="1"/>
      <name val="Calibri"/>
      <family val="2"/>
      <scheme val="minor"/>
    </font>
    <font>
      <sz val="16"/>
      <color theme="1"/>
      <name val="Calibri"/>
      <family val="2"/>
      <scheme val="minor"/>
    </font>
    <font>
      <b/>
      <sz val="16"/>
      <color theme="1"/>
      <name val="Californian FB"/>
      <family val="1"/>
    </font>
    <font>
      <sz val="12"/>
      <color indexed="8"/>
      <name val="Arial Black"/>
      <family val="2"/>
    </font>
    <font>
      <b/>
      <sz val="10"/>
      <name val="Arial"/>
      <family val="2"/>
    </font>
    <font>
      <b/>
      <sz val="16"/>
      <color theme="1"/>
      <name val="Calibri"/>
      <family val="2"/>
      <scheme val="minor"/>
    </font>
    <font>
      <b/>
      <sz val="14"/>
      <color theme="1"/>
      <name val="Calibri"/>
      <family val="2"/>
      <scheme val="minor"/>
    </font>
    <font>
      <sz val="16"/>
      <color theme="1"/>
      <name val="Californian FB"/>
      <family val="1"/>
    </font>
    <font>
      <b/>
      <sz val="18"/>
      <color theme="1"/>
      <name val="Californian FB"/>
      <family val="1"/>
    </font>
    <font>
      <b/>
      <sz val="20"/>
      <color theme="1"/>
      <name val="Californian FB"/>
      <family val="1"/>
    </font>
    <font>
      <b/>
      <u/>
      <sz val="12"/>
      <color theme="1"/>
      <name val="Calibri"/>
      <family val="2"/>
      <scheme val="minor"/>
    </font>
    <font>
      <b/>
      <sz val="12"/>
      <color rgb="FF000000"/>
      <name val="Calibri"/>
      <family val="2"/>
      <scheme val="minor"/>
    </font>
    <font>
      <sz val="11"/>
      <color rgb="FF000000"/>
      <name val="Calibri"/>
      <family val="2"/>
      <scheme val="minor"/>
    </font>
    <font>
      <b/>
      <sz val="11"/>
      <color rgb="FF000000"/>
      <name val="Calibri"/>
      <family val="2"/>
      <scheme val="minor"/>
    </font>
    <font>
      <b/>
      <sz val="12"/>
      <color theme="1"/>
      <name val="Calibri"/>
      <family val="2"/>
      <scheme val="minor"/>
    </font>
    <font>
      <sz val="8"/>
      <color rgb="FF000000"/>
      <name val="Calibri"/>
      <charset val="1"/>
    </font>
    <font>
      <b/>
      <sz val="8"/>
      <color rgb="FF000000"/>
      <name val="Calibri"/>
      <charset val="1"/>
    </font>
    <font>
      <sz val="11"/>
      <color rgb="FF000000"/>
      <name val="Calibri"/>
      <family val="2"/>
    </font>
    <font>
      <u/>
      <sz val="11"/>
      <color rgb="FF000000"/>
      <name val="Calibri"/>
      <family val="2"/>
    </font>
    <font>
      <b/>
      <sz val="11"/>
      <color rgb="FF000000"/>
      <name val="Calibri"/>
      <family val="2"/>
    </font>
    <font>
      <b/>
      <i/>
      <sz val="11"/>
      <color rgb="FF000000"/>
      <name val="Calibri"/>
      <family val="2"/>
    </font>
    <font>
      <sz val="11"/>
      <name val="Calibri"/>
      <family val="2"/>
    </font>
    <font>
      <sz val="11"/>
      <color rgb="FF444444"/>
      <name val="Calibri"/>
      <family val="2"/>
      <charset val="1"/>
    </font>
    <font>
      <sz val="9"/>
      <color theme="1"/>
      <name val="Helvetica"/>
      <charset val="1"/>
    </font>
    <font>
      <b/>
      <u/>
      <sz val="11"/>
      <color rgb="FF000000"/>
      <name val="Calibri"/>
      <family val="2"/>
    </font>
    <font>
      <sz val="11"/>
      <color rgb="FF000000"/>
      <name val="Calibri"/>
      <family val="2"/>
      <charset val="1"/>
    </font>
    <font>
      <sz val="11"/>
      <color rgb="FFFF0000"/>
      <name val="Calibri"/>
      <family val="2"/>
      <scheme val="minor"/>
    </font>
    <font>
      <sz val="9"/>
      <color rgb="FF000000"/>
      <name val="Calibri"/>
    </font>
    <font>
      <b/>
      <sz val="9"/>
      <color rgb="FF000000"/>
      <name val="Calibri"/>
    </font>
    <font>
      <b/>
      <sz val="8"/>
      <color rgb="FF000000"/>
      <name val="Helvetica Neue"/>
      <charset val="1"/>
    </font>
    <font>
      <sz val="8"/>
      <color rgb="FF000000"/>
      <name val="Arial"/>
      <charset val="1"/>
    </font>
    <font>
      <sz val="8"/>
      <color rgb="FF000000"/>
      <name val="Helvetica Neue"/>
      <charset val="1"/>
    </font>
    <font>
      <sz val="8"/>
      <color rgb="FF000000"/>
      <name val="AdvTT16F3B945.B"/>
      <charset val="1"/>
    </font>
    <font>
      <sz val="8"/>
      <color rgb="FF000000"/>
      <name val="AdvTT153188Ed"/>
      <charset val="1"/>
    </font>
    <font>
      <b/>
      <sz val="8"/>
      <color rgb="FF000000"/>
      <name val="Arial"/>
      <charset val="1"/>
    </font>
    <font>
      <sz val="8"/>
      <color rgb="FF000000"/>
      <name val="Helvetica"/>
      <charset val="1"/>
    </font>
    <font>
      <b/>
      <sz val="10"/>
      <color rgb="FF000000"/>
      <name val="Calibri"/>
    </font>
    <font>
      <sz val="9"/>
      <color rgb="FF000000"/>
      <name val="Helvetica Neue"/>
      <charset val="1"/>
    </font>
    <font>
      <b/>
      <sz val="9"/>
      <color rgb="FF000000"/>
      <name val="Helvetica Neue"/>
      <charset val="1"/>
    </font>
    <font>
      <sz val="8"/>
      <color rgb="FF000000"/>
      <name val="AdvTT16F3B945.B+20"/>
      <charset val="1"/>
    </font>
  </fonts>
  <fills count="22">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99CC"/>
        <bgColor indexed="64"/>
      </patternFill>
    </fill>
    <fill>
      <patternFill patternType="solid">
        <fgColor theme="2"/>
        <bgColor indexed="64"/>
      </patternFill>
    </fill>
    <fill>
      <patternFill patternType="solid">
        <fgColor rgb="FFD3D3D3"/>
        <bgColor rgb="FF000000"/>
      </patternFill>
    </fill>
    <fill>
      <patternFill patternType="solid">
        <fgColor rgb="FFFF0000"/>
        <bgColor indexed="64"/>
      </patternFill>
    </fill>
    <fill>
      <patternFill patternType="solid">
        <fgColor rgb="FFFFCCFF"/>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CC99FF"/>
        <bgColor indexed="64"/>
      </patternFill>
    </fill>
    <fill>
      <patternFill patternType="solid">
        <fgColor rgb="FFFFFFFF"/>
        <bgColor indexed="64"/>
      </patternFill>
    </fill>
    <fill>
      <patternFill patternType="solid">
        <fgColor rgb="FFA9D08E"/>
        <bgColor rgb="FF000000"/>
      </patternFill>
    </fill>
    <fill>
      <patternFill patternType="solid">
        <fgColor rgb="FFC6E0B4"/>
        <bgColor rgb="FF000000"/>
      </patternFill>
    </fill>
    <fill>
      <patternFill patternType="solid">
        <fgColor rgb="FFF8CBAD"/>
        <bgColor rgb="FF000000"/>
      </patternFill>
    </fill>
    <fill>
      <patternFill patternType="solid">
        <fgColor rgb="FFFCE4D6"/>
        <bgColor rgb="FF000000"/>
      </patternFill>
    </fill>
    <fill>
      <patternFill patternType="solid">
        <fgColor theme="5" tint="0.59999389629810485"/>
        <bgColor indexed="64"/>
      </patternFill>
    </fill>
  </fills>
  <borders count="6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ck">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thin">
        <color rgb="FF9A9A9A"/>
      </top>
      <bottom style="thin">
        <color rgb="FF000000"/>
      </bottom>
      <diagonal/>
    </border>
    <border>
      <left style="thin">
        <color rgb="FF000000"/>
      </left>
      <right style="thin">
        <color rgb="FF000000"/>
      </right>
      <top style="thin">
        <color rgb="FF000000"/>
      </top>
      <bottom style="thin">
        <color rgb="FF9A9A9A"/>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bottom/>
      <diagonal/>
    </border>
    <border>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s>
  <cellStyleXfs count="4">
    <xf numFmtId="0" fontId="0" fillId="0" borderId="0"/>
    <xf numFmtId="44"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cellStyleXfs>
  <cellXfs count="324">
    <xf numFmtId="0" fontId="0" fillId="0" borderId="0" xfId="0"/>
    <xf numFmtId="0" fontId="0" fillId="0" borderId="5" xfId="0" applyBorder="1"/>
    <xf numFmtId="0" fontId="0" fillId="0" borderId="3" xfId="0" applyBorder="1"/>
    <xf numFmtId="0" fontId="0" fillId="0" borderId="7" xfId="0" applyBorder="1"/>
    <xf numFmtId="0" fontId="0" fillId="0" borderId="8" xfId="0" applyBorder="1"/>
    <xf numFmtId="0" fontId="3" fillId="0" borderId="0" xfId="0" applyFont="1"/>
    <xf numFmtId="0" fontId="5" fillId="0" borderId="0" xfId="0" applyFont="1"/>
    <xf numFmtId="0" fontId="6" fillId="0" borderId="0" xfId="0" applyFont="1" applyAlignment="1">
      <alignment horizontal="left"/>
    </xf>
    <xf numFmtId="14" fontId="6" fillId="0" borderId="0" xfId="0" applyNumberFormat="1" applyFont="1" applyAlignment="1">
      <alignment horizontal="left"/>
    </xf>
    <xf numFmtId="44" fontId="0" fillId="0" borderId="0" xfId="1" applyFont="1"/>
    <xf numFmtId="0" fontId="1" fillId="0" borderId="0" xfId="0" applyFont="1"/>
    <xf numFmtId="44" fontId="0" fillId="0" borderId="0" xfId="0" applyNumberFormat="1"/>
    <xf numFmtId="0" fontId="0" fillId="0" borderId="2" xfId="0" applyBorder="1"/>
    <xf numFmtId="44" fontId="0" fillId="0" borderId="0" xfId="1" applyFont="1" applyBorder="1"/>
    <xf numFmtId="0" fontId="7" fillId="0" borderId="0" xfId="0" applyFont="1"/>
    <xf numFmtId="2" fontId="0" fillId="0" borderId="0" xfId="0" applyNumberFormat="1"/>
    <xf numFmtId="0" fontId="0" fillId="0" borderId="0" xfId="0" applyAlignment="1">
      <alignment vertical="center"/>
    </xf>
    <xf numFmtId="0" fontId="0" fillId="0" borderId="0" xfId="0" applyAlignment="1">
      <alignment horizontal="center" vertical="center"/>
    </xf>
    <xf numFmtId="0" fontId="1" fillId="0" borderId="9" xfId="0" applyFont="1" applyBorder="1" applyAlignment="1">
      <alignment horizontal="left" vertical="center"/>
    </xf>
    <xf numFmtId="2" fontId="0" fillId="0" borderId="13" xfId="2" applyNumberFormat="1" applyFont="1" applyBorder="1" applyAlignment="1">
      <alignment vertical="center"/>
    </xf>
    <xf numFmtId="0" fontId="0" fillId="0" borderId="14" xfId="0" applyBorder="1" applyAlignment="1">
      <alignment vertical="center"/>
    </xf>
    <xf numFmtId="44" fontId="0" fillId="0" borderId="15" xfId="1" applyFont="1" applyBorder="1" applyAlignment="1">
      <alignment vertical="center"/>
    </xf>
    <xf numFmtId="2" fontId="0" fillId="0" borderId="0" xfId="2" applyNumberFormat="1" applyFont="1" applyBorder="1" applyAlignment="1">
      <alignment vertical="center"/>
    </xf>
    <xf numFmtId="0" fontId="0" fillId="0" borderId="10" xfId="0" applyBorder="1"/>
    <xf numFmtId="49" fontId="0" fillId="0" borderId="9" xfId="0" applyNumberFormat="1" applyBorder="1"/>
    <xf numFmtId="0" fontId="0" fillId="0" borderId="14" xfId="0" applyBorder="1"/>
    <xf numFmtId="2" fontId="1" fillId="0" borderId="0" xfId="0" applyNumberFormat="1" applyFont="1"/>
    <xf numFmtId="0" fontId="0" fillId="0" borderId="17" xfId="0" applyBorder="1"/>
    <xf numFmtId="165" fontId="0" fillId="0" borderId="0" xfId="0" applyNumberFormat="1"/>
    <xf numFmtId="165" fontId="0" fillId="0" borderId="0" xfId="1" applyNumberFormat="1" applyFont="1" applyFill="1" applyBorder="1"/>
    <xf numFmtId="165" fontId="1" fillId="0" borderId="0" xfId="1" applyNumberFormat="1" applyFont="1" applyFill="1" applyBorder="1"/>
    <xf numFmtId="165" fontId="2" fillId="0" borderId="0" xfId="0" applyNumberFormat="1" applyFont="1" applyAlignment="1">
      <alignment vertical="center"/>
    </xf>
    <xf numFmtId="165" fontId="0" fillId="0" borderId="0" xfId="0" applyNumberFormat="1" applyAlignment="1">
      <alignment vertical="center"/>
    </xf>
    <xf numFmtId="165" fontId="0" fillId="0" borderId="0" xfId="1" applyNumberFormat="1" applyFont="1" applyFill="1" applyBorder="1" applyAlignment="1">
      <alignment vertical="center"/>
    </xf>
    <xf numFmtId="165" fontId="1" fillId="0" borderId="0" xfId="1" applyNumberFormat="1" applyFont="1" applyFill="1" applyBorder="1" applyAlignment="1">
      <alignment vertical="center"/>
    </xf>
    <xf numFmtId="165" fontId="0" fillId="0" borderId="0" xfId="0" applyNumberFormat="1" applyAlignment="1">
      <alignment horizontal="center" vertical="center"/>
    </xf>
    <xf numFmtId="165" fontId="1" fillId="0" borderId="9" xfId="0" applyNumberFormat="1" applyFont="1" applyBorder="1" applyAlignment="1">
      <alignment horizontal="center" vertical="center" wrapText="1"/>
    </xf>
    <xf numFmtId="165" fontId="1" fillId="0" borderId="0" xfId="0" applyNumberFormat="1" applyFont="1" applyAlignment="1">
      <alignment horizontal="center" vertical="center" wrapText="1"/>
    </xf>
    <xf numFmtId="165" fontId="0" fillId="0" borderId="0" xfId="2" applyNumberFormat="1" applyFont="1" applyFill="1" applyBorder="1" applyAlignment="1">
      <alignment vertical="center"/>
    </xf>
    <xf numFmtId="165" fontId="1" fillId="0" borderId="0" xfId="0" applyNumberFormat="1" applyFont="1"/>
    <xf numFmtId="165" fontId="1" fillId="0" borderId="0" xfId="0" applyNumberFormat="1" applyFont="1" applyAlignment="1">
      <alignment vertical="center"/>
    </xf>
    <xf numFmtId="165" fontId="0" fillId="0" borderId="0" xfId="0" quotePrefix="1" applyNumberFormat="1" applyAlignment="1">
      <alignment vertical="center"/>
    </xf>
    <xf numFmtId="165" fontId="4" fillId="0" borderId="0" xfId="1" applyNumberFormat="1" applyFont="1" applyFill="1" applyBorder="1" applyAlignment="1">
      <alignment vertical="center"/>
    </xf>
    <xf numFmtId="165" fontId="1" fillId="0" borderId="21" xfId="0" applyNumberFormat="1" applyFont="1" applyBorder="1" applyAlignment="1">
      <alignment horizontal="center" vertical="center" wrapText="1"/>
    </xf>
    <xf numFmtId="165" fontId="1" fillId="0" borderId="0" xfId="2" applyNumberFormat="1" applyFont="1" applyFill="1" applyBorder="1" applyAlignment="1">
      <alignment vertical="center"/>
    </xf>
    <xf numFmtId="165" fontId="1" fillId="0" borderId="0" xfId="0" quotePrefix="1" applyNumberFormat="1" applyFont="1" applyAlignment="1">
      <alignment vertical="center"/>
    </xf>
    <xf numFmtId="0" fontId="0" fillId="5" borderId="0" xfId="0" applyFill="1"/>
    <xf numFmtId="0" fontId="0" fillId="6" borderId="0" xfId="0" applyFill="1"/>
    <xf numFmtId="0" fontId="0" fillId="0" borderId="0" xfId="0" applyAlignment="1">
      <alignment horizontal="center"/>
    </xf>
    <xf numFmtId="0" fontId="0" fillId="0" borderId="13" xfId="0" applyBorder="1"/>
    <xf numFmtId="0" fontId="0" fillId="0" borderId="12" xfId="0" applyBorder="1"/>
    <xf numFmtId="0" fontId="0" fillId="0" borderId="16" xfId="0" applyBorder="1" applyAlignment="1">
      <alignment horizontal="center"/>
    </xf>
    <xf numFmtId="0" fontId="0" fillId="0" borderId="23" xfId="0" applyBorder="1" applyAlignment="1">
      <alignment horizontal="center"/>
    </xf>
    <xf numFmtId="0" fontId="0" fillId="0" borderId="19" xfId="0" applyBorder="1" applyAlignment="1">
      <alignment horizontal="center"/>
    </xf>
    <xf numFmtId="0" fontId="0" fillId="0" borderId="11" xfId="0" applyBorder="1"/>
    <xf numFmtId="0" fontId="0" fillId="0" borderId="15" xfId="0" applyBorder="1" applyAlignment="1">
      <alignment horizontal="center"/>
    </xf>
    <xf numFmtId="0" fontId="0" fillId="0" borderId="18" xfId="0" applyBorder="1" applyAlignment="1">
      <alignment horizontal="center"/>
    </xf>
    <xf numFmtId="0" fontId="0" fillId="0" borderId="18" xfId="0" applyBorder="1"/>
    <xf numFmtId="0" fontId="0" fillId="0" borderId="23" xfId="0" applyBorder="1"/>
    <xf numFmtId="0" fontId="0" fillId="0" borderId="19" xfId="0" applyBorder="1"/>
    <xf numFmtId="49" fontId="0" fillId="0" borderId="9" xfId="0" applyNumberFormat="1" applyBorder="1" applyAlignment="1">
      <alignment vertical="center"/>
    </xf>
    <xf numFmtId="165" fontId="1" fillId="3" borderId="9" xfId="2" applyNumberFormat="1" applyFont="1" applyFill="1" applyBorder="1" applyAlignment="1">
      <alignment horizontal="center" vertical="center"/>
    </xf>
    <xf numFmtId="166" fontId="0" fillId="0" borderId="0" xfId="2" applyNumberFormat="1" applyFont="1" applyFill="1" applyBorder="1" applyAlignment="1">
      <alignment vertical="center"/>
    </xf>
    <xf numFmtId="166" fontId="0" fillId="0" borderId="0" xfId="0" applyNumberFormat="1" applyAlignment="1">
      <alignment vertical="center"/>
    </xf>
    <xf numFmtId="0" fontId="0" fillId="4" borderId="2" xfId="0" applyFill="1" applyBorder="1"/>
    <xf numFmtId="0" fontId="0" fillId="4" borderId="2" xfId="0" applyFill="1" applyBorder="1" applyAlignment="1">
      <alignment horizontal="center"/>
    </xf>
    <xf numFmtId="0" fontId="9" fillId="0" borderId="0" xfId="0" applyFont="1"/>
    <xf numFmtId="0" fontId="0" fillId="7" borderId="0" xfId="0" applyFill="1"/>
    <xf numFmtId="0" fontId="0" fillId="8" borderId="0" xfId="0" applyFill="1"/>
    <xf numFmtId="49" fontId="0" fillId="0" borderId="0" xfId="0" applyNumberFormat="1"/>
    <xf numFmtId="0" fontId="0" fillId="0" borderId="0" xfId="0" applyAlignment="1">
      <alignment horizontal="left" indent="1"/>
    </xf>
    <xf numFmtId="0" fontId="8" fillId="0" borderId="13" xfId="0" applyFont="1" applyBorder="1" applyAlignment="1">
      <alignment vertical="center"/>
    </xf>
    <xf numFmtId="0" fontId="8" fillId="0" borderId="11" xfId="0" applyFont="1" applyBorder="1" applyAlignment="1">
      <alignment vertical="center"/>
    </xf>
    <xf numFmtId="0" fontId="8" fillId="0" borderId="12" xfId="0" applyFont="1" applyBorder="1" applyAlignment="1">
      <alignment vertical="center"/>
    </xf>
    <xf numFmtId="165" fontId="10" fillId="9" borderId="20" xfId="0" applyNumberFormat="1" applyFont="1" applyFill="1" applyBorder="1" applyAlignment="1">
      <alignment vertical="center"/>
    </xf>
    <xf numFmtId="165" fontId="10" fillId="9" borderId="22" xfId="0" applyNumberFormat="1" applyFont="1" applyFill="1" applyBorder="1" applyAlignment="1">
      <alignment vertical="center"/>
    </xf>
    <xf numFmtId="165" fontId="10" fillId="9" borderId="21" xfId="0" applyNumberFormat="1" applyFont="1" applyFill="1" applyBorder="1" applyAlignment="1">
      <alignment vertical="center"/>
    </xf>
    <xf numFmtId="0" fontId="10" fillId="9" borderId="20" xfId="0" applyFont="1" applyFill="1" applyBorder="1"/>
    <xf numFmtId="0" fontId="0" fillId="9" borderId="22" xfId="0" applyFill="1" applyBorder="1"/>
    <xf numFmtId="0" fontId="0" fillId="9" borderId="21" xfId="0" applyFill="1" applyBorder="1"/>
    <xf numFmtId="165" fontId="9" fillId="9" borderId="11" xfId="0" applyNumberFormat="1" applyFont="1" applyFill="1" applyBorder="1" applyAlignment="1">
      <alignment vertical="center"/>
    </xf>
    <xf numFmtId="165" fontId="0" fillId="9" borderId="13" xfId="0" applyNumberFormat="1" applyFill="1" applyBorder="1" applyAlignment="1">
      <alignment vertical="center"/>
    </xf>
    <xf numFmtId="165" fontId="0" fillId="9" borderId="12" xfId="0" applyNumberFormat="1" applyFill="1" applyBorder="1" applyAlignment="1">
      <alignment vertical="center"/>
    </xf>
    <xf numFmtId="0" fontId="1" fillId="0" borderId="19" xfId="0" applyFont="1" applyBorder="1" applyAlignment="1">
      <alignment horizontal="center"/>
    </xf>
    <xf numFmtId="166" fontId="1" fillId="0" borderId="0" xfId="2" applyNumberFormat="1" applyFont="1" applyFill="1" applyBorder="1" applyAlignment="1">
      <alignment vertical="center"/>
    </xf>
    <xf numFmtId="0" fontId="11" fillId="9" borderId="0" xfId="0" applyFont="1" applyFill="1"/>
    <xf numFmtId="0" fontId="11" fillId="9" borderId="0" xfId="0" applyFont="1" applyFill="1" applyAlignment="1">
      <alignment horizontal="left"/>
    </xf>
    <xf numFmtId="49" fontId="12" fillId="9" borderId="0" xfId="0" applyNumberFormat="1" applyFont="1" applyFill="1"/>
    <xf numFmtId="49" fontId="5" fillId="0" borderId="0" xfId="0" applyNumberFormat="1" applyFont="1"/>
    <xf numFmtId="0" fontId="13" fillId="2" borderId="0" xfId="0" applyFont="1" applyFill="1"/>
    <xf numFmtId="0" fontId="13" fillId="2" borderId="0" xfId="0" applyFont="1" applyFill="1" applyAlignment="1">
      <alignment horizontal="left" vertical="center"/>
    </xf>
    <xf numFmtId="0" fontId="1" fillId="0" borderId="0" xfId="0" applyFont="1" applyAlignment="1">
      <alignment horizontal="center" vertical="center"/>
    </xf>
    <xf numFmtId="0" fontId="1" fillId="8" borderId="0" xfId="0" applyFont="1" applyFill="1" applyAlignment="1">
      <alignment horizontal="center" vertical="center"/>
    </xf>
    <xf numFmtId="0" fontId="1" fillId="6" borderId="0" xfId="0" applyFont="1" applyFill="1" applyAlignment="1">
      <alignment horizontal="center" vertical="center"/>
    </xf>
    <xf numFmtId="0" fontId="1" fillId="7" borderId="0" xfId="0" applyFont="1" applyFill="1" applyAlignment="1">
      <alignment horizontal="center" vertical="center"/>
    </xf>
    <xf numFmtId="0" fontId="1" fillId="5" borderId="0" xfId="0" applyFont="1" applyFill="1" applyAlignment="1">
      <alignment horizontal="center" vertical="center"/>
    </xf>
    <xf numFmtId="0" fontId="14" fillId="0" borderId="0" xfId="0" applyFont="1"/>
    <xf numFmtId="0" fontId="0" fillId="0" borderId="0" xfId="0" applyAlignment="1">
      <alignment horizontal="center" vertical="center" wrapText="1"/>
    </xf>
    <xf numFmtId="0" fontId="0" fillId="0" borderId="9" xfId="0" applyBorder="1"/>
    <xf numFmtId="0" fontId="0" fillId="4" borderId="4" xfId="0" applyFill="1" applyBorder="1" applyAlignment="1">
      <alignment horizontal="center"/>
    </xf>
    <xf numFmtId="0" fontId="0" fillId="0" borderId="6"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8" xfId="0" applyBorder="1" applyAlignment="1">
      <alignment horizontal="center"/>
    </xf>
    <xf numFmtId="0" fontId="0" fillId="0" borderId="25" xfId="0" applyBorder="1" applyAlignment="1">
      <alignment horizontal="center"/>
    </xf>
    <xf numFmtId="0" fontId="0" fillId="0" borderId="24" xfId="0" applyBorder="1"/>
    <xf numFmtId="0" fontId="0" fillId="0" borderId="25" xfId="0" applyBorder="1"/>
    <xf numFmtId="0" fontId="0" fillId="0" borderId="27" xfId="0" applyBorder="1" applyAlignment="1">
      <alignment horizontal="center"/>
    </xf>
    <xf numFmtId="0" fontId="0" fillId="0" borderId="26" xfId="0" applyBorder="1"/>
    <xf numFmtId="0" fontId="0" fillId="0" borderId="28" xfId="0" applyBorder="1"/>
    <xf numFmtId="0" fontId="0" fillId="0" borderId="29" xfId="0" applyBorder="1"/>
    <xf numFmtId="0" fontId="0" fillId="0" borderId="30" xfId="0" applyBorder="1"/>
    <xf numFmtId="0" fontId="0" fillId="0" borderId="31" xfId="0" applyBorder="1" applyAlignment="1">
      <alignment wrapText="1"/>
    </xf>
    <xf numFmtId="0" fontId="0" fillId="0" borderId="32" xfId="0" applyBorder="1" applyAlignment="1">
      <alignment horizontal="center"/>
    </xf>
    <xf numFmtId="0" fontId="1" fillId="0" borderId="33" xfId="0" applyFont="1" applyBorder="1"/>
    <xf numFmtId="0" fontId="0" fillId="0" borderId="22" xfId="0" applyBorder="1"/>
    <xf numFmtId="0" fontId="1" fillId="0" borderId="21" xfId="0" applyFont="1" applyBorder="1"/>
    <xf numFmtId="0" fontId="15" fillId="0" borderId="34" xfId="0" applyFont="1" applyBorder="1" applyAlignment="1">
      <alignment horizontal="left" vertical="center" wrapText="1"/>
    </xf>
    <xf numFmtId="0" fontId="16" fillId="0" borderId="0" xfId="0" applyFont="1"/>
    <xf numFmtId="0" fontId="16" fillId="0" borderId="0" xfId="0" applyFont="1" applyAlignment="1">
      <alignment vertical="center"/>
    </xf>
    <xf numFmtId="0" fontId="17" fillId="10" borderId="0" xfId="0" applyFont="1" applyFill="1" applyAlignment="1">
      <alignment horizontal="right" vertical="center"/>
    </xf>
    <xf numFmtId="0" fontId="17" fillId="10" borderId="0" xfId="0" applyFont="1" applyFill="1" applyAlignment="1">
      <alignment horizontal="center" vertical="center"/>
    </xf>
    <xf numFmtId="17" fontId="16" fillId="0" borderId="0" xfId="0" applyNumberFormat="1" applyFont="1" applyAlignment="1">
      <alignment horizontal="right" vertical="center"/>
    </xf>
    <xf numFmtId="0" fontId="16" fillId="0" borderId="0" xfId="0" applyFont="1" applyAlignment="1">
      <alignment horizontal="right" vertical="center"/>
    </xf>
    <xf numFmtId="0" fontId="16" fillId="0" borderId="0" xfId="0" applyFont="1" applyAlignment="1">
      <alignment horizontal="center" vertical="center"/>
    </xf>
    <xf numFmtId="17" fontId="16" fillId="0" borderId="36" xfId="0" applyNumberFormat="1" applyFont="1" applyBorder="1" applyAlignment="1">
      <alignment horizontal="right" vertical="center"/>
    </xf>
    <xf numFmtId="0" fontId="16" fillId="0" borderId="36" xfId="0" applyFont="1" applyBorder="1" applyAlignment="1">
      <alignment horizontal="right" vertical="center"/>
    </xf>
    <xf numFmtId="0" fontId="16" fillId="0" borderId="36" xfId="0" applyFont="1" applyBorder="1"/>
    <xf numFmtId="0" fontId="16" fillId="0" borderId="36" xfId="0" applyFont="1" applyBorder="1" applyAlignment="1">
      <alignment horizontal="center" vertical="center"/>
    </xf>
    <xf numFmtId="165" fontId="1" fillId="0" borderId="6" xfId="2" applyNumberFormat="1" applyFont="1" applyFill="1" applyBorder="1" applyAlignment="1">
      <alignment vertical="center"/>
    </xf>
    <xf numFmtId="2" fontId="1" fillId="0" borderId="9" xfId="0" applyNumberFormat="1" applyFont="1" applyBorder="1" applyAlignment="1">
      <alignment horizontal="center" vertical="center" wrapText="1"/>
    </xf>
    <xf numFmtId="167" fontId="0" fillId="0" borderId="0" xfId="0" applyNumberFormat="1"/>
    <xf numFmtId="167" fontId="0" fillId="0" borderId="0" xfId="3" applyNumberFormat="1" applyFont="1" applyBorder="1"/>
    <xf numFmtId="0" fontId="1" fillId="11" borderId="0" xfId="0" applyFont="1" applyFill="1"/>
    <xf numFmtId="0" fontId="0" fillId="0" borderId="0" xfId="0" applyAlignment="1">
      <alignment horizontal="left" indent="2"/>
    </xf>
    <xf numFmtId="44" fontId="0" fillId="0" borderId="0" xfId="1" applyFont="1" applyFill="1" applyBorder="1"/>
    <xf numFmtId="0" fontId="1" fillId="13" borderId="22" xfId="0" applyFont="1" applyFill="1" applyBorder="1"/>
    <xf numFmtId="0" fontId="1" fillId="13" borderId="21" xfId="0" applyFont="1" applyFill="1" applyBorder="1"/>
    <xf numFmtId="0" fontId="0" fillId="5" borderId="22" xfId="0" applyFill="1" applyBorder="1"/>
    <xf numFmtId="0" fontId="0" fillId="5" borderId="21" xfId="0" applyFill="1" applyBorder="1"/>
    <xf numFmtId="0" fontId="0" fillId="7" borderId="22" xfId="0" applyFill="1" applyBorder="1"/>
    <xf numFmtId="0" fontId="0" fillId="7" borderId="21" xfId="0" applyFill="1" applyBorder="1"/>
    <xf numFmtId="0" fontId="2" fillId="0" borderId="0" xfId="0" applyFont="1"/>
    <xf numFmtId="44" fontId="0" fillId="0" borderId="0" xfId="1" applyFont="1" applyFill="1"/>
    <xf numFmtId="0" fontId="18" fillId="14" borderId="20" xfId="0" applyFont="1" applyFill="1" applyBorder="1"/>
    <xf numFmtId="0" fontId="18" fillId="14" borderId="22" xfId="0" applyFont="1" applyFill="1" applyBorder="1"/>
    <xf numFmtId="0" fontId="18" fillId="14" borderId="21" xfId="0" applyFont="1" applyFill="1" applyBorder="1"/>
    <xf numFmtId="0" fontId="18" fillId="7" borderId="20" xfId="0" applyFont="1" applyFill="1" applyBorder="1"/>
    <xf numFmtId="0" fontId="18" fillId="5" borderId="20" xfId="0" applyFont="1" applyFill="1" applyBorder="1"/>
    <xf numFmtId="0" fontId="18" fillId="13" borderId="20" xfId="0" applyFont="1" applyFill="1" applyBorder="1" applyAlignment="1">
      <alignment horizontal="left"/>
    </xf>
    <xf numFmtId="0" fontId="18" fillId="12" borderId="20" xfId="0" applyFont="1" applyFill="1" applyBorder="1" applyAlignment="1">
      <alignment horizontal="left"/>
    </xf>
    <xf numFmtId="0" fontId="1" fillId="12" borderId="22" xfId="0" applyFont="1" applyFill="1" applyBorder="1"/>
    <xf numFmtId="0" fontId="0" fillId="12" borderId="21" xfId="0" applyFill="1" applyBorder="1"/>
    <xf numFmtId="166" fontId="0" fillId="0" borderId="0" xfId="0" applyNumberFormat="1"/>
    <xf numFmtId="0" fontId="0" fillId="0" borderId="0" xfId="0" quotePrefix="1"/>
    <xf numFmtId="0" fontId="0" fillId="0" borderId="0" xfId="0" applyAlignment="1">
      <alignment horizontal="left" indent="4"/>
    </xf>
    <xf numFmtId="1" fontId="0" fillId="0" borderId="0" xfId="0" applyNumberFormat="1"/>
    <xf numFmtId="0" fontId="18" fillId="8" borderId="20" xfId="0" applyFont="1" applyFill="1" applyBorder="1"/>
    <xf numFmtId="0" fontId="0" fillId="8" borderId="22" xfId="0" applyFill="1" applyBorder="1"/>
    <xf numFmtId="0" fontId="0" fillId="8" borderId="21" xfId="0" applyFill="1" applyBorder="1"/>
    <xf numFmtId="0" fontId="18" fillId="15" borderId="22" xfId="0" applyFont="1" applyFill="1" applyBorder="1"/>
    <xf numFmtId="0" fontId="0" fillId="0" borderId="37" xfId="0" applyBorder="1"/>
    <xf numFmtId="0" fontId="0" fillId="0" borderId="38" xfId="0" applyBorder="1"/>
    <xf numFmtId="44" fontId="0" fillId="0" borderId="38" xfId="1" applyFont="1" applyBorder="1"/>
    <xf numFmtId="44" fontId="0" fillId="0" borderId="39" xfId="1" applyFont="1" applyBorder="1"/>
    <xf numFmtId="0" fontId="18" fillId="15" borderId="20" xfId="0" applyFont="1" applyFill="1" applyBorder="1"/>
    <xf numFmtId="168" fontId="0" fillId="0" borderId="0" xfId="0" applyNumberFormat="1"/>
    <xf numFmtId="0" fontId="21" fillId="0" borderId="0" xfId="0" applyFont="1"/>
    <xf numFmtId="0" fontId="21" fillId="0" borderId="4" xfId="0" applyFont="1" applyBorder="1"/>
    <xf numFmtId="0" fontId="21" fillId="0" borderId="42" xfId="0" applyFont="1" applyBorder="1"/>
    <xf numFmtId="0" fontId="21" fillId="0" borderId="3" xfId="0" applyFont="1" applyBorder="1"/>
    <xf numFmtId="0" fontId="23" fillId="0" borderId="3" xfId="0" applyFont="1" applyBorder="1"/>
    <xf numFmtId="0" fontId="23" fillId="0" borderId="0" xfId="0" applyFont="1"/>
    <xf numFmtId="0" fontId="21" fillId="0" borderId="46" xfId="0" applyFont="1" applyBorder="1"/>
    <xf numFmtId="0" fontId="21" fillId="0" borderId="8" xfId="0" applyFont="1" applyBorder="1"/>
    <xf numFmtId="0" fontId="24" fillId="0" borderId="3" xfId="0" applyFont="1" applyBorder="1"/>
    <xf numFmtId="0" fontId="24" fillId="0" borderId="0" xfId="0" applyFont="1"/>
    <xf numFmtId="0" fontId="21" fillId="0" borderId="47" xfId="0" applyFont="1" applyBorder="1"/>
    <xf numFmtId="0" fontId="21" fillId="0" borderId="48" xfId="0" applyFont="1" applyBorder="1"/>
    <xf numFmtId="0" fontId="21" fillId="0" borderId="2" xfId="0" applyFont="1" applyBorder="1"/>
    <xf numFmtId="15" fontId="21" fillId="0" borderId="0" xfId="0" applyNumberFormat="1" applyFont="1"/>
    <xf numFmtId="0" fontId="21" fillId="0" borderId="0" xfId="0" applyFont="1" applyAlignment="1">
      <alignment textRotation="90"/>
    </xf>
    <xf numFmtId="0" fontId="21" fillId="18" borderId="0" xfId="0" applyFont="1" applyFill="1"/>
    <xf numFmtId="0" fontId="25" fillId="0" borderId="0" xfId="0" applyFont="1"/>
    <xf numFmtId="0" fontId="23" fillId="18" borderId="0" xfId="0" applyFont="1" applyFill="1"/>
    <xf numFmtId="4" fontId="25" fillId="0" borderId="0" xfId="0" applyNumberFormat="1" applyFont="1"/>
    <xf numFmtId="0" fontId="21" fillId="20" borderId="0" xfId="0" applyFont="1" applyFill="1"/>
    <xf numFmtId="0" fontId="23" fillId="20" borderId="0" xfId="0" applyFont="1" applyFill="1"/>
    <xf numFmtId="0" fontId="18" fillId="4" borderId="20" xfId="0" applyFont="1" applyFill="1" applyBorder="1"/>
    <xf numFmtId="0" fontId="0" fillId="4" borderId="22" xfId="0" applyFill="1" applyBorder="1"/>
    <xf numFmtId="164" fontId="0" fillId="0" borderId="0" xfId="0" applyNumberFormat="1"/>
    <xf numFmtId="0" fontId="18" fillId="21" borderId="20" xfId="0" applyFont="1" applyFill="1" applyBorder="1"/>
    <xf numFmtId="0" fontId="18" fillId="21" borderId="22" xfId="0" applyFont="1" applyFill="1" applyBorder="1"/>
    <xf numFmtId="169" fontId="26" fillId="0" borderId="0" xfId="0" quotePrefix="1" applyNumberFormat="1" applyFont="1"/>
    <xf numFmtId="169" fontId="0" fillId="0" borderId="0" xfId="0" applyNumberFormat="1"/>
    <xf numFmtId="0" fontId="28" fillId="0" borderId="3" xfId="0" applyFont="1" applyBorder="1"/>
    <xf numFmtId="0" fontId="0" fillId="0" borderId="49" xfId="0" applyBorder="1"/>
    <xf numFmtId="0" fontId="0" fillId="0" borderId="50" xfId="0" applyBorder="1"/>
    <xf numFmtId="44" fontId="0" fillId="0" borderId="50" xfId="1" applyFont="1" applyBorder="1"/>
    <xf numFmtId="0" fontId="0" fillId="12" borderId="22" xfId="0" applyFill="1" applyBorder="1"/>
    <xf numFmtId="0" fontId="18" fillId="13" borderId="49" xfId="0" applyFont="1" applyFill="1" applyBorder="1" applyAlignment="1">
      <alignment horizontal="left"/>
    </xf>
    <xf numFmtId="0" fontId="1" fillId="13" borderId="50" xfId="0" applyFont="1" applyFill="1" applyBorder="1"/>
    <xf numFmtId="0" fontId="1" fillId="13" borderId="52" xfId="0" applyFont="1" applyFill="1" applyBorder="1"/>
    <xf numFmtId="168" fontId="1" fillId="0" borderId="37" xfId="0" applyNumberFormat="1" applyFont="1" applyBorder="1"/>
    <xf numFmtId="168" fontId="1" fillId="0" borderId="39" xfId="0" applyNumberFormat="1" applyFont="1" applyBorder="1"/>
    <xf numFmtId="170" fontId="1" fillId="0" borderId="49" xfId="0" applyNumberFormat="1" applyFont="1" applyBorder="1"/>
    <xf numFmtId="170" fontId="1" fillId="0" borderId="51" xfId="0" applyNumberFormat="1" applyFont="1" applyBorder="1"/>
    <xf numFmtId="170" fontId="0" fillId="0" borderId="0" xfId="0" applyNumberFormat="1"/>
    <xf numFmtId="0" fontId="28" fillId="0" borderId="0" xfId="0" applyFont="1"/>
    <xf numFmtId="168" fontId="0" fillId="0" borderId="0" xfId="1" applyNumberFormat="1" applyFont="1"/>
    <xf numFmtId="0" fontId="21" fillId="0" borderId="0" xfId="0" applyFont="1" applyAlignment="1">
      <alignment horizontal="right"/>
    </xf>
    <xf numFmtId="164" fontId="0" fillId="0" borderId="49" xfId="0" applyNumberFormat="1" applyBorder="1"/>
    <xf numFmtId="164" fontId="0" fillId="0" borderId="53" xfId="0" applyNumberFormat="1" applyBorder="1"/>
    <xf numFmtId="44" fontId="0" fillId="0" borderId="51" xfId="0" applyNumberFormat="1" applyBorder="1"/>
    <xf numFmtId="44" fontId="0" fillId="0" borderId="49" xfId="0" applyNumberFormat="1" applyBorder="1"/>
    <xf numFmtId="44" fontId="0" fillId="0" borderId="53" xfId="0" applyNumberFormat="1" applyBorder="1"/>
    <xf numFmtId="0" fontId="0" fillId="0" borderId="54" xfId="0" applyBorder="1"/>
    <xf numFmtId="0" fontId="0" fillId="0" borderId="55" xfId="0" applyBorder="1"/>
    <xf numFmtId="44" fontId="0" fillId="0" borderId="55" xfId="1" applyFont="1" applyBorder="1"/>
    <xf numFmtId="44" fontId="0" fillId="0" borderId="56" xfId="1" applyFont="1" applyBorder="1"/>
    <xf numFmtId="0" fontId="0" fillId="0" borderId="57" xfId="0" applyBorder="1" applyAlignment="1">
      <alignment vertical="center"/>
    </xf>
    <xf numFmtId="0" fontId="0" fillId="0" borderId="58" xfId="0" applyBorder="1" applyAlignment="1">
      <alignment vertical="center"/>
    </xf>
    <xf numFmtId="0" fontId="0" fillId="0" borderId="59" xfId="0" applyBorder="1" applyAlignment="1">
      <alignment vertical="center"/>
    </xf>
    <xf numFmtId="44" fontId="0" fillId="0" borderId="23" xfId="1" applyFont="1" applyBorder="1" applyAlignment="1">
      <alignment vertical="center"/>
    </xf>
    <xf numFmtId="0" fontId="29" fillId="0" borderId="58" xfId="0" quotePrefix="1" applyFont="1" applyBorder="1" applyAlignment="1">
      <alignment vertical="center"/>
    </xf>
    <xf numFmtId="168" fontId="0" fillId="0" borderId="17" xfId="1" applyNumberFormat="1" applyFont="1" applyBorder="1"/>
    <xf numFmtId="171" fontId="0" fillId="0" borderId="0" xfId="1" applyNumberFormat="1" applyFont="1" applyBorder="1" applyAlignment="1">
      <alignment vertical="center"/>
    </xf>
    <xf numFmtId="168" fontId="23" fillId="0" borderId="48" xfId="0" applyNumberFormat="1" applyFont="1" applyBorder="1"/>
    <xf numFmtId="168" fontId="0" fillId="0" borderId="13" xfId="1" applyNumberFormat="1" applyFont="1" applyBorder="1" applyAlignment="1">
      <alignment vertical="center"/>
    </xf>
    <xf numFmtId="168" fontId="0" fillId="0" borderId="0" xfId="0" applyNumberFormat="1" applyAlignment="1">
      <alignment vertical="center"/>
    </xf>
    <xf numFmtId="168" fontId="0" fillId="0" borderId="0" xfId="1" applyNumberFormat="1" applyFont="1" applyBorder="1" applyAlignment="1">
      <alignment vertical="center"/>
    </xf>
    <xf numFmtId="44" fontId="0" fillId="0" borderId="58" xfId="1" applyFont="1" applyBorder="1" applyAlignment="1">
      <alignment vertical="center"/>
    </xf>
    <xf numFmtId="44" fontId="1" fillId="0" borderId="20" xfId="1" applyFont="1" applyBorder="1" applyAlignment="1">
      <alignment horizontal="center" vertical="center"/>
    </xf>
    <xf numFmtId="0" fontId="1" fillId="0" borderId="21" xfId="0" applyFont="1" applyBorder="1" applyAlignment="1">
      <alignment horizontal="center" vertical="center" wrapText="1"/>
    </xf>
    <xf numFmtId="10" fontId="0" fillId="0" borderId="16" xfId="2" applyNumberFormat="1" applyFont="1" applyBorder="1" applyAlignment="1">
      <alignment vertical="center"/>
    </xf>
    <xf numFmtId="10" fontId="0" fillId="0" borderId="60" xfId="2" applyNumberFormat="1" applyFont="1" applyBorder="1" applyAlignment="1">
      <alignment vertical="center"/>
    </xf>
    <xf numFmtId="10" fontId="0" fillId="0" borderId="61" xfId="2" applyNumberFormat="1" applyFont="1" applyBorder="1" applyAlignment="1">
      <alignment vertical="center"/>
    </xf>
    <xf numFmtId="44" fontId="0" fillId="0" borderId="53" xfId="1" applyFont="1" applyBorder="1" applyAlignment="1">
      <alignment vertical="center"/>
    </xf>
    <xf numFmtId="44" fontId="1" fillId="0" borderId="57" xfId="1" applyFont="1" applyBorder="1" applyAlignment="1">
      <alignment horizontal="center" vertical="center"/>
    </xf>
    <xf numFmtId="44" fontId="0" fillId="0" borderId="57" xfId="1" applyFont="1" applyBorder="1" applyAlignment="1">
      <alignment vertical="center"/>
    </xf>
    <xf numFmtId="44" fontId="0" fillId="0" borderId="62" xfId="1" applyFont="1" applyBorder="1" applyAlignment="1">
      <alignment vertical="center"/>
    </xf>
    <xf numFmtId="2" fontId="0" fillId="0" borderId="15" xfId="2" applyNumberFormat="1" applyFont="1" applyBorder="1" applyAlignment="1">
      <alignment vertical="center"/>
    </xf>
    <xf numFmtId="2" fontId="0" fillId="0" borderId="11" xfId="2" applyNumberFormat="1" applyFont="1" applyBorder="1" applyAlignment="1">
      <alignment vertical="center"/>
    </xf>
    <xf numFmtId="44" fontId="1" fillId="0" borderId="10" xfId="1" applyFont="1" applyBorder="1" applyAlignment="1">
      <alignment horizontal="center" vertical="center" wrapText="1"/>
    </xf>
    <xf numFmtId="170" fontId="1" fillId="0" borderId="53" xfId="0" applyNumberFormat="1" applyFont="1" applyBorder="1"/>
    <xf numFmtId="0" fontId="18" fillId="2" borderId="0" xfId="0" applyFont="1" applyFill="1"/>
    <xf numFmtId="10" fontId="0" fillId="0" borderId="63" xfId="0" applyNumberFormat="1" applyBorder="1"/>
    <xf numFmtId="2" fontId="0" fillId="0" borderId="64" xfId="0" applyNumberFormat="1" applyBorder="1"/>
    <xf numFmtId="168" fontId="0" fillId="0" borderId="18" xfId="1" applyNumberFormat="1" applyFont="1" applyBorder="1"/>
    <xf numFmtId="44" fontId="0" fillId="0" borderId="53" xfId="1" applyFont="1" applyBorder="1"/>
    <xf numFmtId="2" fontId="0" fillId="0" borderId="65" xfId="0" applyNumberFormat="1" applyBorder="1"/>
    <xf numFmtId="4" fontId="0" fillId="0" borderId="0" xfId="0" applyNumberFormat="1"/>
    <xf numFmtId="0" fontId="30" fillId="0" borderId="0" xfId="0" applyFont="1"/>
    <xf numFmtId="44" fontId="30" fillId="0" borderId="0" xfId="1" applyFont="1"/>
    <xf numFmtId="0" fontId="27" fillId="0" borderId="0" xfId="0" applyFont="1" applyAlignment="1">
      <alignment wrapText="1"/>
    </xf>
    <xf numFmtId="0" fontId="19" fillId="0" borderId="0" xfId="0" applyFont="1"/>
    <xf numFmtId="0" fontId="20" fillId="0" borderId="0" xfId="0" applyFont="1"/>
    <xf numFmtId="0" fontId="19" fillId="0" borderId="0" xfId="0" applyFont="1" applyAlignment="1">
      <alignment wrapText="1"/>
    </xf>
    <xf numFmtId="0" fontId="31" fillId="0" borderId="0" xfId="0" applyFont="1" applyAlignment="1">
      <alignment wrapText="1"/>
    </xf>
    <xf numFmtId="44" fontId="16" fillId="0" borderId="0" xfId="1" applyFont="1"/>
    <xf numFmtId="168" fontId="16" fillId="0" borderId="0" xfId="0" applyNumberFormat="1" applyFont="1"/>
    <xf numFmtId="0" fontId="32" fillId="16" borderId="40" xfId="0" applyFont="1" applyFill="1" applyBorder="1"/>
    <xf numFmtId="0" fontId="31" fillId="0" borderId="0" xfId="0" applyFont="1"/>
    <xf numFmtId="44" fontId="31" fillId="0" borderId="0" xfId="1" applyFont="1"/>
    <xf numFmtId="168" fontId="31" fillId="0" borderId="0" xfId="0" applyNumberFormat="1" applyFont="1"/>
    <xf numFmtId="0" fontId="32" fillId="0" borderId="0" xfId="0" applyFont="1"/>
    <xf numFmtId="164" fontId="31" fillId="0" borderId="0" xfId="0" applyNumberFormat="1" applyFont="1"/>
    <xf numFmtId="0" fontId="33" fillId="0" borderId="0" xfId="0" applyFont="1" applyAlignment="1">
      <alignment wrapText="1"/>
    </xf>
    <xf numFmtId="0" fontId="34" fillId="0" borderId="0" xfId="0" applyFont="1" applyAlignment="1">
      <alignment wrapText="1"/>
    </xf>
    <xf numFmtId="0" fontId="35" fillId="0" borderId="0" xfId="0" applyFont="1"/>
    <xf numFmtId="0" fontId="16" fillId="0" borderId="0" xfId="0" applyFont="1" applyAlignment="1">
      <alignment wrapText="1"/>
    </xf>
    <xf numFmtId="0" fontId="36" fillId="16" borderId="0" xfId="0" applyFont="1" applyFill="1" applyAlignment="1">
      <alignment wrapText="1"/>
    </xf>
    <xf numFmtId="0" fontId="37" fillId="0" borderId="0" xfId="0" applyFont="1"/>
    <xf numFmtId="0" fontId="37" fillId="16" borderId="0" xfId="0" applyFont="1" applyFill="1" applyAlignment="1">
      <alignment wrapText="1"/>
    </xf>
    <xf numFmtId="0" fontId="38" fillId="0" borderId="0" xfId="0" applyFont="1" applyAlignment="1">
      <alignment wrapText="1"/>
    </xf>
    <xf numFmtId="0" fontId="20" fillId="0" borderId="0" xfId="0" applyFont="1" applyAlignment="1">
      <alignment wrapText="1"/>
    </xf>
    <xf numFmtId="0" fontId="39" fillId="0" borderId="0" xfId="0" applyFont="1" applyAlignment="1">
      <alignment wrapText="1"/>
    </xf>
    <xf numFmtId="0" fontId="29" fillId="0" borderId="0" xfId="0" applyFont="1" applyAlignment="1">
      <alignment wrapText="1"/>
    </xf>
    <xf numFmtId="2" fontId="31" fillId="0" borderId="0" xfId="0" applyNumberFormat="1" applyFont="1"/>
    <xf numFmtId="44" fontId="31" fillId="0" borderId="0" xfId="0" applyNumberFormat="1" applyFont="1"/>
    <xf numFmtId="0" fontId="37" fillId="16" borderId="0" xfId="0" applyFont="1" applyFill="1"/>
    <xf numFmtId="0" fontId="40" fillId="0" borderId="0" xfId="0" applyFont="1"/>
    <xf numFmtId="0" fontId="35" fillId="0" borderId="0" xfId="0" applyFont="1" applyAlignment="1">
      <alignment wrapText="1"/>
    </xf>
    <xf numFmtId="0" fontId="41" fillId="0" borderId="0" xfId="0" applyFont="1" applyAlignment="1">
      <alignment wrapText="1"/>
    </xf>
    <xf numFmtId="0" fontId="42" fillId="0" borderId="0" xfId="0" applyFont="1" applyAlignment="1">
      <alignment wrapText="1"/>
    </xf>
    <xf numFmtId="0" fontId="36" fillId="16" borderId="0" xfId="0" applyFont="1" applyFill="1"/>
    <xf numFmtId="0" fontId="29" fillId="0" borderId="0" xfId="0" quotePrefix="1" applyFont="1"/>
    <xf numFmtId="0" fontId="37" fillId="0" borderId="0" xfId="0" applyFont="1" applyAlignment="1">
      <alignment wrapText="1"/>
    </xf>
    <xf numFmtId="0" fontId="38" fillId="0" borderId="0" xfId="0" applyFont="1"/>
    <xf numFmtId="0" fontId="34" fillId="0" borderId="0" xfId="0" applyFont="1"/>
    <xf numFmtId="0" fontId="31" fillId="16" borderId="41" xfId="0" applyFont="1" applyFill="1" applyBorder="1"/>
    <xf numFmtId="0" fontId="31" fillId="16" borderId="41" xfId="0" applyFont="1" applyFill="1" applyBorder="1" applyAlignment="1">
      <alignment wrapText="1"/>
    </xf>
    <xf numFmtId="44" fontId="0" fillId="0" borderId="0" xfId="0" applyNumberFormat="1" applyAlignment="1">
      <alignment horizontal="center"/>
    </xf>
    <xf numFmtId="0" fontId="0" fillId="0" borderId="0" xfId="0" quotePrefix="1" applyAlignment="1">
      <alignment horizontal="left" wrapText="1"/>
    </xf>
    <xf numFmtId="44" fontId="0" fillId="0" borderId="0" xfId="0" applyNumberFormat="1" applyAlignment="1">
      <alignment horizontal="center"/>
    </xf>
    <xf numFmtId="0" fontId="0" fillId="0" borderId="0" xfId="0" applyAlignment="1">
      <alignment horizontal="center"/>
    </xf>
    <xf numFmtId="0" fontId="0" fillId="0" borderId="0" xfId="0" applyAlignment="1">
      <alignment horizontal="center" wrapText="1"/>
    </xf>
    <xf numFmtId="0" fontId="21" fillId="0" borderId="4" xfId="0" applyFont="1" applyBorder="1"/>
    <xf numFmtId="0" fontId="21" fillId="0" borderId="42" xfId="0" applyFont="1" applyBorder="1"/>
    <xf numFmtId="0" fontId="21" fillId="0" borderId="43" xfId="0" applyFont="1" applyBorder="1"/>
    <xf numFmtId="0" fontId="22" fillId="0" borderId="8" xfId="0" applyFont="1" applyBorder="1"/>
    <xf numFmtId="0" fontId="22" fillId="0" borderId="25" xfId="0" applyFont="1" applyBorder="1"/>
    <xf numFmtId="0" fontId="22" fillId="0" borderId="5" xfId="0" applyFont="1" applyBorder="1"/>
    <xf numFmtId="0" fontId="22" fillId="0" borderId="6" xfId="0" applyFont="1" applyBorder="1"/>
    <xf numFmtId="0" fontId="22" fillId="0" borderId="44" xfId="0" applyFont="1" applyBorder="1"/>
    <xf numFmtId="0" fontId="22" fillId="0" borderId="7" xfId="0" applyFont="1" applyBorder="1"/>
    <xf numFmtId="0" fontId="22" fillId="0" borderId="1" xfId="0" applyFont="1" applyBorder="1"/>
    <xf numFmtId="0" fontId="22" fillId="0" borderId="45" xfId="0" applyFont="1" applyBorder="1"/>
    <xf numFmtId="0" fontId="22" fillId="0" borderId="3" xfId="0" applyFont="1" applyBorder="1"/>
    <xf numFmtId="0" fontId="21" fillId="17" borderId="0" xfId="0" applyFont="1" applyFill="1" applyAlignment="1">
      <alignment textRotation="255"/>
    </xf>
    <xf numFmtId="0" fontId="21" fillId="19" borderId="0" xfId="0" applyFont="1" applyFill="1" applyAlignment="1">
      <alignment textRotation="255"/>
    </xf>
    <xf numFmtId="165" fontId="1" fillId="3" borderId="20" xfId="0" applyNumberFormat="1" applyFont="1" applyFill="1" applyBorder="1" applyAlignment="1">
      <alignment horizontal="center" vertical="center"/>
    </xf>
    <xf numFmtId="165" fontId="1" fillId="3" borderId="22" xfId="0" applyNumberFormat="1" applyFont="1" applyFill="1" applyBorder="1" applyAlignment="1">
      <alignment horizontal="center" vertical="center"/>
    </xf>
    <xf numFmtId="165" fontId="1" fillId="3" borderId="20" xfId="0" applyNumberFormat="1" applyFont="1" applyFill="1" applyBorder="1" applyAlignment="1">
      <alignment horizontal="center" vertical="center" wrapText="1"/>
    </xf>
    <xf numFmtId="165" fontId="1" fillId="3" borderId="21" xfId="0" applyNumberFormat="1" applyFont="1" applyFill="1" applyBorder="1" applyAlignment="1">
      <alignment horizontal="center" vertical="center" wrapText="1"/>
    </xf>
    <xf numFmtId="0" fontId="0" fillId="0" borderId="10" xfId="0" applyBorder="1" applyAlignment="1">
      <alignment horizontal="center" vertical="center" wrapText="1"/>
    </xf>
    <xf numFmtId="0" fontId="0" fillId="0" borderId="14" xfId="0" applyBorder="1" applyAlignment="1">
      <alignment horizontal="center" vertical="center" wrapText="1"/>
    </xf>
    <xf numFmtId="0" fontId="0" fillId="0" borderId="17" xfId="0" applyBorder="1" applyAlignment="1">
      <alignment horizontal="center" vertical="center" wrapText="1"/>
    </xf>
    <xf numFmtId="0" fontId="15" fillId="0" borderId="34" xfId="0" applyFont="1" applyBorder="1" applyAlignment="1">
      <alignment horizontal="left" vertical="center" wrapText="1"/>
    </xf>
    <xf numFmtId="0" fontId="15" fillId="0" borderId="35" xfId="0" applyFont="1" applyBorder="1" applyAlignment="1">
      <alignment horizontal="left" vertical="center" wrapText="1"/>
    </xf>
    <xf numFmtId="0" fontId="16" fillId="0" borderId="0" xfId="0" applyFont="1" applyAlignment="1">
      <alignment vertical="center"/>
    </xf>
    <xf numFmtId="15" fontId="16" fillId="0" borderId="0" xfId="0" applyNumberFormat="1" applyFont="1" applyAlignment="1">
      <alignment vertical="center"/>
    </xf>
    <xf numFmtId="22" fontId="16" fillId="0" borderId="0" xfId="0" applyNumberFormat="1" applyFont="1" applyAlignment="1">
      <alignment vertical="center"/>
    </xf>
    <xf numFmtId="0" fontId="17" fillId="10" borderId="0" xfId="0" applyFont="1" applyFill="1" applyAlignment="1">
      <alignment horizontal="center" vertical="center"/>
    </xf>
  </cellXfs>
  <cellStyles count="4">
    <cellStyle name="Comma" xfId="3" builtinId="3"/>
    <cellStyle name="Currency" xfId="1" builtinId="4"/>
    <cellStyle name="Normal" xfId="0" builtinId="0"/>
    <cellStyle name="Percent" xfId="2" builtinId="5"/>
  </cellStyles>
  <dxfs count="0"/>
  <tableStyles count="0" defaultTableStyle="TableStyleMedium2" defaultPivotStyle="PivotStyleLight16"/>
  <colors>
    <mruColors>
      <color rgb="FFCC99FF"/>
      <color rgb="FFFF99CC"/>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19050</xdr:colOff>
      <xdr:row>0</xdr:row>
      <xdr:rowOff>32657</xdr:rowOff>
    </xdr:from>
    <xdr:to>
      <xdr:col>6</xdr:col>
      <xdr:colOff>129651</xdr:colOff>
      <xdr:row>2</xdr:row>
      <xdr:rowOff>108857</xdr:rowOff>
    </xdr:to>
    <xdr:pic>
      <xdr:nvPicPr>
        <xdr:cNvPr id="2" name="Picture 1">
          <a:extLst>
            <a:ext uri="{FF2B5EF4-FFF2-40B4-BE49-F238E27FC236}">
              <a16:creationId xmlns:a16="http://schemas.microsoft.com/office/drawing/2014/main" id="{00000000-0008-0000-0700-000002000000}"/>
            </a:ext>
          </a:extLst>
        </xdr:cNvPr>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8036" b="87500" l="14815" r="100000">
                      <a14:foregroundMark x1="86111" y1="54018" x2="86111" y2="54018"/>
                      <a14:foregroundMark x1="58796" y1="54018" x2="58796" y2="54018"/>
                      <a14:foregroundMark x1="49074" y1="51786" x2="49074" y2="51786"/>
                      <a14:foregroundMark x1="53241" y1="63393" x2="53241" y2="63393"/>
                      <a14:foregroundMark x1="62037" y1="67411" x2="62037" y2="67411"/>
                    </a14:backgroundRemoval>
                  </a14:imgEffect>
                </a14:imgLayer>
              </a14:imgProps>
            </a:ext>
            <a:ext uri="{28A0092B-C50C-407E-A947-70E740481C1C}">
              <a14:useLocalDpi xmlns:a14="http://schemas.microsoft.com/office/drawing/2010/main" val="0"/>
            </a:ext>
          </a:extLst>
        </a:blip>
        <a:srcRect l="15452" t="1" b="17321"/>
        <a:stretch/>
      </xdr:blipFill>
      <xdr:spPr bwMode="auto">
        <a:xfrm>
          <a:off x="3927021" y="32657"/>
          <a:ext cx="752858" cy="555171"/>
        </a:xfrm>
        <a:prstGeom prst="rect">
          <a:avLst/>
        </a:prstGeom>
        <a:noFill/>
        <a:ln>
          <a:noFill/>
        </a:ln>
      </xdr:spPr>
    </xdr:pic>
    <xdr:clientData/>
  </xdr:twoCellAnchor>
  <xdr:twoCellAnchor editAs="oneCell">
    <xdr:from>
      <xdr:col>28</xdr:col>
      <xdr:colOff>0</xdr:colOff>
      <xdr:row>6</xdr:row>
      <xdr:rowOff>0</xdr:rowOff>
    </xdr:from>
    <xdr:to>
      <xdr:col>50</xdr:col>
      <xdr:colOff>55362</xdr:colOff>
      <xdr:row>21</xdr:row>
      <xdr:rowOff>75726</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3"/>
        <a:stretch>
          <a:fillRect/>
        </a:stretch>
      </xdr:blipFill>
      <xdr:spPr>
        <a:xfrm>
          <a:off x="19831050" y="1238250"/>
          <a:ext cx="14304762" cy="3790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702127</xdr:colOff>
      <xdr:row>0</xdr:row>
      <xdr:rowOff>0</xdr:rowOff>
    </xdr:from>
    <xdr:to>
      <xdr:col>8</xdr:col>
      <xdr:colOff>7185</xdr:colOff>
      <xdr:row>2</xdr:row>
      <xdr:rowOff>102325</xdr:rowOff>
    </xdr:to>
    <xdr:pic>
      <xdr:nvPicPr>
        <xdr:cNvPr id="2" name="Picture 1">
          <a:extLst>
            <a:ext uri="{FF2B5EF4-FFF2-40B4-BE49-F238E27FC236}">
              <a16:creationId xmlns:a16="http://schemas.microsoft.com/office/drawing/2014/main" id="{00000000-0008-0000-0800-000002000000}"/>
            </a:ext>
          </a:extLst>
        </xdr:cNvPr>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8036" b="87500" l="14815" r="100000">
                      <a14:foregroundMark x1="86111" y1="54018" x2="86111" y2="54018"/>
                      <a14:foregroundMark x1="58796" y1="54018" x2="58796" y2="54018"/>
                      <a14:foregroundMark x1="49074" y1="51786" x2="49074" y2="51786"/>
                      <a14:foregroundMark x1="53241" y1="63393" x2="53241" y2="63393"/>
                      <a14:foregroundMark x1="62037" y1="67411" x2="62037" y2="67411"/>
                    </a14:backgroundRemoval>
                  </a14:imgEffect>
                </a14:imgLayer>
              </a14:imgProps>
            </a:ext>
            <a:ext uri="{28A0092B-C50C-407E-A947-70E740481C1C}">
              <a14:useLocalDpi xmlns:a14="http://schemas.microsoft.com/office/drawing/2010/main" val="0"/>
            </a:ext>
          </a:extLst>
        </a:blip>
        <a:srcRect l="15452" t="1" b="17321"/>
        <a:stretch/>
      </xdr:blipFill>
      <xdr:spPr bwMode="auto">
        <a:xfrm>
          <a:off x="6798127" y="0"/>
          <a:ext cx="714758" cy="521425"/>
        </a:xfrm>
        <a:prstGeom prst="rect">
          <a:avLst/>
        </a:prstGeom>
        <a:noFill/>
        <a:ln>
          <a:noFill/>
        </a:ln>
      </xdr:spPr>
    </xdr:pic>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6E886D96-D641-46FA-BDB0-0BB84DCB2A08}"/>
</namedSheetView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2:F28"/>
  <sheetViews>
    <sheetView view="pageBreakPreview" zoomScale="55" zoomScaleNormal="85" zoomScaleSheetLayoutView="55" workbookViewId="0">
      <selection activeCell="C20" sqref="C20"/>
    </sheetView>
  </sheetViews>
  <sheetFormatPr defaultRowHeight="15"/>
  <cols>
    <col min="3" max="3" width="56" customWidth="1"/>
    <col min="6" max="6" width="17.140625" customWidth="1"/>
  </cols>
  <sheetData>
    <row r="12" spans="3:6" ht="21">
      <c r="C12" s="6"/>
    </row>
    <row r="13" spans="3:6" ht="20.25">
      <c r="F13" s="8"/>
    </row>
    <row r="14" spans="3:6" ht="26.25">
      <c r="C14" s="89"/>
    </row>
    <row r="15" spans="3:6" ht="26.25">
      <c r="C15" s="90"/>
    </row>
    <row r="16" spans="3:6" ht="20.25">
      <c r="C16" s="7"/>
    </row>
    <row r="17" spans="3:3" ht="20.25">
      <c r="C17" s="7"/>
    </row>
    <row r="19" spans="3:3" ht="21">
      <c r="C19" s="6"/>
    </row>
    <row r="20" spans="3:3" ht="21">
      <c r="C20" s="6"/>
    </row>
    <row r="21" spans="3:3" ht="21">
      <c r="C21" s="6"/>
    </row>
    <row r="22" spans="3:3" ht="21">
      <c r="C22" s="88"/>
    </row>
    <row r="23" spans="3:3" ht="23.25">
      <c r="C23" s="87"/>
    </row>
    <row r="24" spans="3:3" ht="23.25">
      <c r="C24" s="87"/>
    </row>
    <row r="25" spans="3:3" ht="21">
      <c r="C25" s="6"/>
    </row>
    <row r="26" spans="3:3" ht="20.25">
      <c r="C26" s="85"/>
    </row>
    <row r="27" spans="3:3" ht="20.25">
      <c r="C27" s="85"/>
    </row>
    <row r="28" spans="3:3" ht="20.25">
      <c r="C28" s="86"/>
    </row>
  </sheetData>
  <pageMargins left="0.7" right="0.7" top="0.75" bottom="0.75" header="0.3" footer="0.3"/>
  <pageSetup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28"/>
  <sheetViews>
    <sheetView view="pageBreakPreview" zoomScale="70" zoomScaleNormal="70" zoomScaleSheetLayoutView="70" workbookViewId="0">
      <selection activeCell="E9" sqref="E9"/>
    </sheetView>
  </sheetViews>
  <sheetFormatPr defaultRowHeight="15" customHeight="1"/>
  <cols>
    <col min="1" max="1" width="5" customWidth="1"/>
    <col min="2" max="2" width="38.7109375" customWidth="1"/>
    <col min="3" max="4" width="18.28515625" style="9" customWidth="1"/>
    <col min="5" max="5" width="14.42578125" customWidth="1"/>
    <col min="6" max="6" width="8.85546875" style="15"/>
    <col min="7" max="7" width="11.42578125" style="15" customWidth="1"/>
    <col min="8" max="8" width="18.28515625" style="9" customWidth="1"/>
    <col min="9" max="9" width="18.7109375" customWidth="1"/>
    <col min="11" max="11" width="15.140625" customWidth="1"/>
    <col min="13" max="13" width="7.28515625" customWidth="1"/>
    <col min="14" max="14" width="14.140625" customWidth="1"/>
    <col min="17" max="17" width="13.140625" customWidth="1"/>
    <col min="18" max="18" width="12.28515625" customWidth="1"/>
  </cols>
  <sheetData>
    <row r="1" spans="2:11"/>
    <row r="2" spans="2:11" ht="15.75">
      <c r="B2" s="245" t="s">
        <v>0</v>
      </c>
    </row>
    <row r="3" spans="2:11" s="17" customFormat="1" ht="49.15" customHeight="1">
      <c r="B3" s="18" t="s">
        <v>1</v>
      </c>
      <c r="C3" s="232" t="s">
        <v>2</v>
      </c>
      <c r="D3" s="238" t="s">
        <v>3</v>
      </c>
      <c r="E3" s="233" t="s">
        <v>4</v>
      </c>
      <c r="F3" s="130" t="s">
        <v>5</v>
      </c>
      <c r="G3" s="130" t="s">
        <v>6</v>
      </c>
      <c r="H3" s="243" t="s">
        <v>7</v>
      </c>
    </row>
    <row r="4" spans="2:11" s="16" customFormat="1" ht="19.5" customHeight="1">
      <c r="B4" s="20"/>
      <c r="C4" s="21"/>
      <c r="D4" s="237"/>
      <c r="E4" s="234"/>
      <c r="F4" s="22"/>
      <c r="G4" s="241"/>
      <c r="H4" s="239"/>
    </row>
    <row r="5" spans="2:11" s="16" customFormat="1" ht="19.899999999999999" customHeight="1">
      <c r="B5" s="220" t="str">
        <f>'1. Preliminaries-main contract'!C8</f>
        <v>PRELIMINARIES</v>
      </c>
      <c r="C5" s="228">
        <f>'1. Preliminaries-main contract'!L94</f>
        <v>880342</v>
      </c>
      <c r="D5" s="230">
        <f>'1. Preliminaries-main contract'!L94</f>
        <v>880342</v>
      </c>
      <c r="E5" s="235">
        <f>D5/D15</f>
        <v>2.0578568254634933E-2</v>
      </c>
      <c r="F5" s="19">
        <v>1.19</v>
      </c>
      <c r="G5" s="242">
        <v>0.86</v>
      </c>
      <c r="H5" s="240">
        <f>D5*F5*G5</f>
        <v>900942.00280000002</v>
      </c>
      <c r="K5" s="229"/>
    </row>
    <row r="6" spans="2:11" s="16" customFormat="1" ht="19.899999999999999" customHeight="1">
      <c r="B6" s="224" t="str">
        <f>'Initial Feasability'!B2</f>
        <v>ENABLING  WORKS</v>
      </c>
      <c r="C6" s="226">
        <f>'Initial Feasability'!J2</f>
        <v>164620.81</v>
      </c>
      <c r="D6" s="226">
        <f>'Initial Feasability'!K2</f>
        <v>164620.81</v>
      </c>
      <c r="E6" s="236">
        <f>D6/$D$15</f>
        <v>3.8481187705667673E-3</v>
      </c>
      <c r="F6" s="22">
        <v>1.19</v>
      </c>
      <c r="G6" s="241">
        <v>0.86</v>
      </c>
      <c r="H6" s="231">
        <f>D6*F6*G6</f>
        <v>168472.93695399998</v>
      </c>
    </row>
    <row r="7" spans="2:11" s="16" customFormat="1" ht="19.5" customHeight="1">
      <c r="B7" s="221" t="str">
        <f>'Initial Feasability'!B33</f>
        <v>EXCAVATE AND FILL</v>
      </c>
      <c r="C7" s="226">
        <f>'Initial Feasability'!J33</f>
        <v>5352764.4668876398</v>
      </c>
      <c r="D7" s="226">
        <f>'Initial Feasability'!K33</f>
        <v>5352764.4668876398</v>
      </c>
      <c r="E7" s="236">
        <f t="shared" ref="E7:E14" si="0">D7/$D$15</f>
        <v>0.12512435954757567</v>
      </c>
      <c r="F7" s="22">
        <v>1.19</v>
      </c>
      <c r="G7" s="241">
        <v>0.86</v>
      </c>
      <c r="H7" s="231">
        <f>D7*F7*G7</f>
        <v>5478019.1554128099</v>
      </c>
    </row>
    <row r="8" spans="2:11" s="16" customFormat="1" ht="19.5" customHeight="1">
      <c r="B8" s="221" t="str">
        <f>'Initial Feasability'!B53</f>
        <v xml:space="preserve">SUBSTRUCTURE </v>
      </c>
      <c r="C8" s="226">
        <f>'Initial Feasability'!J53</f>
        <v>2866919.6100108</v>
      </c>
      <c r="D8" s="226">
        <f>'Initial Feasability'!K53</f>
        <v>5399377.7787600001</v>
      </c>
      <c r="E8" s="236">
        <f t="shared" si="0"/>
        <v>0.12621397610561785</v>
      </c>
      <c r="F8" s="22">
        <v>1.19</v>
      </c>
      <c r="G8" s="241">
        <v>0.86</v>
      </c>
      <c r="H8" s="231">
        <f t="shared" ref="H8:H12" si="1">D8*F8*G8</f>
        <v>5525723.2187829837</v>
      </c>
    </row>
    <row r="9" spans="2:11" s="16" customFormat="1" ht="19.5" customHeight="1">
      <c r="B9" s="221" t="str">
        <f>'Initial Feasability'!B96</f>
        <v>DRAINAGE</v>
      </c>
      <c r="C9" s="226">
        <f>'Initial Feasability'!J96</f>
        <v>204130.56000000003</v>
      </c>
      <c r="D9" s="226">
        <f>'Initial Feasability'!K96</f>
        <v>228130.56000000003</v>
      </c>
      <c r="E9" s="236">
        <f t="shared" si="0"/>
        <v>5.3327005867357122E-3</v>
      </c>
      <c r="F9" s="22">
        <v>1.19</v>
      </c>
      <c r="G9" s="241">
        <v>0.86</v>
      </c>
      <c r="H9" s="231">
        <f t="shared" si="1"/>
        <v>233468.81510400001</v>
      </c>
    </row>
    <row r="10" spans="2:11" s="16" customFormat="1" ht="19.5" customHeight="1">
      <c r="B10" s="221" t="str">
        <f>'Initial Feasability'!B164</f>
        <v>CAR PARKING</v>
      </c>
      <c r="C10" s="226">
        <f>'Initial Feasability'!J164</f>
        <v>6300000</v>
      </c>
      <c r="D10" s="226">
        <f>'Initial Feasability'!K164</f>
        <v>10120000</v>
      </c>
      <c r="E10" s="236">
        <f t="shared" si="0"/>
        <v>0.236561598488889</v>
      </c>
      <c r="F10" s="22">
        <v>1.19</v>
      </c>
      <c r="G10" s="241">
        <v>0.86</v>
      </c>
      <c r="H10" s="231">
        <f t="shared" si="1"/>
        <v>10356808</v>
      </c>
    </row>
    <row r="11" spans="2:11" s="16" customFormat="1" ht="19.5" customHeight="1">
      <c r="B11" s="221" t="str">
        <f>'Initial Feasability'!B183</f>
        <v>GENERAL SUPERSTRUCTURES AND FACILITIES</v>
      </c>
      <c r="C11" s="226">
        <f>'Initial Feasability'!J183</f>
        <v>10735119.25725</v>
      </c>
      <c r="D11" s="226">
        <f>'Initial Feasability'!K183</f>
        <v>14464812.745999999</v>
      </c>
      <c r="E11" s="236">
        <f t="shared" si="0"/>
        <v>0.33812442935140474</v>
      </c>
      <c r="F11" s="22">
        <v>1.19</v>
      </c>
      <c r="G11" s="241">
        <v>0.86</v>
      </c>
      <c r="H11" s="231">
        <f t="shared" si="1"/>
        <v>14803289.364256399</v>
      </c>
    </row>
    <row r="12" spans="2:11" s="16" customFormat="1" ht="19.5" customHeight="1">
      <c r="B12" s="221" t="str">
        <f>'Initial Feasability'!B207</f>
        <v>SPORTS PITCH</v>
      </c>
      <c r="C12" s="226">
        <f>'Initial Feasability'!J207</f>
        <v>385887.5</v>
      </c>
      <c r="D12" s="226">
        <f>'Initial Feasability'!K207</f>
        <v>509320</v>
      </c>
      <c r="E12" s="236">
        <f t="shared" si="0"/>
        <v>1.1905687089166101E-2</v>
      </c>
      <c r="F12" s="22">
        <v>1.19</v>
      </c>
      <c r="G12" s="241">
        <v>0.86</v>
      </c>
      <c r="H12" s="231">
        <f t="shared" si="1"/>
        <v>521238.08799999993</v>
      </c>
    </row>
    <row r="13" spans="2:11" s="16" customFormat="1" ht="19.5" customHeight="1">
      <c r="B13" s="221" t="str">
        <f>'Initial Feasability'!B260</f>
        <v>GENERAL GARDEN LANDSCAPED AREA</v>
      </c>
      <c r="C13" s="226">
        <f>'Initial Feasability'!J260</f>
        <v>68690</v>
      </c>
      <c r="D13" s="226">
        <f>'Initial Feasability'!K260</f>
        <v>80245</v>
      </c>
      <c r="E13" s="236">
        <f t="shared" si="0"/>
        <v>1.8757791967135276E-3</v>
      </c>
      <c r="F13" s="22">
        <v>1.19</v>
      </c>
      <c r="G13" s="241">
        <v>0.86</v>
      </c>
      <c r="H13" s="231">
        <f>D13*F13*G13</f>
        <v>82122.733000000007</v>
      </c>
    </row>
    <row r="14" spans="2:11" s="16" customFormat="1" ht="19.5" customHeight="1">
      <c r="B14" s="222" t="s">
        <v>8</v>
      </c>
      <c r="C14" s="223">
        <v>4043771.1306222659</v>
      </c>
      <c r="D14" s="223">
        <v>5579942.0042471467</v>
      </c>
      <c r="E14" s="236">
        <f t="shared" si="0"/>
        <v>0.13043478260869568</v>
      </c>
      <c r="F14" s="22">
        <v>1.19</v>
      </c>
      <c r="G14" s="241">
        <v>0.86</v>
      </c>
      <c r="H14" s="231">
        <f>D14*F14*G14</f>
        <v>5710512.6471465295</v>
      </c>
    </row>
    <row r="15" spans="2:11">
      <c r="C15" s="225">
        <f>SUM(C5:C14)</f>
        <v>31002245.334770709</v>
      </c>
      <c r="D15" s="248">
        <f>SUM(D5:D14)</f>
        <v>42779555.365894787</v>
      </c>
      <c r="E15" s="246">
        <f>SUM(E5:E14)</f>
        <v>1</v>
      </c>
      <c r="F15" s="247"/>
      <c r="G15" s="250"/>
      <c r="H15" s="249">
        <f>SUM(H5:H14)</f>
        <v>43780596.961456724</v>
      </c>
      <c r="I15" s="11"/>
    </row>
    <row r="16" spans="2:11"/>
    <row r="17"/>
    <row r="18"/>
    <row r="19"/>
    <row r="20"/>
    <row r="21"/>
    <row r="22"/>
    <row r="23"/>
    <row r="24"/>
    <row r="25"/>
    <row r="26"/>
    <row r="27"/>
    <row r="28"/>
  </sheetData>
  <pageMargins left="0.7" right="0.7" top="0.75" bottom="0.75" header="0.3" footer="0.3"/>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V29"/>
  <sheetViews>
    <sheetView view="pageBreakPreview" zoomScale="70" zoomScaleNormal="70" zoomScaleSheetLayoutView="70" workbookViewId="0">
      <selection activeCell="P31" sqref="P31:P32"/>
    </sheetView>
  </sheetViews>
  <sheetFormatPr defaultRowHeight="15"/>
  <cols>
    <col min="1" max="2" width="2.7109375" customWidth="1"/>
    <col min="13" max="13" width="12.5703125" customWidth="1"/>
    <col min="14" max="14" width="5.7109375" customWidth="1"/>
    <col min="23" max="23" width="6" customWidth="1"/>
  </cols>
  <sheetData>
    <row r="2" spans="2:20" ht="15.75">
      <c r="B2" s="96" t="s">
        <v>9</v>
      </c>
      <c r="D2" s="5"/>
      <c r="E2" s="5"/>
      <c r="F2" s="5"/>
      <c r="G2" s="5"/>
      <c r="H2" s="5"/>
      <c r="I2" s="5"/>
      <c r="J2" s="5"/>
      <c r="K2" s="5"/>
      <c r="L2" s="5"/>
      <c r="M2" s="5"/>
      <c r="N2" s="96" t="s">
        <v>10</v>
      </c>
    </row>
    <row r="4" spans="2:20">
      <c r="B4" s="91">
        <v>1</v>
      </c>
      <c r="C4" t="s">
        <v>11</v>
      </c>
      <c r="N4" s="93">
        <v>1</v>
      </c>
      <c r="O4" s="47" t="s">
        <v>12</v>
      </c>
      <c r="P4" s="47"/>
      <c r="Q4" s="47"/>
      <c r="T4" t="s">
        <v>13</v>
      </c>
    </row>
    <row r="5" spans="2:20">
      <c r="C5" t="s">
        <v>14</v>
      </c>
      <c r="N5" s="91"/>
      <c r="O5" s="47" t="s">
        <v>15</v>
      </c>
      <c r="P5" s="47"/>
      <c r="Q5" s="47"/>
    </row>
    <row r="6" spans="2:20">
      <c r="C6" t="s">
        <v>16</v>
      </c>
      <c r="N6" s="91"/>
      <c r="O6" s="47" t="s">
        <v>17</v>
      </c>
      <c r="P6" s="47"/>
      <c r="Q6" s="47"/>
    </row>
    <row r="7" spans="2:20">
      <c r="C7" t="s">
        <v>18</v>
      </c>
      <c r="N7" s="91"/>
      <c r="O7" s="47" t="s">
        <v>19</v>
      </c>
      <c r="P7" s="47"/>
      <c r="Q7" s="47"/>
    </row>
    <row r="8" spans="2:20">
      <c r="N8" s="91"/>
      <c r="O8" s="47" t="s">
        <v>20</v>
      </c>
      <c r="P8" s="47"/>
      <c r="Q8" s="47"/>
    </row>
    <row r="9" spans="2:20">
      <c r="B9" s="91">
        <v>2</v>
      </c>
      <c r="C9" t="s">
        <v>21</v>
      </c>
      <c r="N9" s="91"/>
    </row>
    <row r="10" spans="2:20">
      <c r="C10" s="69" t="s">
        <v>22</v>
      </c>
      <c r="N10" s="94">
        <v>2</v>
      </c>
      <c r="O10" s="67" t="s">
        <v>23</v>
      </c>
      <c r="P10" s="67"/>
      <c r="Q10" s="67"/>
      <c r="R10" s="67"/>
      <c r="S10" s="67"/>
    </row>
    <row r="11" spans="2:20">
      <c r="C11" s="70" t="s">
        <v>24</v>
      </c>
      <c r="N11" s="91"/>
      <c r="O11" s="67" t="s">
        <v>25</v>
      </c>
      <c r="P11" s="67"/>
      <c r="Q11" s="67"/>
      <c r="R11" s="67"/>
      <c r="S11" s="67"/>
    </row>
    <row r="12" spans="2:20">
      <c r="C12" s="70" t="s">
        <v>26</v>
      </c>
      <c r="N12" s="91"/>
      <c r="O12" s="67" t="s">
        <v>27</v>
      </c>
      <c r="P12" s="67"/>
      <c r="Q12" s="67"/>
      <c r="R12" s="67"/>
      <c r="S12" s="67"/>
    </row>
    <row r="13" spans="2:20">
      <c r="N13" s="91"/>
      <c r="O13" s="67" t="s">
        <v>28</v>
      </c>
      <c r="P13" s="67"/>
      <c r="Q13" s="67"/>
      <c r="R13" s="67"/>
      <c r="S13" s="67"/>
    </row>
    <row r="14" spans="2:20">
      <c r="B14" s="91">
        <v>3</v>
      </c>
      <c r="C14" t="s">
        <v>29</v>
      </c>
      <c r="N14" s="91"/>
      <c r="O14" s="67" t="s">
        <v>30</v>
      </c>
      <c r="P14" s="67"/>
      <c r="Q14" s="67"/>
      <c r="R14" s="67"/>
      <c r="S14" s="67"/>
    </row>
    <row r="15" spans="2:20">
      <c r="C15" s="69" t="s">
        <v>31</v>
      </c>
      <c r="N15" s="91"/>
      <c r="O15" s="67" t="s">
        <v>32</v>
      </c>
      <c r="P15" s="67"/>
      <c r="Q15" s="67"/>
      <c r="R15" s="67"/>
      <c r="S15" s="67"/>
    </row>
    <row r="16" spans="2:20">
      <c r="C16" s="70" t="s">
        <v>33</v>
      </c>
      <c r="N16" s="91"/>
    </row>
    <row r="17" spans="2:22">
      <c r="N17" s="95">
        <v>3</v>
      </c>
      <c r="O17" s="46" t="s">
        <v>34</v>
      </c>
      <c r="P17" s="46"/>
      <c r="Q17" s="46"/>
      <c r="R17" s="46"/>
      <c r="S17" s="46"/>
      <c r="T17">
        <v>1500</v>
      </c>
      <c r="U17" t="s">
        <v>35</v>
      </c>
      <c r="V17">
        <f>2400-950</f>
        <v>1450</v>
      </c>
    </row>
    <row r="18" spans="2:22">
      <c r="B18" s="91">
        <v>4</v>
      </c>
      <c r="C18" t="s">
        <v>36</v>
      </c>
      <c r="N18" s="91"/>
      <c r="O18" s="46" t="s">
        <v>37</v>
      </c>
      <c r="P18" s="46"/>
      <c r="Q18" s="46"/>
      <c r="R18" s="46"/>
      <c r="S18" s="46"/>
    </row>
    <row r="19" spans="2:22">
      <c r="C19" t="s">
        <v>38</v>
      </c>
      <c r="N19" s="91"/>
      <c r="O19" s="46" t="s">
        <v>39</v>
      </c>
      <c r="P19" s="46"/>
      <c r="Q19" s="46"/>
      <c r="R19" s="46"/>
      <c r="S19" s="46"/>
    </row>
    <row r="20" spans="2:22">
      <c r="N20" s="91"/>
      <c r="O20" s="46" t="s">
        <v>40</v>
      </c>
      <c r="P20" s="46"/>
      <c r="Q20" s="46"/>
      <c r="R20" s="46"/>
      <c r="S20" s="46"/>
    </row>
    <row r="21" spans="2:22">
      <c r="B21" s="91">
        <v>5</v>
      </c>
      <c r="C21" t="s">
        <v>41</v>
      </c>
      <c r="O21" s="46" t="s">
        <v>42</v>
      </c>
      <c r="P21" s="46"/>
      <c r="Q21" s="46"/>
      <c r="R21" s="46"/>
      <c r="S21" s="46"/>
    </row>
    <row r="22" spans="2:22">
      <c r="C22" t="s">
        <v>38</v>
      </c>
      <c r="O22" s="46" t="s">
        <v>43</v>
      </c>
      <c r="P22" s="46"/>
      <c r="Q22" s="46"/>
      <c r="R22" s="46"/>
      <c r="S22" s="46"/>
    </row>
    <row r="23" spans="2:22">
      <c r="O23" s="46" t="s">
        <v>44</v>
      </c>
      <c r="P23" s="46"/>
      <c r="Q23" s="46"/>
      <c r="R23" s="46"/>
      <c r="S23" s="46"/>
    </row>
    <row r="24" spans="2:22">
      <c r="B24" s="91">
        <v>6</v>
      </c>
      <c r="C24" t="s">
        <v>45</v>
      </c>
    </row>
    <row r="25" spans="2:22">
      <c r="C25" t="s">
        <v>46</v>
      </c>
      <c r="N25" s="92">
        <v>4</v>
      </c>
      <c r="O25" s="68" t="s">
        <v>47</v>
      </c>
      <c r="P25" s="68"/>
      <c r="Q25" s="68"/>
    </row>
    <row r="26" spans="2:22">
      <c r="C26" t="s">
        <v>48</v>
      </c>
      <c r="O26" s="68" t="s">
        <v>49</v>
      </c>
      <c r="P26" s="68"/>
      <c r="Q26" s="68"/>
    </row>
    <row r="27" spans="2:22">
      <c r="O27" s="68" t="s">
        <v>50</v>
      </c>
      <c r="P27" s="68"/>
      <c r="Q27" s="68"/>
    </row>
    <row r="28" spans="2:22">
      <c r="B28" s="91">
        <v>7</v>
      </c>
      <c r="C28" t="s">
        <v>51</v>
      </c>
      <c r="O28" s="68" t="s">
        <v>52</v>
      </c>
      <c r="P28" s="68"/>
      <c r="Q28" s="68"/>
    </row>
    <row r="29" spans="2:22">
      <c r="C29" t="s">
        <v>53</v>
      </c>
    </row>
  </sheetData>
  <pageMargins left="0.7" right="0.7" top="0.75" bottom="0.75" header="0.3" footer="0.3"/>
  <pageSetup scale="84" orientation="portrait" r:id="rId1"/>
  <colBreaks count="1" manualBreakCount="1">
    <brk id="1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12"/>
  <sheetViews>
    <sheetView zoomScale="85" zoomScaleNormal="85" zoomScaleSheetLayoutView="85" zoomScalePageLayoutView="70" workbookViewId="0">
      <selection activeCell="J7" sqref="J7"/>
    </sheetView>
  </sheetViews>
  <sheetFormatPr defaultRowHeight="15"/>
  <cols>
    <col min="1" max="1" width="4" customWidth="1"/>
    <col min="3" max="3" width="39.28515625" customWidth="1"/>
    <col min="4" max="4" width="15.5703125" customWidth="1"/>
    <col min="5" max="5" width="21.7109375" customWidth="1"/>
    <col min="6" max="6" width="15.5703125" customWidth="1"/>
  </cols>
  <sheetData>
    <row r="2" spans="2:6" ht="21">
      <c r="B2" s="66" t="s">
        <v>54</v>
      </c>
    </row>
    <row r="4" spans="2:6">
      <c r="C4" s="64" t="s">
        <v>55</v>
      </c>
      <c r="D4" s="65" t="s">
        <v>56</v>
      </c>
      <c r="E4" s="99" t="s">
        <v>57</v>
      </c>
      <c r="F4" s="64" t="s">
        <v>58</v>
      </c>
    </row>
    <row r="5" spans="2:6">
      <c r="C5" s="1"/>
      <c r="D5" s="102"/>
      <c r="E5" s="100"/>
      <c r="F5" s="105"/>
    </row>
    <row r="6" spans="2:6">
      <c r="C6" s="2"/>
      <c r="D6" s="103"/>
      <c r="E6" s="48"/>
      <c r="F6" s="4"/>
    </row>
    <row r="7" spans="2:6">
      <c r="C7" s="2"/>
      <c r="D7" s="103"/>
      <c r="E7" s="48"/>
      <c r="F7" s="4"/>
    </row>
    <row r="8" spans="2:6">
      <c r="C8" s="2"/>
      <c r="D8" s="103"/>
      <c r="E8" s="48"/>
      <c r="F8" s="4"/>
    </row>
    <row r="9" spans="2:6">
      <c r="C9" s="2"/>
      <c r="D9" s="103"/>
      <c r="E9" s="48"/>
      <c r="F9" s="4"/>
    </row>
    <row r="10" spans="2:6">
      <c r="C10" s="2"/>
      <c r="D10" s="103"/>
      <c r="E10" s="48"/>
      <c r="F10" s="4"/>
    </row>
    <row r="11" spans="2:6">
      <c r="C11" s="2"/>
      <c r="D11" s="103"/>
      <c r="E11" s="48"/>
      <c r="F11" s="4"/>
    </row>
    <row r="12" spans="2:6">
      <c r="C12" s="3"/>
      <c r="D12" s="104"/>
      <c r="E12" s="101"/>
      <c r="F12" s="106"/>
    </row>
  </sheetData>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04"/>
  <sheetViews>
    <sheetView zoomScale="70" zoomScaleNormal="70" workbookViewId="0">
      <pane xSplit="1" ySplit="1" topLeftCell="B2" activePane="bottomRight" state="frozen"/>
      <selection pane="topRight"/>
      <selection pane="bottomLeft"/>
      <selection pane="bottomRight" activeCell="E20" sqref="E20"/>
    </sheetView>
  </sheetViews>
  <sheetFormatPr defaultRowHeight="15"/>
  <cols>
    <col min="1" max="1" width="4.28515625" customWidth="1"/>
    <col min="5" max="5" width="48.5703125" customWidth="1"/>
    <col min="6" max="6" width="11.28515625" bestFit="1" customWidth="1"/>
    <col min="7" max="7" width="7.7109375" customWidth="1"/>
    <col min="8" max="8" width="17.5703125" style="9" customWidth="1"/>
    <col min="9" max="9" width="11.85546875" style="9" customWidth="1"/>
    <col min="10" max="10" width="15.42578125" customWidth="1"/>
    <col min="11" max="11" width="17.28515625" customWidth="1"/>
  </cols>
  <sheetData>
    <row r="1" spans="2:11">
      <c r="F1" s="216" t="s">
        <v>59</v>
      </c>
      <c r="G1" s="217" t="s">
        <v>60</v>
      </c>
      <c r="H1" s="218" t="s">
        <v>61</v>
      </c>
      <c r="I1" s="218" t="s">
        <v>62</v>
      </c>
      <c r="J1" s="218" t="s">
        <v>63</v>
      </c>
      <c r="K1" s="219" t="s">
        <v>64</v>
      </c>
    </row>
    <row r="2" spans="2:11" ht="15.75">
      <c r="B2" s="165" t="s">
        <v>65</v>
      </c>
      <c r="C2" s="160"/>
      <c r="D2" s="160"/>
      <c r="E2" s="196"/>
      <c r="F2" s="197"/>
      <c r="G2" s="197"/>
      <c r="H2" s="198"/>
      <c r="I2" s="198"/>
      <c r="J2" s="214">
        <f>SUM(J8:J29)</f>
        <v>164620.81</v>
      </c>
      <c r="K2" s="215">
        <f>SUM(K8:K29)</f>
        <v>164620.81</v>
      </c>
    </row>
    <row r="4" spans="2:11">
      <c r="B4" s="10" t="s">
        <v>66</v>
      </c>
    </row>
    <row r="6" spans="2:11">
      <c r="B6" t="s">
        <v>67</v>
      </c>
    </row>
    <row r="7" spans="2:11">
      <c r="B7" t="s">
        <v>68</v>
      </c>
    </row>
    <row r="8" spans="2:11">
      <c r="B8" t="s">
        <v>69</v>
      </c>
      <c r="F8">
        <v>1</v>
      </c>
      <c r="G8" t="s">
        <v>70</v>
      </c>
      <c r="H8" s="9">
        <v>1359.61</v>
      </c>
      <c r="I8" s="9">
        <v>1359.61</v>
      </c>
      <c r="J8" s="13">
        <f>H8*F8</f>
        <v>1359.61</v>
      </c>
      <c r="K8" s="166">
        <f>I8*F8</f>
        <v>1359.61</v>
      </c>
    </row>
    <row r="10" spans="2:11">
      <c r="B10" t="s">
        <v>71</v>
      </c>
    </row>
    <row r="11" spans="2:11">
      <c r="B11" t="s">
        <v>72</v>
      </c>
    </row>
    <row r="13" spans="2:11">
      <c r="B13" t="s">
        <v>73</v>
      </c>
    </row>
    <row r="14" spans="2:11">
      <c r="B14" t="s">
        <v>74</v>
      </c>
    </row>
    <row r="15" spans="2:11">
      <c r="B15" t="s">
        <v>75</v>
      </c>
    </row>
    <row r="16" spans="2:11">
      <c r="B16" t="s">
        <v>76</v>
      </c>
    </row>
    <row r="17" spans="2:11">
      <c r="B17" t="s">
        <v>77</v>
      </c>
    </row>
    <row r="18" spans="2:11">
      <c r="C18" t="s">
        <v>78</v>
      </c>
      <c r="F18">
        <v>16000</v>
      </c>
      <c r="G18" t="s">
        <v>79</v>
      </c>
      <c r="H18" s="9">
        <v>0.89</v>
      </c>
      <c r="I18" s="9">
        <v>0.89</v>
      </c>
      <c r="J18" s="13">
        <f>H18*F18</f>
        <v>14240</v>
      </c>
      <c r="K18" s="166">
        <f>I18*F18</f>
        <v>14240</v>
      </c>
    </row>
    <row r="19" spans="2:11">
      <c r="B19" t="s">
        <v>80</v>
      </c>
    </row>
    <row r="20" spans="2:11">
      <c r="C20" t="s">
        <v>81</v>
      </c>
      <c r="F20">
        <v>16000</v>
      </c>
      <c r="G20" t="s">
        <v>79</v>
      </c>
      <c r="H20" s="9">
        <v>8.11</v>
      </c>
      <c r="I20" s="9">
        <v>8.11</v>
      </c>
      <c r="J20" s="13">
        <f>H20*F20</f>
        <v>129759.99999999999</v>
      </c>
      <c r="K20" s="166">
        <f>I20*F20</f>
        <v>129759.99999999999</v>
      </c>
    </row>
    <row r="23" spans="2:11">
      <c r="B23" t="s">
        <v>82</v>
      </c>
    </row>
    <row r="24" spans="2:11">
      <c r="B24" t="s">
        <v>83</v>
      </c>
    </row>
    <row r="25" spans="2:11">
      <c r="B25" t="s">
        <v>84</v>
      </c>
    </row>
    <row r="26" spans="2:11">
      <c r="B26" t="s">
        <v>85</v>
      </c>
    </row>
    <row r="27" spans="2:11">
      <c r="B27" t="s">
        <v>86</v>
      </c>
    </row>
    <row r="28" spans="2:11">
      <c r="B28" t="s">
        <v>87</v>
      </c>
    </row>
    <row r="29" spans="2:11">
      <c r="C29" t="s">
        <v>88</v>
      </c>
      <c r="E29" t="s">
        <v>89</v>
      </c>
      <c r="F29">
        <v>20</v>
      </c>
      <c r="G29" t="s">
        <v>90</v>
      </c>
      <c r="H29" s="9">
        <v>963.06</v>
      </c>
      <c r="I29" s="9">
        <v>963.06</v>
      </c>
      <c r="J29" s="13">
        <f>H29*F29</f>
        <v>19261.199999999997</v>
      </c>
      <c r="K29" s="166">
        <f>I29*F29</f>
        <v>19261.199999999997</v>
      </c>
    </row>
    <row r="33" spans="2:11" ht="15.75">
      <c r="B33" s="191" t="s">
        <v>91</v>
      </c>
      <c r="C33" s="192"/>
      <c r="D33" s="192"/>
      <c r="E33" s="196"/>
      <c r="F33" s="197"/>
      <c r="G33" s="197"/>
      <c r="H33" s="198"/>
      <c r="I33" s="198"/>
      <c r="J33" s="211">
        <f>SUM(J39:J50)</f>
        <v>5352764.4668876398</v>
      </c>
      <c r="K33" s="212">
        <f>SUM(K39:K50)</f>
        <v>5352764.4668876398</v>
      </c>
    </row>
    <row r="36" spans="2:11">
      <c r="B36" s="171" t="s">
        <v>92</v>
      </c>
    </row>
    <row r="37" spans="2:11">
      <c r="B37" s="170" t="s">
        <v>93</v>
      </c>
    </row>
    <row r="38" spans="2:11">
      <c r="B38" s="170" t="s">
        <v>94</v>
      </c>
    </row>
    <row r="39" spans="2:11">
      <c r="B39" s="170" t="s">
        <v>95</v>
      </c>
      <c r="F39" s="193">
        <f>'Information given by model'!E4+'Information given by model'!D13+'Information given by model'!D20+600</f>
        <v>30053.138324</v>
      </c>
      <c r="H39" s="9">
        <v>11.69</v>
      </c>
      <c r="I39" s="9">
        <v>11.69</v>
      </c>
      <c r="J39" s="190">
        <f>F39*H39</f>
        <v>351321.18700755999</v>
      </c>
      <c r="K39">
        <f>I39*F39</f>
        <v>351321.18700755999</v>
      </c>
    </row>
    <row r="40" spans="2:11">
      <c r="B40" s="170" t="s">
        <v>96</v>
      </c>
      <c r="F40" s="194"/>
    </row>
    <row r="41" spans="2:11">
      <c r="B41" s="170" t="s">
        <v>96</v>
      </c>
      <c r="F41" s="194"/>
    </row>
    <row r="42" spans="2:11">
      <c r="B42" s="170" t="s">
        <v>96</v>
      </c>
      <c r="F42" s="194"/>
    </row>
    <row r="43" spans="2:11">
      <c r="B43" s="171" t="s">
        <v>97</v>
      </c>
      <c r="F43" s="194"/>
    </row>
    <row r="44" spans="2:11">
      <c r="B44" s="170" t="s">
        <v>98</v>
      </c>
      <c r="F44" s="194"/>
    </row>
    <row r="45" spans="2:11">
      <c r="B45" s="170" t="s">
        <v>99</v>
      </c>
      <c r="F45" s="194">
        <f>F39</f>
        <v>30053.138324</v>
      </c>
      <c r="H45" s="9">
        <v>5.89</v>
      </c>
      <c r="I45" s="9">
        <v>5.89</v>
      </c>
      <c r="J45" s="190">
        <f>F45*H45</f>
        <v>177012.98472836</v>
      </c>
      <c r="K45">
        <f t="shared" ref="K45:K47" si="0">I45*F45</f>
        <v>177012.98472836</v>
      </c>
    </row>
    <row r="46" spans="2:11">
      <c r="B46" s="170" t="s">
        <v>100</v>
      </c>
      <c r="F46" s="194"/>
      <c r="J46" s="190"/>
    </row>
    <row r="47" spans="2:11">
      <c r="B47" s="170" t="s">
        <v>101</v>
      </c>
      <c r="F47" s="194">
        <f>F39</f>
        <v>30053.138324</v>
      </c>
      <c r="H47" s="9">
        <v>160.53</v>
      </c>
      <c r="I47" s="9">
        <v>160.53</v>
      </c>
      <c r="J47" s="190">
        <f t="shared" ref="J47" si="1">F47*H47</f>
        <v>4824430.2951517198</v>
      </c>
      <c r="K47">
        <f t="shared" si="0"/>
        <v>4824430.2951517198</v>
      </c>
    </row>
    <row r="48" spans="2:11">
      <c r="B48" s="170" t="s">
        <v>96</v>
      </c>
    </row>
    <row r="49" spans="1:12">
      <c r="B49" s="170" t="s">
        <v>102</v>
      </c>
    </row>
    <row r="50" spans="1:12">
      <c r="B50" s="170" t="s">
        <v>103</v>
      </c>
    </row>
    <row r="53" spans="1:12" ht="15.75">
      <c r="B53" s="144" t="s">
        <v>104</v>
      </c>
      <c r="C53" s="145"/>
      <c r="D53" s="145"/>
      <c r="E53" s="196"/>
      <c r="F53" s="197"/>
      <c r="G53" s="197"/>
      <c r="H53" s="198"/>
      <c r="I53" s="198"/>
      <c r="J53" s="215">
        <f>SUM(J59:J94)</f>
        <v>2866919.6100108</v>
      </c>
      <c r="K53" s="213">
        <f t="shared" ref="K53" si="2">SUM(K59:K94)</f>
        <v>5399377.7787600001</v>
      </c>
      <c r="L53" s="11"/>
    </row>
    <row r="55" spans="1:12">
      <c r="B55" s="10" t="s">
        <v>105</v>
      </c>
      <c r="F55" s="13" t="s">
        <v>106</v>
      </c>
    </row>
    <row r="56" spans="1:12">
      <c r="B56" s="10" t="s">
        <v>107</v>
      </c>
      <c r="C56" s="10"/>
      <c r="E56" s="10"/>
      <c r="F56" s="10"/>
      <c r="G56" s="10"/>
      <c r="I56" s="13"/>
    </row>
    <row r="57" spans="1:12">
      <c r="B57" s="10"/>
      <c r="C57" s="10"/>
      <c r="D57" s="10"/>
      <c r="E57" s="10"/>
      <c r="F57" s="10"/>
      <c r="G57" s="10"/>
      <c r="H57" s="135"/>
      <c r="I57" s="135"/>
    </row>
    <row r="58" spans="1:12">
      <c r="B58" t="s">
        <v>108</v>
      </c>
      <c r="F58" s="131"/>
      <c r="H58" s="13"/>
      <c r="I58" s="13"/>
    </row>
    <row r="59" spans="1:12">
      <c r="B59" t="s">
        <v>109</v>
      </c>
      <c r="F59" s="132">
        <f>'Information given by model'!D3+'Information given by model'!D13</f>
        <v>11019.138324</v>
      </c>
      <c r="G59" s="13" t="s">
        <v>79</v>
      </c>
      <c r="H59" s="13">
        <v>490</v>
      </c>
      <c r="I59" s="13">
        <v>490</v>
      </c>
      <c r="J59" s="13"/>
      <c r="K59" s="13">
        <f>I59*F59</f>
        <v>5399377.7787600001</v>
      </c>
    </row>
    <row r="60" spans="1:12">
      <c r="B60" t="s">
        <v>110</v>
      </c>
      <c r="H60" s="13"/>
      <c r="I60" s="13"/>
    </row>
    <row r="61" spans="1:12">
      <c r="A61" s="133" t="s">
        <v>80</v>
      </c>
      <c r="H61" s="13"/>
      <c r="I61" s="13"/>
    </row>
    <row r="62" spans="1:12">
      <c r="B62" s="10" t="s">
        <v>111</v>
      </c>
      <c r="C62" s="10"/>
      <c r="D62" s="10"/>
      <c r="E62" s="10"/>
      <c r="H62" s="13"/>
      <c r="I62" s="13"/>
    </row>
    <row r="63" spans="1:12">
      <c r="H63" s="13"/>
      <c r="I63" s="13"/>
    </row>
    <row r="64" spans="1:12">
      <c r="B64" t="s">
        <v>112</v>
      </c>
      <c r="H64" s="13"/>
      <c r="I64" s="13"/>
    </row>
    <row r="65" spans="2:11">
      <c r="H65" s="13"/>
      <c r="I65" s="13"/>
    </row>
    <row r="66" spans="2:11">
      <c r="B66" s="10" t="s">
        <v>113</v>
      </c>
      <c r="H66" s="13"/>
      <c r="I66" s="13"/>
    </row>
    <row r="67" spans="2:11">
      <c r="B67" s="10" t="s">
        <v>114</v>
      </c>
      <c r="H67" s="13"/>
      <c r="I67" s="13"/>
    </row>
    <row r="68" spans="2:11">
      <c r="B68" t="s">
        <v>115</v>
      </c>
      <c r="H68" s="13"/>
      <c r="I68" s="13"/>
    </row>
    <row r="69" spans="2:11">
      <c r="B69" t="s">
        <v>116</v>
      </c>
      <c r="H69" s="13"/>
      <c r="I69" s="13"/>
    </row>
    <row r="70" spans="2:11">
      <c r="B70" t="s">
        <v>117</v>
      </c>
      <c r="F70" s="156">
        <f>('Information given by model'!D3+'Information given by model'!D13)*0.5</f>
        <v>5509.5691619999998</v>
      </c>
      <c r="G70" t="s">
        <v>118</v>
      </c>
      <c r="H70" s="13">
        <v>11.3</v>
      </c>
      <c r="I70" s="13">
        <v>13.7</v>
      </c>
      <c r="J70" s="13">
        <f>H70*F70</f>
        <v>62258.131530600003</v>
      </c>
      <c r="K70" s="11"/>
    </row>
    <row r="71" spans="2:11" ht="8.4499999999999993" customHeight="1">
      <c r="H71" s="13"/>
      <c r="I71" s="13"/>
    </row>
    <row r="72" spans="2:11">
      <c r="B72" t="s">
        <v>119</v>
      </c>
      <c r="H72" s="13"/>
      <c r="I72" s="13"/>
    </row>
    <row r="73" spans="2:11">
      <c r="B73" t="s">
        <v>120</v>
      </c>
      <c r="F73">
        <v>1</v>
      </c>
      <c r="G73" t="s">
        <v>121</v>
      </c>
      <c r="H73" s="13">
        <v>19000</v>
      </c>
      <c r="I73" s="13">
        <v>23000</v>
      </c>
      <c r="J73" s="13">
        <f>H73*F73</f>
        <v>19000</v>
      </c>
      <c r="K73" s="11"/>
    </row>
    <row r="74" spans="2:11" ht="7.15" customHeight="1">
      <c r="H74" s="13"/>
      <c r="I74" s="13"/>
    </row>
    <row r="75" spans="2:11">
      <c r="B75" t="s">
        <v>122</v>
      </c>
      <c r="H75" s="13"/>
      <c r="I75" s="13"/>
    </row>
    <row r="76" spans="2:11">
      <c r="B76" t="s">
        <v>123</v>
      </c>
      <c r="H76" s="13"/>
      <c r="I76" s="13"/>
    </row>
    <row r="77" spans="2:11">
      <c r="B77" s="70" t="s">
        <v>124</v>
      </c>
      <c r="F77" s="156">
        <f>'Information given by model'!F8</f>
        <v>936.62675754000009</v>
      </c>
      <c r="G77" t="s">
        <v>125</v>
      </c>
      <c r="H77" s="13">
        <v>130</v>
      </c>
      <c r="I77" s="13">
        <v>155</v>
      </c>
      <c r="J77" s="13">
        <f>H77*F77</f>
        <v>121761.47848020001</v>
      </c>
      <c r="K77" s="11"/>
    </row>
    <row r="78" spans="2:11" ht="7.9" customHeight="1">
      <c r="H78" s="13"/>
      <c r="I78" s="13"/>
    </row>
    <row r="79" spans="2:11">
      <c r="B79" t="s">
        <v>126</v>
      </c>
      <c r="H79" s="13"/>
      <c r="I79" s="13"/>
    </row>
    <row r="80" spans="2:11">
      <c r="B80" s="70" t="s">
        <v>127</v>
      </c>
      <c r="G80" t="s">
        <v>121</v>
      </c>
      <c r="H80" s="13">
        <v>7900</v>
      </c>
      <c r="I80" s="13">
        <v>9500</v>
      </c>
    </row>
    <row r="81" spans="2:11">
      <c r="B81" s="70" t="s">
        <v>128</v>
      </c>
      <c r="F81">
        <v>190</v>
      </c>
      <c r="G81" t="s">
        <v>70</v>
      </c>
      <c r="H81" s="13">
        <v>16</v>
      </c>
      <c r="I81" s="13">
        <v>19.3</v>
      </c>
      <c r="J81" s="13">
        <f>H81*F81</f>
        <v>3040</v>
      </c>
      <c r="K81" s="11"/>
    </row>
    <row r="82" spans="2:11" ht="7.9" customHeight="1">
      <c r="B82" s="70"/>
      <c r="H82" s="13"/>
      <c r="I82" s="13"/>
    </row>
    <row r="83" spans="2:11">
      <c r="B83" t="s">
        <v>129</v>
      </c>
      <c r="H83" s="13"/>
      <c r="I83" s="13"/>
    </row>
    <row r="84" spans="2:11">
      <c r="B84" t="s">
        <v>130</v>
      </c>
      <c r="H84" s="13"/>
      <c r="I84" s="13"/>
    </row>
    <row r="85" spans="2:11">
      <c r="B85" s="70" t="s">
        <v>131</v>
      </c>
      <c r="F85">
        <f>('Information given by model'!D10)*5</f>
        <v>5710</v>
      </c>
      <c r="G85" t="s">
        <v>79</v>
      </c>
      <c r="H85" s="13">
        <v>270</v>
      </c>
      <c r="I85" s="13">
        <v>325</v>
      </c>
      <c r="J85" s="13">
        <f>H85*F85</f>
        <v>1541700</v>
      </c>
      <c r="K85" s="11"/>
    </row>
    <row r="86" spans="2:11" ht="6" customHeight="1">
      <c r="B86" s="70"/>
      <c r="H86" s="13"/>
      <c r="I86" s="13"/>
    </row>
    <row r="87" spans="2:11">
      <c r="B87" t="s">
        <v>132</v>
      </c>
      <c r="H87" s="13"/>
      <c r="I87" s="13"/>
    </row>
    <row r="88" spans="2:11">
      <c r="B88" s="70" t="s">
        <v>133</v>
      </c>
      <c r="H88" s="13"/>
      <c r="I88" s="13"/>
    </row>
    <row r="89" spans="2:11">
      <c r="B89" s="70" t="s">
        <v>134</v>
      </c>
      <c r="F89">
        <f>('Information given by model'!D10)*3</f>
        <v>3426</v>
      </c>
      <c r="G89" t="s">
        <v>79</v>
      </c>
      <c r="H89" s="13">
        <v>200</v>
      </c>
      <c r="I89" s="13">
        <v>240</v>
      </c>
      <c r="J89" s="13">
        <f>H89*F89</f>
        <v>685200</v>
      </c>
      <c r="K89" s="11"/>
    </row>
    <row r="90" spans="2:11">
      <c r="H90" s="13"/>
      <c r="I90" s="13"/>
    </row>
    <row r="91" spans="2:11">
      <c r="H91" s="13"/>
      <c r="I91" s="13"/>
    </row>
    <row r="92" spans="2:11" ht="13.9" customHeight="1">
      <c r="B92" t="s">
        <v>135</v>
      </c>
      <c r="H92" s="13"/>
      <c r="I92" s="13"/>
    </row>
    <row r="93" spans="2:11" ht="13.9" customHeight="1">
      <c r="B93" t="s">
        <v>136</v>
      </c>
      <c r="H93" s="13"/>
      <c r="I93" s="13"/>
    </row>
    <row r="94" spans="2:11" ht="13.9" customHeight="1">
      <c r="B94" t="s">
        <v>137</v>
      </c>
      <c r="F94">
        <f>'Information given by model'!D10</f>
        <v>1142</v>
      </c>
      <c r="G94" t="s">
        <v>79</v>
      </c>
      <c r="H94" s="13">
        <v>380</v>
      </c>
      <c r="I94" s="13">
        <v>460</v>
      </c>
      <c r="J94" s="13">
        <f>H94*F94</f>
        <v>433960</v>
      </c>
      <c r="K94" s="11"/>
    </row>
    <row r="95" spans="2:11" ht="13.9" customHeight="1">
      <c r="H95" s="13"/>
      <c r="I95" s="13"/>
    </row>
    <row r="96" spans="2:11" ht="15.75">
      <c r="B96" s="188" t="s">
        <v>138</v>
      </c>
      <c r="C96" s="189"/>
      <c r="D96" s="189"/>
      <c r="E96" s="196"/>
      <c r="F96" s="197"/>
      <c r="G96" s="197"/>
      <c r="H96" s="198"/>
      <c r="I96" s="198"/>
      <c r="J96" s="211">
        <f>SUM(J105:J162)</f>
        <v>204130.56000000003</v>
      </c>
      <c r="K96" s="212">
        <f>SUM(K99:K162)</f>
        <v>228130.56000000003</v>
      </c>
    </row>
    <row r="98" spans="2:11">
      <c r="B98" s="10" t="s">
        <v>139</v>
      </c>
    </row>
    <row r="99" spans="2:11">
      <c r="B99" t="s">
        <v>140</v>
      </c>
    </row>
    <row r="100" spans="2:11">
      <c r="B100" t="s">
        <v>141</v>
      </c>
    </row>
    <row r="101" spans="2:11">
      <c r="B101" t="s">
        <v>142</v>
      </c>
      <c r="F101">
        <v>600</v>
      </c>
      <c r="G101" t="s">
        <v>118</v>
      </c>
      <c r="H101" s="9">
        <v>165</v>
      </c>
      <c r="I101" s="9">
        <v>200</v>
      </c>
      <c r="K101" s="190">
        <f>I101*F101</f>
        <v>120000</v>
      </c>
    </row>
    <row r="103" spans="2:11">
      <c r="B103" t="s">
        <v>143</v>
      </c>
    </row>
    <row r="104" spans="2:11">
      <c r="B104" t="s">
        <v>144</v>
      </c>
    </row>
    <row r="105" spans="2:11">
      <c r="B105" t="s">
        <v>145</v>
      </c>
      <c r="F105">
        <v>600</v>
      </c>
      <c r="G105" t="s">
        <v>118</v>
      </c>
      <c r="H105" s="9">
        <v>160</v>
      </c>
      <c r="I105" s="9">
        <v>195</v>
      </c>
      <c r="J105" s="190">
        <f>H105*F105</f>
        <v>96000</v>
      </c>
    </row>
    <row r="107" spans="2:11">
      <c r="B107" s="195" t="s">
        <v>146</v>
      </c>
    </row>
    <row r="108" spans="2:11">
      <c r="B108" s="170" t="s">
        <v>96</v>
      </c>
    </row>
    <row r="109" spans="2:11">
      <c r="B109" s="171" t="s">
        <v>147</v>
      </c>
    </row>
    <row r="110" spans="2:11">
      <c r="B110" s="171" t="s">
        <v>148</v>
      </c>
    </row>
    <row r="111" spans="2:11">
      <c r="B111" s="171" t="s">
        <v>149</v>
      </c>
    </row>
    <row r="112" spans="2:11">
      <c r="B112" s="170" t="s">
        <v>150</v>
      </c>
    </row>
    <row r="113" spans="2:11">
      <c r="B113" s="170" t="s">
        <v>151</v>
      </c>
    </row>
    <row r="114" spans="2:11">
      <c r="B114" s="170" t="s">
        <v>152</v>
      </c>
    </row>
    <row r="115" spans="2:11">
      <c r="B115" s="170" t="s">
        <v>153</v>
      </c>
      <c r="F115">
        <v>20</v>
      </c>
      <c r="G115" t="s">
        <v>70</v>
      </c>
      <c r="H115" s="9">
        <v>428.87</v>
      </c>
      <c r="I115" s="9">
        <v>428.87</v>
      </c>
      <c r="J115" s="190">
        <f>H115*F115</f>
        <v>8577.4</v>
      </c>
      <c r="K115" s="190">
        <f>I115*F115</f>
        <v>8577.4</v>
      </c>
    </row>
    <row r="116" spans="2:11">
      <c r="B116" s="170" t="s">
        <v>96</v>
      </c>
      <c r="J116" s="190"/>
    </row>
    <row r="117" spans="2:11">
      <c r="B117" s="170" t="s">
        <v>96</v>
      </c>
    </row>
    <row r="118" spans="2:11">
      <c r="B118" s="170" t="s">
        <v>96</v>
      </c>
    </row>
    <row r="119" spans="2:11">
      <c r="B119" s="171" t="s">
        <v>154</v>
      </c>
    </row>
    <row r="120" spans="2:11">
      <c r="B120" s="171" t="s">
        <v>155</v>
      </c>
    </row>
    <row r="121" spans="2:11">
      <c r="B121" s="170" t="s">
        <v>156</v>
      </c>
    </row>
    <row r="122" spans="2:11">
      <c r="B122" s="170" t="s">
        <v>157</v>
      </c>
    </row>
    <row r="123" spans="2:11">
      <c r="B123" s="170" t="s">
        <v>158</v>
      </c>
    </row>
    <row r="124" spans="2:11">
      <c r="B124" s="170" t="s">
        <v>159</v>
      </c>
    </row>
    <row r="125" spans="2:11">
      <c r="B125" s="170" t="s">
        <v>160</v>
      </c>
    </row>
    <row r="126" spans="2:11">
      <c r="B126" s="170" t="s">
        <v>161</v>
      </c>
    </row>
    <row r="127" spans="2:11">
      <c r="B127" s="170" t="s">
        <v>162</v>
      </c>
      <c r="F127">
        <v>700</v>
      </c>
      <c r="G127" t="s">
        <v>125</v>
      </c>
      <c r="H127" s="9">
        <v>114.36</v>
      </c>
      <c r="I127" s="9">
        <v>114.36</v>
      </c>
      <c r="J127" s="190">
        <f>H127*F127</f>
        <v>80052</v>
      </c>
      <c r="K127" s="190">
        <f>I127*F127</f>
        <v>80052</v>
      </c>
    </row>
    <row r="128" spans="2:11">
      <c r="B128" s="170" t="s">
        <v>96</v>
      </c>
    </row>
    <row r="129" spans="2:11">
      <c r="B129" s="208" t="s">
        <v>163</v>
      </c>
    </row>
    <row r="130" spans="2:11">
      <c r="B130" s="172" t="s">
        <v>164</v>
      </c>
    </row>
    <row r="131" spans="2:11">
      <c r="B131" s="167" t="s">
        <v>165</v>
      </c>
    </row>
    <row r="132" spans="2:11">
      <c r="B132" s="167" t="s">
        <v>166</v>
      </c>
    </row>
    <row r="133" spans="2:11">
      <c r="B133" s="167" t="s">
        <v>167</v>
      </c>
    </row>
    <row r="134" spans="2:11">
      <c r="B134" s="167" t="s">
        <v>168</v>
      </c>
    </row>
    <row r="135" spans="2:11">
      <c r="B135" s="167" t="s">
        <v>169</v>
      </c>
      <c r="F135">
        <v>150</v>
      </c>
      <c r="G135" t="s">
        <v>125</v>
      </c>
      <c r="H135" s="210">
        <v>20.38</v>
      </c>
      <c r="I135" s="209">
        <v>20.38</v>
      </c>
      <c r="J135" s="190">
        <f>H135*F135</f>
        <v>3057</v>
      </c>
      <c r="K135" s="166">
        <f>I135*F135</f>
        <v>3057</v>
      </c>
    </row>
    <row r="136" spans="2:11">
      <c r="B136" s="167" t="s">
        <v>170</v>
      </c>
      <c r="F136">
        <v>10</v>
      </c>
      <c r="G136" t="s">
        <v>70</v>
      </c>
      <c r="H136" s="210">
        <v>55.68</v>
      </c>
      <c r="I136" s="209">
        <v>55.68</v>
      </c>
      <c r="J136" s="190">
        <f t="shared" ref="J136:J162" si="3">H136*F136</f>
        <v>556.79999999999995</v>
      </c>
      <c r="K136" s="166">
        <f t="shared" ref="K136:K162" si="4">I136*F136</f>
        <v>556.79999999999995</v>
      </c>
    </row>
    <row r="137" spans="2:11">
      <c r="B137" s="167" t="s">
        <v>171</v>
      </c>
      <c r="F137">
        <v>6</v>
      </c>
      <c r="G137" t="s">
        <v>70</v>
      </c>
      <c r="H137" s="210">
        <v>56.97</v>
      </c>
      <c r="I137" s="209">
        <v>56.97</v>
      </c>
      <c r="J137" s="190">
        <f t="shared" si="3"/>
        <v>341.82</v>
      </c>
      <c r="K137" s="166">
        <f t="shared" si="4"/>
        <v>341.82</v>
      </c>
    </row>
    <row r="138" spans="2:11">
      <c r="B138" s="167" t="s">
        <v>172</v>
      </c>
      <c r="F138">
        <v>6</v>
      </c>
      <c r="G138" t="s">
        <v>70</v>
      </c>
      <c r="H138" s="210">
        <v>23.72</v>
      </c>
      <c r="I138" s="209">
        <v>23.72</v>
      </c>
      <c r="J138" s="190">
        <f t="shared" si="3"/>
        <v>142.32</v>
      </c>
      <c r="K138" s="166">
        <f t="shared" si="4"/>
        <v>142.32</v>
      </c>
    </row>
    <row r="139" spans="2:11">
      <c r="B139" s="167" t="s">
        <v>173</v>
      </c>
      <c r="F139">
        <v>6</v>
      </c>
      <c r="G139" t="s">
        <v>70</v>
      </c>
      <c r="H139" s="210">
        <v>71.11</v>
      </c>
      <c r="I139" s="209">
        <v>71.11</v>
      </c>
      <c r="J139" s="190">
        <f t="shared" si="3"/>
        <v>426.65999999999997</v>
      </c>
      <c r="K139" s="166">
        <f t="shared" si="4"/>
        <v>426.65999999999997</v>
      </c>
    </row>
    <row r="140" spans="2:11">
      <c r="B140" s="167"/>
      <c r="H140" s="210" t="s">
        <v>96</v>
      </c>
      <c r="I140" s="209" t="s">
        <v>96</v>
      </c>
      <c r="J140" s="190"/>
      <c r="K140" s="166"/>
    </row>
    <row r="141" spans="2:11">
      <c r="B141" s="208" t="s">
        <v>146</v>
      </c>
      <c r="H141" s="210" t="s">
        <v>96</v>
      </c>
      <c r="I141" s="209" t="s">
        <v>96</v>
      </c>
      <c r="J141" s="190"/>
      <c r="K141" s="166"/>
    </row>
    <row r="142" spans="2:11">
      <c r="B142" s="172" t="s">
        <v>164</v>
      </c>
      <c r="H142" s="210" t="s">
        <v>96</v>
      </c>
      <c r="I142" s="209" t="s">
        <v>96</v>
      </c>
      <c r="J142" s="190"/>
      <c r="K142" s="166"/>
    </row>
    <row r="143" spans="2:11">
      <c r="B143" s="167" t="s">
        <v>165</v>
      </c>
      <c r="H143" s="210" t="s">
        <v>96</v>
      </c>
      <c r="I143" s="209" t="s">
        <v>96</v>
      </c>
      <c r="J143" s="190"/>
      <c r="K143" s="166"/>
    </row>
    <row r="144" spans="2:11">
      <c r="B144" s="167" t="s">
        <v>166</v>
      </c>
      <c r="H144" s="210" t="s">
        <v>96</v>
      </c>
      <c r="I144" s="209" t="s">
        <v>96</v>
      </c>
      <c r="J144" s="190"/>
      <c r="K144" s="166"/>
    </row>
    <row r="145" spans="2:11">
      <c r="B145" s="167" t="s">
        <v>167</v>
      </c>
      <c r="H145" s="210" t="s">
        <v>96</v>
      </c>
      <c r="I145" s="209" t="s">
        <v>96</v>
      </c>
      <c r="J145" s="190"/>
      <c r="K145" s="166"/>
    </row>
    <row r="146" spans="2:11">
      <c r="B146" s="167" t="s">
        <v>168</v>
      </c>
      <c r="H146" s="210" t="s">
        <v>96</v>
      </c>
      <c r="I146" s="209" t="s">
        <v>96</v>
      </c>
      <c r="J146" s="190"/>
      <c r="K146" s="166"/>
    </row>
    <row r="147" spans="2:11">
      <c r="B147" s="167" t="s">
        <v>174</v>
      </c>
      <c r="F147">
        <v>200</v>
      </c>
      <c r="G147" t="s">
        <v>125</v>
      </c>
      <c r="H147" s="210">
        <v>34.619999999999997</v>
      </c>
      <c r="I147" s="209">
        <v>34.619999999999997</v>
      </c>
      <c r="J147" s="190">
        <f t="shared" si="3"/>
        <v>6923.9999999999991</v>
      </c>
      <c r="K147" s="166">
        <f t="shared" si="4"/>
        <v>6923.9999999999991</v>
      </c>
    </row>
    <row r="148" spans="2:11">
      <c r="B148" s="167" t="s">
        <v>170</v>
      </c>
      <c r="F148">
        <v>10</v>
      </c>
      <c r="G148" t="s">
        <v>70</v>
      </c>
      <c r="H148" s="210">
        <v>55.68</v>
      </c>
      <c r="I148" s="209">
        <v>55.68</v>
      </c>
      <c r="J148" s="190">
        <f t="shared" si="3"/>
        <v>556.79999999999995</v>
      </c>
      <c r="K148" s="166">
        <f t="shared" si="4"/>
        <v>556.79999999999995</v>
      </c>
    </row>
    <row r="149" spans="2:11">
      <c r="B149" s="167" t="s">
        <v>171</v>
      </c>
      <c r="F149">
        <v>10</v>
      </c>
      <c r="G149" t="s">
        <v>70</v>
      </c>
      <c r="H149" s="210">
        <v>56.97</v>
      </c>
      <c r="I149" s="209">
        <v>56.97</v>
      </c>
      <c r="J149" s="190">
        <f t="shared" si="3"/>
        <v>569.70000000000005</v>
      </c>
      <c r="K149" s="166">
        <f t="shared" si="4"/>
        <v>569.70000000000005</v>
      </c>
    </row>
    <row r="150" spans="2:11">
      <c r="B150" t="s">
        <v>172</v>
      </c>
      <c r="F150">
        <v>10</v>
      </c>
      <c r="G150" t="s">
        <v>70</v>
      </c>
      <c r="H150" s="210">
        <v>23.71</v>
      </c>
      <c r="I150" s="209">
        <v>23.71</v>
      </c>
      <c r="J150" s="190">
        <f t="shared" si="3"/>
        <v>237.10000000000002</v>
      </c>
      <c r="K150" s="166">
        <f t="shared" si="4"/>
        <v>237.10000000000002</v>
      </c>
    </row>
    <row r="151" spans="2:11">
      <c r="B151" t="s">
        <v>173</v>
      </c>
      <c r="F151">
        <v>10</v>
      </c>
      <c r="G151" t="s">
        <v>70</v>
      </c>
      <c r="H151" s="210">
        <v>71.11</v>
      </c>
      <c r="I151" s="209">
        <v>71.11</v>
      </c>
      <c r="J151" s="190">
        <f t="shared" si="3"/>
        <v>711.1</v>
      </c>
      <c r="K151" s="166">
        <f t="shared" si="4"/>
        <v>711.1</v>
      </c>
    </row>
    <row r="152" spans="2:11">
      <c r="H152" s="210" t="s">
        <v>96</v>
      </c>
      <c r="I152" s="209" t="s">
        <v>96</v>
      </c>
      <c r="J152" s="190"/>
      <c r="K152" s="166"/>
    </row>
    <row r="153" spans="2:11">
      <c r="B153" s="10" t="s">
        <v>175</v>
      </c>
      <c r="H153" s="210" t="s">
        <v>96</v>
      </c>
      <c r="I153" s="209" t="s">
        <v>96</v>
      </c>
      <c r="J153" s="190"/>
      <c r="K153" s="166"/>
    </row>
    <row r="154" spans="2:11">
      <c r="B154" t="s">
        <v>176</v>
      </c>
      <c r="H154" s="210" t="s">
        <v>96</v>
      </c>
      <c r="I154" s="209" t="s">
        <v>96</v>
      </c>
      <c r="J154" s="190"/>
      <c r="K154" s="166"/>
    </row>
    <row r="155" spans="2:11">
      <c r="B155" t="s">
        <v>177</v>
      </c>
      <c r="H155" s="210" t="s">
        <v>96</v>
      </c>
      <c r="I155" s="209" t="s">
        <v>96</v>
      </c>
      <c r="J155" s="190"/>
      <c r="K155" s="166"/>
    </row>
    <row r="156" spans="2:11">
      <c r="B156" t="s">
        <v>178</v>
      </c>
      <c r="H156" s="210" t="s">
        <v>96</v>
      </c>
      <c r="I156" s="209" t="s">
        <v>96</v>
      </c>
      <c r="J156" s="190"/>
      <c r="K156" s="166"/>
    </row>
    <row r="157" spans="2:11">
      <c r="B157" t="s">
        <v>179</v>
      </c>
      <c r="H157" s="210" t="s">
        <v>96</v>
      </c>
      <c r="I157" s="209" t="s">
        <v>96</v>
      </c>
      <c r="J157" s="190"/>
      <c r="K157" s="166"/>
    </row>
    <row r="158" spans="2:11">
      <c r="B158" t="s">
        <v>180</v>
      </c>
      <c r="H158" s="210" t="s">
        <v>96</v>
      </c>
      <c r="I158" s="209" t="s">
        <v>96</v>
      </c>
      <c r="J158" s="190"/>
      <c r="K158" s="166"/>
    </row>
    <row r="159" spans="2:11">
      <c r="B159" t="s">
        <v>181</v>
      </c>
      <c r="H159" s="210" t="s">
        <v>96</v>
      </c>
      <c r="I159" s="209" t="s">
        <v>96</v>
      </c>
      <c r="J159" s="190"/>
      <c r="K159" s="166"/>
    </row>
    <row r="160" spans="2:11">
      <c r="B160" t="s">
        <v>182</v>
      </c>
      <c r="H160" s="210" t="s">
        <v>96</v>
      </c>
      <c r="I160" s="209" t="s">
        <v>96</v>
      </c>
      <c r="J160" s="190"/>
      <c r="K160" s="166"/>
    </row>
    <row r="161" spans="2:11">
      <c r="C161" t="s">
        <v>183</v>
      </c>
      <c r="F161">
        <v>2</v>
      </c>
      <c r="G161" t="s">
        <v>70</v>
      </c>
      <c r="H161" s="210">
        <v>929.49</v>
      </c>
      <c r="I161" s="209">
        <v>929.49</v>
      </c>
      <c r="J161" s="190">
        <f t="shared" si="3"/>
        <v>1858.98</v>
      </c>
      <c r="K161" s="166">
        <f t="shared" si="4"/>
        <v>1858.98</v>
      </c>
    </row>
    <row r="162" spans="2:11">
      <c r="C162" t="s">
        <v>184</v>
      </c>
      <c r="F162">
        <v>4</v>
      </c>
      <c r="G162" t="s">
        <v>70</v>
      </c>
      <c r="H162" s="210">
        <v>1029.72</v>
      </c>
      <c r="I162" s="209">
        <v>1029.72</v>
      </c>
      <c r="J162" s="190">
        <f t="shared" si="3"/>
        <v>4118.88</v>
      </c>
      <c r="K162" s="166">
        <f t="shared" si="4"/>
        <v>4118.88</v>
      </c>
    </row>
    <row r="164" spans="2:11" ht="15.75">
      <c r="B164" s="147" t="s">
        <v>185</v>
      </c>
      <c r="C164" s="140"/>
      <c r="D164" s="140"/>
      <c r="E164" s="196"/>
      <c r="F164" s="197"/>
      <c r="G164" s="197"/>
      <c r="H164" s="198"/>
      <c r="I164" s="198"/>
      <c r="J164" s="205">
        <f>SUM(J168:J181)</f>
        <v>6300000</v>
      </c>
      <c r="K164" s="205">
        <f>SUM(K168:K181)</f>
        <v>10120000</v>
      </c>
    </row>
    <row r="165" spans="2:11" ht="4.9000000000000004" customHeight="1">
      <c r="B165" s="10"/>
      <c r="H165" s="143"/>
      <c r="I165" s="143"/>
    </row>
    <row r="166" spans="2:11">
      <c r="B166" s="10" t="s">
        <v>186</v>
      </c>
    </row>
    <row r="167" spans="2:11">
      <c r="B167" s="10" t="s">
        <v>187</v>
      </c>
    </row>
    <row r="168" spans="2:11">
      <c r="B168" s="142" t="s">
        <v>188</v>
      </c>
    </row>
    <row r="169" spans="2:11">
      <c r="B169" s="70" t="s">
        <v>189</v>
      </c>
    </row>
    <row r="170" spans="2:11">
      <c r="B170" s="134" t="s">
        <v>190</v>
      </c>
      <c r="F170">
        <f>25+183+2</f>
        <v>210</v>
      </c>
      <c r="G170" t="s">
        <v>191</v>
      </c>
      <c r="H170" s="9">
        <v>20500</v>
      </c>
      <c r="I170" s="9">
        <v>28500</v>
      </c>
      <c r="J170" s="11"/>
      <c r="K170" s="11"/>
    </row>
    <row r="171" spans="2:11">
      <c r="B171" s="70" t="s">
        <v>192</v>
      </c>
      <c r="J171" s="11"/>
      <c r="K171" s="11"/>
    </row>
    <row r="172" spans="2:11">
      <c r="B172" s="134" t="s">
        <v>193</v>
      </c>
      <c r="F172">
        <v>210</v>
      </c>
      <c r="G172" t="s">
        <v>191</v>
      </c>
      <c r="H172" s="9">
        <v>36500</v>
      </c>
      <c r="I172" s="9">
        <v>51000</v>
      </c>
      <c r="J172" s="11"/>
      <c r="K172" s="11"/>
    </row>
    <row r="173" spans="2:11">
      <c r="B173" s="70" t="s">
        <v>194</v>
      </c>
      <c r="J173" s="11"/>
      <c r="K173" s="11"/>
    </row>
    <row r="174" spans="2:11">
      <c r="B174" s="134" t="s">
        <v>193</v>
      </c>
      <c r="F174">
        <v>210</v>
      </c>
      <c r="G174" t="s">
        <v>191</v>
      </c>
      <c r="H174" s="9">
        <v>30000</v>
      </c>
      <c r="I174" s="9">
        <v>42000</v>
      </c>
      <c r="J174" s="11">
        <f t="shared" ref="J174" si="5">F174*H174</f>
        <v>6300000</v>
      </c>
      <c r="K174" s="11"/>
    </row>
    <row r="175" spans="2:11" ht="10.15" customHeight="1">
      <c r="B175" s="134"/>
    </row>
    <row r="176" spans="2:11">
      <c r="B176" s="10" t="s">
        <v>195</v>
      </c>
    </row>
    <row r="177" spans="2:11">
      <c r="B177" s="10" t="s">
        <v>196</v>
      </c>
    </row>
    <row r="178" spans="2:11">
      <c r="B178" t="s">
        <v>197</v>
      </c>
    </row>
    <row r="179" spans="2:11">
      <c r="B179" s="134" t="s">
        <v>198</v>
      </c>
      <c r="F179">
        <v>8800</v>
      </c>
      <c r="G179" t="s">
        <v>79</v>
      </c>
      <c r="H179" s="9">
        <v>660</v>
      </c>
      <c r="I179" s="9">
        <v>840</v>
      </c>
      <c r="J179" s="11"/>
      <c r="K179" s="11"/>
    </row>
    <row r="180" spans="2:11">
      <c r="B180" s="134" t="s">
        <v>199</v>
      </c>
      <c r="F180">
        <v>8800</v>
      </c>
      <c r="G180" t="s">
        <v>79</v>
      </c>
      <c r="H180" s="9">
        <v>900</v>
      </c>
      <c r="I180" s="9">
        <v>1150</v>
      </c>
      <c r="J180" s="11"/>
      <c r="K180" s="11">
        <f t="shared" ref="K180" si="6">F180*I180</f>
        <v>10120000</v>
      </c>
    </row>
    <row r="181" spans="2:11">
      <c r="B181" s="134" t="s">
        <v>200</v>
      </c>
      <c r="F181">
        <v>8800</v>
      </c>
      <c r="G181" t="s">
        <v>79</v>
      </c>
      <c r="H181" s="9">
        <v>1075</v>
      </c>
      <c r="I181" s="9">
        <v>1375</v>
      </c>
      <c r="J181" s="11"/>
      <c r="K181" s="11"/>
    </row>
    <row r="183" spans="2:11" ht="15.75">
      <c r="B183" s="148" t="s">
        <v>201</v>
      </c>
      <c r="C183" s="138"/>
      <c r="D183" s="138"/>
      <c r="E183" s="138"/>
      <c r="F183" s="196"/>
      <c r="G183" s="197"/>
      <c r="H183" s="198"/>
      <c r="I183" s="198"/>
      <c r="J183" s="205">
        <f>SUM(J185:J205)</f>
        <v>10735119.25725</v>
      </c>
      <c r="K183" s="206">
        <f>SUM(K185:K205)</f>
        <v>14464812.745999999</v>
      </c>
    </row>
    <row r="184" spans="2:11">
      <c r="B184" s="10" t="s">
        <v>202</v>
      </c>
    </row>
    <row r="186" spans="2:11">
      <c r="B186" t="s">
        <v>203</v>
      </c>
      <c r="G186" t="s">
        <v>79</v>
      </c>
      <c r="H186" s="9">
        <v>1475</v>
      </c>
      <c r="I186" s="9">
        <v>1875</v>
      </c>
    </row>
    <row r="187" spans="2:11" ht="7.9" customHeight="1"/>
    <row r="188" spans="2:11">
      <c r="B188" t="s">
        <v>204</v>
      </c>
      <c r="F188">
        <f>'Information given by model'!D24</f>
        <v>0</v>
      </c>
      <c r="G188" t="s">
        <v>79</v>
      </c>
      <c r="H188" s="9">
        <v>1350</v>
      </c>
      <c r="I188" s="9">
        <v>1725</v>
      </c>
    </row>
    <row r="189" spans="2:11" ht="7.9" customHeight="1"/>
    <row r="190" spans="2:11">
      <c r="B190" t="s">
        <v>205</v>
      </c>
    </row>
    <row r="191" spans="2:11">
      <c r="B191" s="70" t="s">
        <v>206</v>
      </c>
      <c r="F191">
        <f>'Information given by model'!D14</f>
        <v>1270.1999999999998</v>
      </c>
      <c r="G191" t="s">
        <v>79</v>
      </c>
      <c r="H191" s="9">
        <v>4200</v>
      </c>
      <c r="I191" s="9">
        <v>5300</v>
      </c>
      <c r="J191" s="11">
        <f t="shared" ref="J191" si="7">F191*H191</f>
        <v>5334839.9999999991</v>
      </c>
      <c r="K191" s="11">
        <f t="shared" ref="K191" si="8">F191*I191</f>
        <v>6732059.9999999991</v>
      </c>
    </row>
    <row r="192" spans="2:11" ht="7.9" customHeight="1"/>
    <row r="193" spans="1:11">
      <c r="B193" t="s">
        <v>207</v>
      </c>
      <c r="G193" t="s">
        <v>79</v>
      </c>
      <c r="H193" s="9">
        <v>820</v>
      </c>
      <c r="I193" s="9">
        <v>1050</v>
      </c>
    </row>
    <row r="194" spans="1:11" ht="7.9" customHeight="1"/>
    <row r="195" spans="1:11">
      <c r="B195" t="s">
        <v>208</v>
      </c>
      <c r="F195">
        <f>'Information given by model'!D23</f>
        <v>1394</v>
      </c>
      <c r="G195" t="s">
        <v>79</v>
      </c>
      <c r="H195" s="9">
        <v>1725</v>
      </c>
      <c r="I195" s="9">
        <v>2200</v>
      </c>
      <c r="J195" s="11">
        <f>F195*H195</f>
        <v>2404650</v>
      </c>
      <c r="K195" s="11">
        <f t="shared" ref="K195" si="9">F195*I195</f>
        <v>3066800</v>
      </c>
    </row>
    <row r="196" spans="1:11" ht="7.9" customHeight="1"/>
    <row r="197" spans="1:11">
      <c r="B197" t="s">
        <v>209</v>
      </c>
      <c r="G197" t="s">
        <v>79</v>
      </c>
      <c r="H197" s="9">
        <v>1225</v>
      </c>
      <c r="I197" s="9">
        <v>1575</v>
      </c>
    </row>
    <row r="198" spans="1:11">
      <c r="B198" t="s">
        <v>210</v>
      </c>
      <c r="F198">
        <f>'Information given by model'!D17</f>
        <v>692.19596999999999</v>
      </c>
      <c r="G198" t="s">
        <v>79</v>
      </c>
      <c r="H198" s="9">
        <v>1425</v>
      </c>
      <c r="I198" s="9">
        <v>1800</v>
      </c>
      <c r="J198" s="11">
        <f>F198*H198</f>
        <v>986379.25725000002</v>
      </c>
      <c r="K198" s="11">
        <f t="shared" ref="K198" si="10">F198*I198</f>
        <v>1245952.746</v>
      </c>
    </row>
    <row r="199" spans="1:11">
      <c r="B199" t="s">
        <v>211</v>
      </c>
      <c r="G199" t="s">
        <v>79</v>
      </c>
      <c r="H199" s="9">
        <v>1425</v>
      </c>
      <c r="I199" s="9">
        <v>1800</v>
      </c>
    </row>
    <row r="200" spans="1:11" ht="7.9" customHeight="1"/>
    <row r="201" spans="1:11" ht="12.6" customHeight="1">
      <c r="B201" t="s">
        <v>212</v>
      </c>
      <c r="F201">
        <f>855*2</f>
        <v>1710</v>
      </c>
      <c r="G201" t="s">
        <v>79</v>
      </c>
      <c r="H201" s="9">
        <v>1175</v>
      </c>
      <c r="I201" s="9">
        <v>1475</v>
      </c>
      <c r="J201" s="11">
        <f>F201*H201</f>
        <v>2009250</v>
      </c>
      <c r="K201" s="11"/>
    </row>
    <row r="202" spans="1:11" ht="12.6" customHeight="1">
      <c r="A202" s="133" t="s">
        <v>80</v>
      </c>
      <c r="J202" s="11"/>
      <c r="K202" s="11"/>
    </row>
    <row r="203" spans="1:11" ht="12.6" customHeight="1">
      <c r="B203" s="142" t="s">
        <v>213</v>
      </c>
      <c r="J203" s="11"/>
      <c r="K203" s="11"/>
    </row>
    <row r="204" spans="1:11" ht="12.6" customHeight="1">
      <c r="B204" s="293" t="s">
        <v>214</v>
      </c>
      <c r="C204" s="293"/>
      <c r="D204" s="293"/>
      <c r="E204" s="293"/>
      <c r="J204" s="11"/>
      <c r="K204" s="11"/>
    </row>
    <row r="205" spans="1:11" ht="45.6" customHeight="1">
      <c r="B205" s="293"/>
      <c r="C205" s="293"/>
      <c r="D205" s="293"/>
      <c r="E205" s="293"/>
      <c r="F205">
        <f>F201</f>
        <v>1710</v>
      </c>
      <c r="H205" s="9">
        <v>1800</v>
      </c>
      <c r="I205" s="9">
        <v>2000</v>
      </c>
      <c r="J205" s="11"/>
      <c r="K205" s="11">
        <f t="shared" ref="K205" si="11">F205*I205</f>
        <v>3420000</v>
      </c>
    </row>
    <row r="206" spans="1:11">
      <c r="J206" s="207"/>
      <c r="K206" s="207"/>
    </row>
    <row r="207" spans="1:11" ht="15.75">
      <c r="B207" s="200" t="s">
        <v>215</v>
      </c>
      <c r="C207" s="201"/>
      <c r="D207" s="202"/>
      <c r="E207" s="197"/>
      <c r="F207" s="197"/>
      <c r="G207" s="197"/>
      <c r="H207" s="198"/>
      <c r="I207" s="198"/>
      <c r="J207" s="205">
        <f>SUM(J208:J255)</f>
        <v>385887.5</v>
      </c>
      <c r="K207" s="244">
        <f>SUM(K208:K255)</f>
        <v>509320</v>
      </c>
    </row>
    <row r="208" spans="1:11">
      <c r="B208" s="10" t="s">
        <v>216</v>
      </c>
    </row>
    <row r="209" spans="2:9">
      <c r="B209" s="10"/>
    </row>
    <row r="210" spans="2:9">
      <c r="B210" s="10" t="s">
        <v>217</v>
      </c>
    </row>
    <row r="211" spans="2:9">
      <c r="B211" t="s">
        <v>218</v>
      </c>
    </row>
    <row r="212" spans="2:9">
      <c r="B212" t="s">
        <v>219</v>
      </c>
    </row>
    <row r="213" spans="2:9">
      <c r="B213" t="s">
        <v>220</v>
      </c>
    </row>
    <row r="214" spans="2:9">
      <c r="B214" s="70" t="s">
        <v>221</v>
      </c>
    </row>
    <row r="215" spans="2:9">
      <c r="B215" s="70" t="s">
        <v>222</v>
      </c>
      <c r="G215" t="s">
        <v>79</v>
      </c>
      <c r="H215" s="9">
        <v>2.35</v>
      </c>
      <c r="I215" s="9">
        <v>2.85</v>
      </c>
    </row>
    <row r="216" spans="2:9">
      <c r="B216" t="s">
        <v>223</v>
      </c>
    </row>
    <row r="217" spans="2:9">
      <c r="B217" s="70" t="s">
        <v>224</v>
      </c>
      <c r="G217" t="s">
        <v>79</v>
      </c>
      <c r="H217" s="9">
        <v>6.75</v>
      </c>
      <c r="I217" s="9">
        <v>8.1999999999999993</v>
      </c>
    </row>
    <row r="218" spans="2:9" ht="10.15" customHeight="1"/>
    <row r="219" spans="2:9">
      <c r="B219" s="10" t="s">
        <v>225</v>
      </c>
    </row>
    <row r="220" spans="2:9">
      <c r="B220" t="s">
        <v>226</v>
      </c>
    </row>
    <row r="221" spans="2:9" ht="7.9" customHeight="1"/>
    <row r="222" spans="2:9">
      <c r="B222" t="s">
        <v>227</v>
      </c>
    </row>
    <row r="223" spans="2:9">
      <c r="B223" s="134" t="s">
        <v>228</v>
      </c>
    </row>
    <row r="224" spans="2:9">
      <c r="B224" s="134" t="s">
        <v>229</v>
      </c>
    </row>
    <row r="225" spans="2:11">
      <c r="B225" s="134" t="s">
        <v>230</v>
      </c>
    </row>
    <row r="226" spans="2:11">
      <c r="B226" s="134" t="s">
        <v>231</v>
      </c>
    </row>
    <row r="227" spans="2:11">
      <c r="B227" s="134" t="s">
        <v>232</v>
      </c>
      <c r="F227">
        <v>10400</v>
      </c>
      <c r="G227" t="s">
        <v>79</v>
      </c>
      <c r="H227" s="9">
        <v>26.5</v>
      </c>
      <c r="I227" s="9">
        <v>35</v>
      </c>
      <c r="J227" s="11">
        <f>F227*H227</f>
        <v>275600</v>
      </c>
      <c r="K227" s="11">
        <f>F227*I227</f>
        <v>364000</v>
      </c>
    </row>
    <row r="228" spans="2:11" ht="7.9" customHeight="1">
      <c r="B228" s="134"/>
    </row>
    <row r="229" spans="2:11">
      <c r="B229" t="s">
        <v>233</v>
      </c>
    </row>
    <row r="230" spans="2:11">
      <c r="B230" s="134" t="s">
        <v>234</v>
      </c>
    </row>
    <row r="231" spans="2:11">
      <c r="B231" s="134" t="s">
        <v>235</v>
      </c>
    </row>
    <row r="232" spans="2:11">
      <c r="B232" s="134" t="s">
        <v>236</v>
      </c>
    </row>
    <row r="233" spans="2:11">
      <c r="B233" s="134" t="s">
        <v>237</v>
      </c>
    </row>
    <row r="234" spans="2:11">
      <c r="B234" s="134" t="s">
        <v>238</v>
      </c>
      <c r="F234">
        <f>1290+1305</f>
        <v>2595</v>
      </c>
      <c r="G234" t="s">
        <v>79</v>
      </c>
      <c r="H234" s="9">
        <v>42.5</v>
      </c>
      <c r="I234" s="9">
        <v>56</v>
      </c>
      <c r="J234" s="11">
        <f>F234*H234</f>
        <v>110287.5</v>
      </c>
      <c r="K234" s="11">
        <f>F234*I234</f>
        <v>145320</v>
      </c>
    </row>
    <row r="235" spans="2:11" ht="7.9" customHeight="1">
      <c r="B235" s="134"/>
    </row>
    <row r="236" spans="2:11">
      <c r="B236" t="s">
        <v>239</v>
      </c>
    </row>
    <row r="237" spans="2:11">
      <c r="B237" s="134" t="s">
        <v>240</v>
      </c>
    </row>
    <row r="238" spans="2:11">
      <c r="B238" s="134" t="s">
        <v>241</v>
      </c>
    </row>
    <row r="239" spans="2:11">
      <c r="B239" s="134" t="s">
        <v>242</v>
      </c>
    </row>
    <row r="240" spans="2:11">
      <c r="B240" s="134" t="s">
        <v>243</v>
      </c>
      <c r="G240" t="s">
        <v>79</v>
      </c>
      <c r="H240" s="9">
        <v>9.6</v>
      </c>
      <c r="I240" s="9">
        <v>12.6</v>
      </c>
    </row>
    <row r="243" spans="2:2">
      <c r="B243" t="s">
        <v>244</v>
      </c>
    </row>
    <row r="244" spans="2:2">
      <c r="B244" t="s">
        <v>245</v>
      </c>
    </row>
    <row r="245" spans="2:2">
      <c r="B245" t="s">
        <v>246</v>
      </c>
    </row>
    <row r="246" spans="2:2">
      <c r="B246" t="s">
        <v>247</v>
      </c>
    </row>
    <row r="247" spans="2:2">
      <c r="B247" t="s">
        <v>248</v>
      </c>
    </row>
    <row r="248" spans="2:2">
      <c r="B248" t="s">
        <v>249</v>
      </c>
    </row>
    <row r="249" spans="2:2">
      <c r="B249" t="s">
        <v>250</v>
      </c>
    </row>
    <row r="250" spans="2:2">
      <c r="B250" t="s">
        <v>251</v>
      </c>
    </row>
    <row r="251" spans="2:2">
      <c r="B251" t="s">
        <v>252</v>
      </c>
    </row>
    <row r="252" spans="2:2">
      <c r="B252" t="s">
        <v>253</v>
      </c>
    </row>
    <row r="253" spans="2:2">
      <c r="B253" t="s">
        <v>254</v>
      </c>
    </row>
    <row r="254" spans="2:2">
      <c r="B254" t="s">
        <v>255</v>
      </c>
    </row>
    <row r="260" spans="2:11" ht="15.75">
      <c r="B260" s="150" t="s">
        <v>256</v>
      </c>
      <c r="C260" s="151"/>
      <c r="D260" s="151"/>
      <c r="E260" s="199"/>
      <c r="F260" s="196"/>
      <c r="G260" s="197"/>
      <c r="H260" s="198"/>
      <c r="I260" s="198"/>
      <c r="J260" s="203">
        <f>SUM(J264:J303)</f>
        <v>68690</v>
      </c>
      <c r="K260" s="204">
        <f>SUM(K264:K303)</f>
        <v>80245</v>
      </c>
    </row>
    <row r="262" spans="2:11">
      <c r="B262" s="10" t="s">
        <v>257</v>
      </c>
    </row>
    <row r="263" spans="2:11">
      <c r="B263" t="s">
        <v>258</v>
      </c>
    </row>
    <row r="264" spans="2:11">
      <c r="B264" s="70" t="s">
        <v>259</v>
      </c>
      <c r="F264">
        <v>100</v>
      </c>
      <c r="G264" t="s">
        <v>79</v>
      </c>
      <c r="H264" s="9">
        <v>59</v>
      </c>
      <c r="I264" s="9">
        <v>72</v>
      </c>
      <c r="J264" s="190">
        <f t="shared" ref="J264:J272" si="12">F264*H264</f>
        <v>5900</v>
      </c>
      <c r="K264" s="190">
        <f t="shared" ref="K264:K274" si="13">F264*I264</f>
        <v>7200</v>
      </c>
    </row>
    <row r="265" spans="2:11">
      <c r="B265" s="70" t="s">
        <v>260</v>
      </c>
      <c r="F265">
        <v>50</v>
      </c>
      <c r="G265" t="s">
        <v>79</v>
      </c>
      <c r="H265" s="9">
        <v>60</v>
      </c>
      <c r="I265" s="9">
        <v>73</v>
      </c>
      <c r="J265" s="190">
        <f t="shared" si="12"/>
        <v>3000</v>
      </c>
      <c r="K265" s="190">
        <f t="shared" si="13"/>
        <v>3650</v>
      </c>
    </row>
    <row r="266" spans="2:11">
      <c r="B266" s="70" t="s">
        <v>261</v>
      </c>
      <c r="F266">
        <v>50</v>
      </c>
      <c r="G266" t="s">
        <v>79</v>
      </c>
      <c r="H266" s="9">
        <v>77</v>
      </c>
      <c r="I266" s="9">
        <v>93</v>
      </c>
      <c r="J266" s="190">
        <f t="shared" si="12"/>
        <v>3850</v>
      </c>
      <c r="K266" s="190">
        <f t="shared" si="13"/>
        <v>4650</v>
      </c>
    </row>
    <row r="267" spans="2:11">
      <c r="J267" s="190"/>
      <c r="K267" s="190"/>
    </row>
    <row r="268" spans="2:11">
      <c r="B268" t="s">
        <v>262</v>
      </c>
      <c r="J268" s="190"/>
      <c r="K268" s="190"/>
    </row>
    <row r="269" spans="2:11">
      <c r="B269" s="70" t="s">
        <v>263</v>
      </c>
      <c r="J269" s="190"/>
      <c r="K269" s="190"/>
    </row>
    <row r="270" spans="2:11">
      <c r="B270" s="70" t="s">
        <v>264</v>
      </c>
      <c r="F270">
        <v>200</v>
      </c>
      <c r="G270" t="s">
        <v>79</v>
      </c>
      <c r="H270" s="9">
        <v>17.2</v>
      </c>
      <c r="I270" s="9">
        <v>22</v>
      </c>
      <c r="J270" s="190">
        <f t="shared" si="12"/>
        <v>3440</v>
      </c>
      <c r="K270" s="190">
        <f t="shared" si="13"/>
        <v>4400</v>
      </c>
    </row>
    <row r="271" spans="2:11">
      <c r="B271" t="s">
        <v>265</v>
      </c>
      <c r="J271" s="190"/>
      <c r="K271" s="190"/>
    </row>
    <row r="272" spans="2:11">
      <c r="B272" s="70" t="s">
        <v>266</v>
      </c>
      <c r="F272">
        <v>100</v>
      </c>
      <c r="G272" t="s">
        <v>79</v>
      </c>
      <c r="H272" s="9">
        <v>71</v>
      </c>
      <c r="I272" s="9">
        <v>90</v>
      </c>
      <c r="J272" s="190">
        <f t="shared" si="12"/>
        <v>7100</v>
      </c>
      <c r="K272" s="190"/>
    </row>
    <row r="273" spans="2:11">
      <c r="B273" s="70" t="s">
        <v>267</v>
      </c>
      <c r="F273">
        <v>100</v>
      </c>
      <c r="G273" t="s">
        <v>79</v>
      </c>
      <c r="H273" s="9">
        <v>72</v>
      </c>
      <c r="I273" s="9">
        <v>91</v>
      </c>
      <c r="J273" s="190"/>
      <c r="K273" s="190"/>
    </row>
    <row r="274" spans="2:11">
      <c r="B274" s="70" t="s">
        <v>268</v>
      </c>
      <c r="F274">
        <v>100</v>
      </c>
      <c r="G274" t="s">
        <v>79</v>
      </c>
      <c r="H274" s="9">
        <v>78</v>
      </c>
      <c r="I274" s="9">
        <v>98</v>
      </c>
      <c r="J274" s="190"/>
      <c r="K274" s="190">
        <f t="shared" si="13"/>
        <v>9800</v>
      </c>
    </row>
    <row r="275" spans="2:11">
      <c r="J275" s="190"/>
      <c r="K275" s="190"/>
    </row>
    <row r="276" spans="2:11">
      <c r="B276" s="70" t="s">
        <v>269</v>
      </c>
      <c r="J276" s="190"/>
      <c r="K276" s="190"/>
    </row>
    <row r="277" spans="2:11">
      <c r="B277" s="70" t="s">
        <v>270</v>
      </c>
      <c r="F277">
        <v>100</v>
      </c>
      <c r="G277" t="s">
        <v>79</v>
      </c>
      <c r="H277" s="9">
        <v>50.8</v>
      </c>
      <c r="I277" s="9">
        <v>50.8</v>
      </c>
      <c r="J277" s="190">
        <f>F277*H277</f>
        <v>5080</v>
      </c>
      <c r="K277" s="190">
        <f>F277*I277</f>
        <v>5080</v>
      </c>
    </row>
    <row r="278" spans="2:11" ht="15" customHeight="1"/>
    <row r="279" spans="2:11">
      <c r="B279" s="10" t="s">
        <v>271</v>
      </c>
    </row>
    <row r="280" spans="2:11">
      <c r="B280" t="s">
        <v>272</v>
      </c>
    </row>
    <row r="281" spans="2:11">
      <c r="B281" t="s">
        <v>273</v>
      </c>
    </row>
    <row r="282" spans="2:11">
      <c r="B282" t="s">
        <v>274</v>
      </c>
    </row>
    <row r="283" spans="2:11">
      <c r="B283" s="134" t="s">
        <v>275</v>
      </c>
      <c r="F283">
        <v>5</v>
      </c>
      <c r="G283" t="s">
        <v>70</v>
      </c>
      <c r="H283" s="9">
        <v>140</v>
      </c>
      <c r="I283" s="9">
        <v>165</v>
      </c>
      <c r="J283" s="190">
        <f>F283*H283</f>
        <v>700</v>
      </c>
      <c r="K283" s="190">
        <f>F283*I283</f>
        <v>825</v>
      </c>
    </row>
    <row r="284" spans="2:11">
      <c r="B284" s="134" t="s">
        <v>276</v>
      </c>
      <c r="F284">
        <v>5</v>
      </c>
      <c r="G284" t="s">
        <v>70</v>
      </c>
      <c r="H284" s="9">
        <v>220</v>
      </c>
      <c r="I284" s="9">
        <v>270</v>
      </c>
      <c r="J284" s="190">
        <f t="shared" ref="J284:J295" si="14">F284*H284</f>
        <v>1100</v>
      </c>
      <c r="K284" s="190">
        <f t="shared" ref="K284:K296" si="15">F284*I284</f>
        <v>1350</v>
      </c>
    </row>
    <row r="285" spans="2:11">
      <c r="B285" s="134" t="s">
        <v>277</v>
      </c>
      <c r="F285">
        <v>5</v>
      </c>
      <c r="G285" t="s">
        <v>70</v>
      </c>
      <c r="H285" s="9">
        <v>860</v>
      </c>
      <c r="I285" s="9">
        <v>1050</v>
      </c>
      <c r="J285" s="190">
        <f t="shared" si="14"/>
        <v>4300</v>
      </c>
      <c r="K285" s="190">
        <f t="shared" si="15"/>
        <v>5250</v>
      </c>
    </row>
    <row r="286" spans="2:11">
      <c r="B286" t="s">
        <v>278</v>
      </c>
      <c r="J286" s="190"/>
      <c r="K286" s="190"/>
    </row>
    <row r="287" spans="2:11">
      <c r="B287" s="134" t="s">
        <v>279</v>
      </c>
      <c r="F287">
        <v>10</v>
      </c>
      <c r="G287" t="s">
        <v>70</v>
      </c>
      <c r="H287" s="9">
        <v>1125</v>
      </c>
      <c r="I287" s="9">
        <v>1375</v>
      </c>
      <c r="J287" s="190">
        <f t="shared" si="14"/>
        <v>11250</v>
      </c>
      <c r="K287" s="190">
        <f t="shared" si="15"/>
        <v>13750</v>
      </c>
    </row>
    <row r="288" spans="2:11">
      <c r="B288" t="s">
        <v>280</v>
      </c>
      <c r="J288" s="190"/>
      <c r="K288" s="190"/>
    </row>
    <row r="289" spans="2:11">
      <c r="B289" s="134" t="s">
        <v>281</v>
      </c>
      <c r="F289">
        <v>6</v>
      </c>
      <c r="G289" t="s">
        <v>70</v>
      </c>
      <c r="H289" s="9">
        <v>205</v>
      </c>
      <c r="I289" s="9">
        <v>250</v>
      </c>
      <c r="J289" s="190">
        <f t="shared" si="14"/>
        <v>1230</v>
      </c>
      <c r="K289" s="190">
        <f t="shared" si="15"/>
        <v>1500</v>
      </c>
    </row>
    <row r="290" spans="2:11">
      <c r="B290" s="134" t="s">
        <v>282</v>
      </c>
      <c r="G290" t="s">
        <v>70</v>
      </c>
      <c r="H290" s="9">
        <v>210</v>
      </c>
      <c r="I290" s="9">
        <v>255</v>
      </c>
      <c r="J290" s="190"/>
      <c r="K290" s="190"/>
    </row>
    <row r="291" spans="2:11">
      <c r="B291" s="134" t="s">
        <v>283</v>
      </c>
      <c r="G291" t="s">
        <v>70</v>
      </c>
      <c r="H291" s="9">
        <v>420</v>
      </c>
      <c r="I291" s="9">
        <v>510</v>
      </c>
      <c r="J291" s="190"/>
      <c r="K291" s="190"/>
    </row>
    <row r="292" spans="2:11">
      <c r="B292" s="134" t="s">
        <v>284</v>
      </c>
      <c r="F292">
        <v>3</v>
      </c>
      <c r="G292" t="s">
        <v>70</v>
      </c>
      <c r="H292" s="9">
        <v>640</v>
      </c>
      <c r="I292" s="9">
        <v>770</v>
      </c>
      <c r="J292" s="190">
        <f t="shared" si="14"/>
        <v>1920</v>
      </c>
      <c r="K292" s="190">
        <f t="shared" si="15"/>
        <v>2310</v>
      </c>
    </row>
    <row r="293" spans="2:11">
      <c r="B293" t="s">
        <v>285</v>
      </c>
      <c r="G293" t="s">
        <v>70</v>
      </c>
      <c r="H293" s="9">
        <v>2650</v>
      </c>
      <c r="I293" s="9">
        <v>3200</v>
      </c>
      <c r="J293" s="190"/>
      <c r="K293" s="190"/>
    </row>
    <row r="294" spans="2:11">
      <c r="B294" t="s">
        <v>286</v>
      </c>
      <c r="G294" t="s">
        <v>70</v>
      </c>
      <c r="H294" s="9">
        <v>640</v>
      </c>
      <c r="I294" s="9">
        <v>770</v>
      </c>
      <c r="J294" s="190"/>
      <c r="K294" s="190"/>
    </row>
    <row r="295" spans="2:11">
      <c r="B295" t="s">
        <v>287</v>
      </c>
      <c r="F295">
        <v>10</v>
      </c>
      <c r="G295" t="s">
        <v>70</v>
      </c>
      <c r="H295" s="9">
        <v>52</v>
      </c>
      <c r="I295" s="9">
        <v>63</v>
      </c>
      <c r="J295" s="190">
        <f t="shared" si="14"/>
        <v>520</v>
      </c>
      <c r="K295" s="190">
        <f t="shared" si="15"/>
        <v>630</v>
      </c>
    </row>
    <row r="296" spans="2:11">
      <c r="B296" t="s">
        <v>288</v>
      </c>
      <c r="F296">
        <v>2</v>
      </c>
      <c r="G296" t="s">
        <v>70</v>
      </c>
      <c r="H296" s="9">
        <v>1250</v>
      </c>
      <c r="I296" s="9">
        <v>1525</v>
      </c>
      <c r="J296" s="190">
        <f>F296*H296</f>
        <v>2500</v>
      </c>
      <c r="K296" s="190">
        <f t="shared" si="15"/>
        <v>3050</v>
      </c>
    </row>
    <row r="299" spans="2:11">
      <c r="B299" s="10" t="s">
        <v>289</v>
      </c>
    </row>
    <row r="300" spans="2:11">
      <c r="B300" t="s">
        <v>290</v>
      </c>
    </row>
    <row r="301" spans="2:11">
      <c r="B301" t="s">
        <v>291</v>
      </c>
    </row>
    <row r="302" spans="2:11">
      <c r="B302" t="s">
        <v>292</v>
      </c>
    </row>
    <row r="303" spans="2:11">
      <c r="C303" t="s">
        <v>293</v>
      </c>
      <c r="F303">
        <v>200</v>
      </c>
      <c r="G303" t="s">
        <v>79</v>
      </c>
      <c r="H303" s="9">
        <v>84</v>
      </c>
      <c r="I303" s="9">
        <v>84</v>
      </c>
      <c r="J303" s="190">
        <f>F303*H303</f>
        <v>16800</v>
      </c>
      <c r="K303" s="190">
        <f t="shared" ref="K303" si="16">F303*I303</f>
        <v>16800</v>
      </c>
    </row>
    <row r="304" spans="2:11">
      <c r="C304" t="s">
        <v>294</v>
      </c>
    </row>
  </sheetData>
  <mergeCells count="1">
    <mergeCell ref="B204:E20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289"/>
  <sheetViews>
    <sheetView tabSelected="1" zoomScale="70" zoomScaleNormal="70" workbookViewId="0">
      <pane ySplit="1" topLeftCell="A74" activePane="bottomLeft" state="frozen"/>
      <selection pane="bottomLeft" activeCell="E70" sqref="E70"/>
    </sheetView>
  </sheetViews>
  <sheetFormatPr defaultRowHeight="15"/>
  <cols>
    <col min="1" max="1" width="4.28515625" customWidth="1"/>
    <col min="2" max="2" width="31.5703125" customWidth="1"/>
    <col min="3" max="3" width="26" customWidth="1"/>
    <col min="4" max="4" width="19.7109375" customWidth="1"/>
    <col min="5" max="5" width="40.5703125" customWidth="1"/>
    <col min="6" max="6" width="11.28515625" bestFit="1" customWidth="1"/>
    <col min="7" max="7" width="7.7109375" customWidth="1"/>
    <col min="8" max="8" width="17.5703125" style="9" customWidth="1"/>
    <col min="9" max="9" width="11.85546875" style="9" customWidth="1"/>
    <col min="10" max="10" width="15.42578125" customWidth="1"/>
    <col min="11" max="11" width="17.28515625" customWidth="1"/>
    <col min="12" max="12" width="20.85546875" customWidth="1"/>
    <col min="15" max="15" width="21.28515625" customWidth="1"/>
  </cols>
  <sheetData>
    <row r="1" spans="1:11">
      <c r="F1" s="161" t="s">
        <v>59</v>
      </c>
      <c r="G1" s="162" t="s">
        <v>60</v>
      </c>
      <c r="H1" s="163" t="s">
        <v>61</v>
      </c>
      <c r="I1" s="163" t="s">
        <v>62</v>
      </c>
      <c r="J1" s="163" t="s">
        <v>63</v>
      </c>
      <c r="K1" s="164" t="s">
        <v>64</v>
      </c>
    </row>
    <row r="3" spans="1:11" ht="15.75">
      <c r="B3" s="144" t="s">
        <v>104</v>
      </c>
      <c r="C3" s="145"/>
      <c r="D3" s="146"/>
    </row>
    <row r="5" spans="1:11">
      <c r="B5" s="10" t="s">
        <v>105</v>
      </c>
      <c r="F5" s="13" t="s">
        <v>106</v>
      </c>
    </row>
    <row r="6" spans="1:11">
      <c r="B6" s="10" t="s">
        <v>107</v>
      </c>
      <c r="C6" s="10"/>
      <c r="E6" s="10"/>
      <c r="F6" s="10"/>
      <c r="G6" s="10"/>
      <c r="I6" s="13"/>
    </row>
    <row r="7" spans="1:11">
      <c r="B7" s="10"/>
      <c r="C7" s="10"/>
      <c r="D7" s="10"/>
      <c r="E7" s="10"/>
      <c r="F7" s="10"/>
      <c r="G7" s="10"/>
      <c r="H7" s="135"/>
      <c r="I7" s="135"/>
    </row>
    <row r="8" spans="1:11">
      <c r="B8" t="s">
        <v>108</v>
      </c>
      <c r="F8" s="131"/>
      <c r="H8" s="13"/>
      <c r="I8" s="13"/>
    </row>
    <row r="9" spans="1:11">
      <c r="B9" t="s">
        <v>109</v>
      </c>
      <c r="F9" s="132">
        <f>'Information given by model'!D3+'Information given by model'!D13</f>
        <v>11019.138324</v>
      </c>
      <c r="G9" s="13" t="s">
        <v>79</v>
      </c>
      <c r="H9" s="13">
        <v>490</v>
      </c>
      <c r="I9" s="13"/>
      <c r="J9" s="13">
        <f>H9*F9</f>
        <v>5399377.7787600001</v>
      </c>
    </row>
    <row r="10" spans="1:11">
      <c r="B10" t="s">
        <v>110</v>
      </c>
      <c r="H10" s="13"/>
      <c r="I10" s="13"/>
    </row>
    <row r="11" spans="1:11">
      <c r="A11" s="133" t="s">
        <v>80</v>
      </c>
      <c r="H11" s="13"/>
      <c r="I11" s="13"/>
    </row>
    <row r="12" spans="1:11">
      <c r="B12" s="10" t="s">
        <v>111</v>
      </c>
      <c r="C12" s="10"/>
      <c r="D12" s="10"/>
      <c r="E12" s="10"/>
      <c r="H12" s="13"/>
      <c r="I12" s="13"/>
    </row>
    <row r="13" spans="1:11">
      <c r="H13" s="13"/>
      <c r="I13" s="13"/>
    </row>
    <row r="14" spans="1:11">
      <c r="B14" t="s">
        <v>112</v>
      </c>
      <c r="H14" s="13"/>
      <c r="I14" s="13"/>
    </row>
    <row r="15" spans="1:11">
      <c r="H15" s="13"/>
      <c r="I15" s="13"/>
    </row>
    <row r="16" spans="1:11">
      <c r="B16" s="10" t="s">
        <v>113</v>
      </c>
      <c r="H16" s="13"/>
      <c r="I16" s="13"/>
    </row>
    <row r="17" spans="2:11">
      <c r="B17" s="10" t="s">
        <v>114</v>
      </c>
      <c r="H17" s="13"/>
      <c r="I17" s="13"/>
    </row>
    <row r="18" spans="2:11">
      <c r="B18" t="s">
        <v>115</v>
      </c>
      <c r="H18" s="13"/>
      <c r="I18" s="13"/>
    </row>
    <row r="19" spans="2:11">
      <c r="B19" t="s">
        <v>116</v>
      </c>
      <c r="H19" s="13"/>
      <c r="I19" s="13"/>
    </row>
    <row r="20" spans="2:11">
      <c r="B20" t="s">
        <v>117</v>
      </c>
      <c r="F20" s="156">
        <f>('Information given by model'!D3+'Information given by model'!D13)*0.5</f>
        <v>5509.5691619999998</v>
      </c>
      <c r="G20" t="s">
        <v>118</v>
      </c>
      <c r="H20" s="13">
        <v>11.3</v>
      </c>
      <c r="I20" s="13">
        <v>13.7</v>
      </c>
      <c r="J20" s="13">
        <f>H20*F20</f>
        <v>62258.131530600003</v>
      </c>
      <c r="K20" s="11">
        <f>F20*I20</f>
        <v>75481.097519399991</v>
      </c>
    </row>
    <row r="21" spans="2:11" ht="8.4499999999999993" customHeight="1">
      <c r="H21" s="13"/>
      <c r="I21" s="13"/>
    </row>
    <row r="22" spans="2:11">
      <c r="B22" t="s">
        <v>119</v>
      </c>
      <c r="H22" s="13"/>
      <c r="I22" s="13"/>
    </row>
    <row r="23" spans="2:11">
      <c r="B23" t="s">
        <v>120</v>
      </c>
      <c r="F23">
        <v>1</v>
      </c>
      <c r="G23" t="s">
        <v>121</v>
      </c>
      <c r="H23" s="13">
        <v>19000</v>
      </c>
      <c r="I23" s="13">
        <v>23000</v>
      </c>
      <c r="J23" s="13">
        <f>H23*F23</f>
        <v>19000</v>
      </c>
      <c r="K23" s="11">
        <f>F23*I23</f>
        <v>23000</v>
      </c>
    </row>
    <row r="24" spans="2:11" ht="7.15" customHeight="1">
      <c r="H24" s="13"/>
      <c r="I24" s="13"/>
    </row>
    <row r="25" spans="2:11">
      <c r="B25" t="s">
        <v>122</v>
      </c>
      <c r="H25" s="13"/>
      <c r="I25" s="13"/>
    </row>
    <row r="26" spans="2:11">
      <c r="B26" t="s">
        <v>123</v>
      </c>
      <c r="H26" s="13"/>
      <c r="I26" s="13"/>
    </row>
    <row r="27" spans="2:11">
      <c r="B27" s="70" t="s">
        <v>124</v>
      </c>
      <c r="F27" s="156">
        <f>'Information given by model'!F8</f>
        <v>936.62675754000009</v>
      </c>
      <c r="G27" t="s">
        <v>125</v>
      </c>
      <c r="H27" s="13">
        <v>130</v>
      </c>
      <c r="I27" s="13">
        <v>155</v>
      </c>
      <c r="J27" s="13">
        <f>H27*F27</f>
        <v>121761.47848020001</v>
      </c>
      <c r="K27" s="11">
        <f>F27*I27</f>
        <v>145177.14741870001</v>
      </c>
    </row>
    <row r="28" spans="2:11" ht="7.9" customHeight="1">
      <c r="H28" s="13"/>
      <c r="I28" s="13"/>
    </row>
    <row r="29" spans="2:11">
      <c r="B29" t="s">
        <v>126</v>
      </c>
      <c r="H29" s="13"/>
      <c r="I29" s="13"/>
    </row>
    <row r="30" spans="2:11">
      <c r="B30" s="70" t="s">
        <v>127</v>
      </c>
      <c r="G30" t="s">
        <v>121</v>
      </c>
      <c r="H30" s="13">
        <v>7900</v>
      </c>
      <c r="I30" s="13">
        <v>9500</v>
      </c>
    </row>
    <row r="31" spans="2:11">
      <c r="B31" s="70" t="s">
        <v>128</v>
      </c>
      <c r="F31">
        <v>10</v>
      </c>
      <c r="G31" t="s">
        <v>70</v>
      </c>
      <c r="H31" s="13">
        <v>16</v>
      </c>
      <c r="I31" s="13">
        <v>19.3</v>
      </c>
      <c r="J31" s="13">
        <f>H31*F31</f>
        <v>160</v>
      </c>
      <c r="K31" s="11">
        <f>F31*I31</f>
        <v>193</v>
      </c>
    </row>
    <row r="32" spans="2:11" ht="7.9" customHeight="1">
      <c r="B32" s="70"/>
      <c r="H32" s="13"/>
      <c r="I32" s="13"/>
    </row>
    <row r="33" spans="2:11">
      <c r="B33" t="s">
        <v>129</v>
      </c>
      <c r="H33" s="13"/>
      <c r="I33" s="13"/>
    </row>
    <row r="34" spans="2:11">
      <c r="B34" t="s">
        <v>130</v>
      </c>
      <c r="H34" s="13"/>
      <c r="I34" s="13"/>
    </row>
    <row r="35" spans="2:11">
      <c r="B35" s="70" t="s">
        <v>131</v>
      </c>
      <c r="F35">
        <f>('Information given by model'!D10)*3</f>
        <v>3426</v>
      </c>
      <c r="G35" t="s">
        <v>79</v>
      </c>
      <c r="H35" s="13">
        <v>270</v>
      </c>
      <c r="I35" s="13">
        <v>325</v>
      </c>
      <c r="J35" s="13">
        <f>H35*F35</f>
        <v>925020</v>
      </c>
      <c r="K35" s="11">
        <f>F35*I35</f>
        <v>1113450</v>
      </c>
    </row>
    <row r="36" spans="2:11" ht="6" customHeight="1">
      <c r="B36" s="70"/>
      <c r="H36" s="13"/>
      <c r="I36" s="13"/>
    </row>
    <row r="37" spans="2:11">
      <c r="B37" t="s">
        <v>132</v>
      </c>
      <c r="H37" s="13"/>
      <c r="I37" s="13"/>
    </row>
    <row r="38" spans="2:11">
      <c r="B38" s="70" t="s">
        <v>133</v>
      </c>
      <c r="H38" s="13"/>
      <c r="I38" s="13"/>
    </row>
    <row r="39" spans="2:11">
      <c r="B39" s="70" t="s">
        <v>134</v>
      </c>
      <c r="F39">
        <f>('Information given by model'!D10)*3</f>
        <v>3426</v>
      </c>
      <c r="G39" t="s">
        <v>79</v>
      </c>
      <c r="H39" s="13">
        <v>200</v>
      </c>
      <c r="I39" s="13">
        <v>240</v>
      </c>
      <c r="J39" s="13">
        <f>H39*F39</f>
        <v>685200</v>
      </c>
      <c r="K39" s="11">
        <f>F39*I39</f>
        <v>822240</v>
      </c>
    </row>
    <row r="40" spans="2:11">
      <c r="H40" s="13"/>
      <c r="I40" s="13"/>
    </row>
    <row r="41" spans="2:11">
      <c r="H41" s="13"/>
      <c r="I41" s="13"/>
    </row>
    <row r="42" spans="2:11" ht="13.9" customHeight="1">
      <c r="B42" t="s">
        <v>135</v>
      </c>
      <c r="H42" s="13"/>
      <c r="I42" s="13"/>
    </row>
    <row r="43" spans="2:11" ht="13.9" customHeight="1">
      <c r="B43" t="s">
        <v>136</v>
      </c>
      <c r="H43" s="13"/>
      <c r="I43" s="13"/>
    </row>
    <row r="44" spans="2:11" ht="13.9" customHeight="1">
      <c r="B44" t="s">
        <v>137</v>
      </c>
      <c r="F44">
        <f>'Information given by model'!D10</f>
        <v>1142</v>
      </c>
      <c r="G44" t="s">
        <v>79</v>
      </c>
      <c r="H44" s="13">
        <v>380</v>
      </c>
      <c r="I44" s="13">
        <v>460</v>
      </c>
      <c r="J44" s="13">
        <f>H44*F44</f>
        <v>433960</v>
      </c>
      <c r="K44" s="11">
        <f>F44*I44</f>
        <v>525320</v>
      </c>
    </row>
    <row r="45" spans="2:11" ht="13.9" customHeight="1">
      <c r="H45" s="13"/>
      <c r="I45" s="13"/>
    </row>
    <row r="46" spans="2:11" ht="15.75" thickBot="1"/>
    <row r="47" spans="2:11" ht="16.5" thickBot="1">
      <c r="B47" s="147" t="s">
        <v>185</v>
      </c>
      <c r="C47" s="140"/>
      <c r="D47" s="141"/>
    </row>
    <row r="48" spans="2:11" ht="4.9000000000000004" customHeight="1">
      <c r="B48" s="10"/>
      <c r="H48" s="143"/>
      <c r="I48" s="143"/>
    </row>
    <row r="49" spans="2:11">
      <c r="B49" s="10" t="s">
        <v>186</v>
      </c>
    </row>
    <row r="50" spans="2:11">
      <c r="B50" s="10" t="s">
        <v>187</v>
      </c>
    </row>
    <row r="51" spans="2:11">
      <c r="B51" s="142" t="s">
        <v>188</v>
      </c>
    </row>
    <row r="52" spans="2:11">
      <c r="B52" s="70" t="s">
        <v>189</v>
      </c>
    </row>
    <row r="53" spans="2:11">
      <c r="B53" s="134" t="s">
        <v>190</v>
      </c>
      <c r="F53">
        <f>25+183+2</f>
        <v>210</v>
      </c>
      <c r="G53" t="s">
        <v>191</v>
      </c>
      <c r="H53" s="9">
        <v>20500</v>
      </c>
      <c r="I53" s="9">
        <v>28500</v>
      </c>
      <c r="J53" s="11">
        <f>F53*H53</f>
        <v>4305000</v>
      </c>
      <c r="K53" s="11">
        <f>F53*I53</f>
        <v>5985000</v>
      </c>
    </row>
    <row r="54" spans="2:11">
      <c r="B54" s="70" t="s">
        <v>192</v>
      </c>
      <c r="J54" s="11"/>
      <c r="K54" s="11"/>
    </row>
    <row r="55" spans="2:11">
      <c r="B55" s="134" t="s">
        <v>193</v>
      </c>
      <c r="F55">
        <v>210</v>
      </c>
      <c r="G55" t="s">
        <v>191</v>
      </c>
      <c r="H55" s="9">
        <v>36500</v>
      </c>
      <c r="I55" s="9">
        <v>51000</v>
      </c>
      <c r="J55" s="11">
        <f t="shared" ref="J55:J57" si="0">F55*H55</f>
        <v>7665000</v>
      </c>
      <c r="K55" s="11">
        <f t="shared" ref="K55:K57" si="1">F55*I55</f>
        <v>10710000</v>
      </c>
    </row>
    <row r="56" spans="2:11">
      <c r="B56" s="70" t="s">
        <v>194</v>
      </c>
      <c r="J56" s="11"/>
      <c r="K56" s="11"/>
    </row>
    <row r="57" spans="2:11">
      <c r="B57" s="134" t="s">
        <v>193</v>
      </c>
      <c r="F57">
        <v>210</v>
      </c>
      <c r="G57" t="s">
        <v>191</v>
      </c>
      <c r="H57" s="9">
        <v>30000</v>
      </c>
      <c r="I57" s="9">
        <v>42000</v>
      </c>
      <c r="J57" s="11">
        <f t="shared" si="0"/>
        <v>6300000</v>
      </c>
      <c r="K57" s="11">
        <f t="shared" si="1"/>
        <v>8820000</v>
      </c>
    </row>
    <row r="58" spans="2:11" ht="10.15" customHeight="1">
      <c r="B58" s="134"/>
    </row>
    <row r="59" spans="2:11">
      <c r="B59" s="10" t="s">
        <v>195</v>
      </c>
    </row>
    <row r="60" spans="2:11">
      <c r="B60" s="10" t="s">
        <v>196</v>
      </c>
    </row>
    <row r="61" spans="2:11">
      <c r="B61" t="s">
        <v>197</v>
      </c>
    </row>
    <row r="62" spans="2:11">
      <c r="B62" s="134" t="s">
        <v>198</v>
      </c>
      <c r="F62">
        <v>8800</v>
      </c>
      <c r="G62" t="s">
        <v>79</v>
      </c>
      <c r="H62" s="9">
        <v>660</v>
      </c>
      <c r="I62" s="9">
        <v>840</v>
      </c>
      <c r="J62" s="11">
        <f>F62*H62</f>
        <v>5808000</v>
      </c>
      <c r="K62" s="11">
        <f>F62*I62</f>
        <v>7392000</v>
      </c>
    </row>
    <row r="63" spans="2:11">
      <c r="B63" s="134" t="s">
        <v>199</v>
      </c>
      <c r="F63">
        <v>8800</v>
      </c>
      <c r="G63" t="s">
        <v>79</v>
      </c>
      <c r="H63" s="9">
        <v>900</v>
      </c>
      <c r="I63" s="9">
        <v>1150</v>
      </c>
      <c r="J63" s="11">
        <f t="shared" ref="J63:J64" si="2">F63*H63</f>
        <v>7920000</v>
      </c>
      <c r="K63" s="11">
        <f t="shared" ref="K63:K64" si="3">F63*I63</f>
        <v>10120000</v>
      </c>
    </row>
    <row r="64" spans="2:11">
      <c r="B64" s="134" t="s">
        <v>200</v>
      </c>
      <c r="F64">
        <v>8800</v>
      </c>
      <c r="G64" t="s">
        <v>79</v>
      </c>
      <c r="H64" s="9">
        <v>1075</v>
      </c>
      <c r="I64" s="9">
        <v>1375</v>
      </c>
      <c r="J64" s="11">
        <f t="shared" si="2"/>
        <v>9460000</v>
      </c>
      <c r="K64" s="11">
        <f t="shared" si="3"/>
        <v>12100000</v>
      </c>
    </row>
    <row r="65" spans="1:17" ht="15.75" thickBot="1"/>
    <row r="66" spans="1:17" ht="16.5" thickBot="1">
      <c r="A66">
        <v>1</v>
      </c>
      <c r="B66" s="157" t="s">
        <v>295</v>
      </c>
      <c r="C66" s="158"/>
      <c r="D66" s="158"/>
      <c r="E66" s="159"/>
      <c r="F66">
        <v>4243</v>
      </c>
      <c r="G66" t="s">
        <v>296</v>
      </c>
    </row>
    <row r="67" spans="1:17">
      <c r="A67" s="252"/>
      <c r="B67" s="252"/>
      <c r="C67" s="252"/>
      <c r="D67" s="252"/>
      <c r="E67" s="252"/>
      <c r="F67" s="252"/>
      <c r="G67" s="252"/>
      <c r="H67" s="253"/>
      <c r="I67" s="253"/>
      <c r="J67" s="252"/>
      <c r="K67" s="252"/>
      <c r="L67" s="252"/>
    </row>
    <row r="68" spans="1:17" ht="57">
      <c r="A68" s="118">
        <v>1.1000000000000001</v>
      </c>
      <c r="B68" s="118" t="s">
        <v>297</v>
      </c>
      <c r="C68" s="257" t="s">
        <v>298</v>
      </c>
      <c r="D68" s="258" t="s">
        <v>299</v>
      </c>
      <c r="E68" s="118"/>
      <c r="F68" s="118">
        <v>4243</v>
      </c>
      <c r="G68" s="118" t="s">
        <v>300</v>
      </c>
      <c r="H68" s="259"/>
      <c r="I68" s="259">
        <v>195</v>
      </c>
      <c r="J68" s="118"/>
      <c r="K68" s="260">
        <f>I68*F68</f>
        <v>827385</v>
      </c>
      <c r="L68" s="118"/>
      <c r="N68" s="254"/>
      <c r="O68" s="255"/>
      <c r="P68" s="255"/>
      <c r="Q68" s="255"/>
    </row>
    <row r="69" spans="1:17">
      <c r="A69" s="118"/>
      <c r="B69" s="261"/>
      <c r="C69" s="262"/>
      <c r="D69" s="262"/>
      <c r="E69" s="262"/>
      <c r="F69" s="262"/>
      <c r="G69" s="262"/>
      <c r="H69" s="263"/>
      <c r="I69" s="263"/>
      <c r="J69" s="262"/>
      <c r="K69" s="264"/>
      <c r="L69" s="118"/>
      <c r="N69" s="254"/>
      <c r="O69" s="254"/>
      <c r="P69" s="254"/>
      <c r="Q69" s="254"/>
    </row>
    <row r="70" spans="1:17" ht="72.75">
      <c r="A70" s="118">
        <v>1.2</v>
      </c>
      <c r="B70" s="290" t="s">
        <v>301</v>
      </c>
      <c r="C70" s="291" t="s">
        <v>302</v>
      </c>
      <c r="D70" s="258" t="s">
        <v>299</v>
      </c>
      <c r="E70" s="262"/>
      <c r="F70" s="262">
        <v>1484</v>
      </c>
      <c r="G70" s="262" t="s">
        <v>79</v>
      </c>
      <c r="H70" s="263"/>
      <c r="I70" s="263">
        <v>140</v>
      </c>
      <c r="J70" s="262"/>
      <c r="K70" s="264">
        <f>I70*F70</f>
        <v>207760</v>
      </c>
      <c r="L70" s="118"/>
      <c r="N70" s="255"/>
      <c r="O70" s="255"/>
      <c r="P70" s="255"/>
      <c r="Q70" s="255"/>
    </row>
    <row r="71" spans="1:17">
      <c r="A71" s="118"/>
      <c r="B71" s="265"/>
      <c r="C71" s="262"/>
      <c r="D71" s="262"/>
      <c r="E71" s="262"/>
      <c r="F71" s="262"/>
      <c r="G71" s="262"/>
      <c r="H71" s="263"/>
      <c r="I71" s="263"/>
      <c r="J71" s="262"/>
      <c r="K71" s="262"/>
      <c r="L71" s="118"/>
      <c r="N71" s="255"/>
      <c r="O71" s="255"/>
      <c r="P71" s="255"/>
      <c r="Q71" s="255"/>
    </row>
    <row r="72" spans="1:17" ht="60.75">
      <c r="A72" s="118">
        <v>1.3</v>
      </c>
      <c r="B72" s="262" t="s">
        <v>303</v>
      </c>
      <c r="C72" s="258" t="s">
        <v>304</v>
      </c>
      <c r="D72" s="258" t="s">
        <v>299</v>
      </c>
      <c r="E72" s="258" t="s">
        <v>305</v>
      </c>
      <c r="F72" s="262">
        <v>667</v>
      </c>
      <c r="G72" s="262" t="s">
        <v>79</v>
      </c>
      <c r="H72" s="263">
        <v>136</v>
      </c>
      <c r="I72" s="263">
        <v>185</v>
      </c>
      <c r="J72" s="266">
        <f>H72*F72</f>
        <v>90712</v>
      </c>
      <c r="K72" s="264">
        <f>I72*F72</f>
        <v>123395</v>
      </c>
      <c r="L72" s="118"/>
      <c r="N72" s="255"/>
      <c r="O72" s="255"/>
      <c r="P72" s="255"/>
      <c r="Q72" s="255"/>
    </row>
    <row r="73" spans="1:17">
      <c r="A73" s="118"/>
      <c r="B73" s="262"/>
      <c r="C73" s="267"/>
      <c r="D73" s="262"/>
      <c r="E73" s="262"/>
      <c r="F73" s="262"/>
      <c r="G73" s="262"/>
      <c r="H73" s="263"/>
      <c r="I73" s="263"/>
      <c r="J73" s="262"/>
      <c r="K73" s="264"/>
      <c r="L73" s="118"/>
      <c r="N73" s="255"/>
      <c r="O73" s="255"/>
      <c r="P73" s="255"/>
      <c r="Q73" s="255"/>
    </row>
    <row r="74" spans="1:17" ht="84.75">
      <c r="A74" s="118"/>
      <c r="B74" s="262"/>
      <c r="C74" s="258" t="s">
        <v>306</v>
      </c>
      <c r="D74" s="258" t="s">
        <v>299</v>
      </c>
      <c r="E74" s="262"/>
      <c r="F74" s="262">
        <v>2075</v>
      </c>
      <c r="G74" s="262" t="s">
        <v>79</v>
      </c>
      <c r="H74" s="263"/>
      <c r="I74" s="263">
        <v>360</v>
      </c>
      <c r="J74" s="262"/>
      <c r="K74" s="264">
        <f>I74*F74</f>
        <v>747000</v>
      </c>
      <c r="L74" s="118"/>
      <c r="N74" s="255"/>
      <c r="O74" s="255"/>
      <c r="P74" s="255"/>
      <c r="Q74" s="255"/>
    </row>
    <row r="75" spans="1:17">
      <c r="A75" s="118"/>
      <c r="B75" s="262"/>
      <c r="C75" s="262"/>
      <c r="D75" s="262"/>
      <c r="E75" s="262"/>
      <c r="F75" s="262"/>
      <c r="G75" s="262"/>
      <c r="H75" s="263"/>
      <c r="I75" s="263"/>
      <c r="J75" s="262"/>
      <c r="K75" s="262"/>
      <c r="L75" s="118"/>
      <c r="N75" s="255"/>
      <c r="O75" s="255"/>
      <c r="P75" s="255"/>
      <c r="Q75" s="255"/>
    </row>
    <row r="76" spans="1:17" ht="68.25">
      <c r="A76" s="118">
        <v>1.4</v>
      </c>
      <c r="B76" s="258" t="s">
        <v>307</v>
      </c>
      <c r="C76" s="257" t="s">
        <v>308</v>
      </c>
      <c r="D76" s="258" t="s">
        <v>299</v>
      </c>
      <c r="E76" s="262"/>
      <c r="F76" s="262">
        <v>2</v>
      </c>
      <c r="G76" s="262" t="s">
        <v>309</v>
      </c>
      <c r="H76" s="263"/>
      <c r="I76" s="263">
        <v>11000</v>
      </c>
      <c r="J76" s="262"/>
      <c r="K76" s="264">
        <f>I76*F76</f>
        <v>22000</v>
      </c>
      <c r="L76" s="118" t="s">
        <v>310</v>
      </c>
      <c r="N76" s="255"/>
      <c r="O76" s="255"/>
      <c r="P76" s="255"/>
      <c r="Q76" s="255"/>
    </row>
    <row r="77" spans="1:17">
      <c r="A77" s="118"/>
      <c r="B77" s="262"/>
      <c r="C77" s="262"/>
      <c r="D77" s="262"/>
      <c r="E77" s="262"/>
      <c r="F77" s="262"/>
      <c r="G77" s="262"/>
      <c r="H77" s="263"/>
      <c r="I77" s="263"/>
      <c r="J77" s="262"/>
      <c r="K77" s="264"/>
      <c r="L77" s="118"/>
      <c r="N77" s="255"/>
      <c r="O77" s="255"/>
      <c r="P77" s="255"/>
      <c r="Q77" s="255"/>
    </row>
    <row r="78" spans="1:17" ht="57">
      <c r="A78" s="118">
        <v>1.5</v>
      </c>
      <c r="B78" s="262" t="s">
        <v>311</v>
      </c>
      <c r="C78" s="257" t="s">
        <v>312</v>
      </c>
      <c r="D78" s="258" t="s">
        <v>299</v>
      </c>
      <c r="E78" s="262" t="s">
        <v>313</v>
      </c>
      <c r="F78" s="262">
        <f>454*14.9</f>
        <v>6764.6</v>
      </c>
      <c r="G78" s="262" t="s">
        <v>79</v>
      </c>
      <c r="H78" s="263"/>
      <c r="I78" s="263">
        <v>305</v>
      </c>
      <c r="J78" s="262"/>
      <c r="K78" s="264">
        <f>I78*F78</f>
        <v>2063203</v>
      </c>
      <c r="L78" s="118" t="s">
        <v>314</v>
      </c>
      <c r="N78" s="255"/>
      <c r="O78" s="255"/>
      <c r="P78" s="255"/>
      <c r="Q78" s="255"/>
    </row>
    <row r="79" spans="1:17">
      <c r="A79" s="118"/>
      <c r="B79" s="262"/>
      <c r="C79" s="258"/>
      <c r="D79" s="258"/>
      <c r="E79" s="262"/>
      <c r="F79" s="262"/>
      <c r="G79" s="262"/>
      <c r="H79" s="263"/>
      <c r="I79" s="263"/>
      <c r="J79" s="262"/>
      <c r="K79" s="264"/>
      <c r="L79" s="118"/>
      <c r="N79" s="255"/>
      <c r="O79" s="255"/>
      <c r="P79" s="255"/>
      <c r="Q79" s="255"/>
    </row>
    <row r="80" spans="1:17" ht="79.5">
      <c r="A80" s="118"/>
      <c r="B80" s="258" t="s">
        <v>315</v>
      </c>
      <c r="C80" s="268" t="s">
        <v>316</v>
      </c>
      <c r="D80" s="258" t="s">
        <v>299</v>
      </c>
      <c r="E80" s="262"/>
      <c r="F80" s="262"/>
      <c r="G80" s="262"/>
      <c r="H80" s="263"/>
      <c r="I80" s="263"/>
      <c r="J80" s="262"/>
      <c r="K80" s="264"/>
      <c r="L80" s="118"/>
      <c r="N80" s="255"/>
      <c r="O80" s="255"/>
      <c r="P80" s="255"/>
      <c r="Q80" s="255"/>
    </row>
    <row r="81" spans="1:18">
      <c r="A81" s="118"/>
      <c r="B81" s="262"/>
      <c r="C81" s="258"/>
      <c r="D81" s="258"/>
      <c r="E81" s="262"/>
      <c r="F81" s="262"/>
      <c r="G81" s="262"/>
      <c r="H81" s="263"/>
      <c r="I81" s="263"/>
      <c r="J81" s="262"/>
      <c r="K81" s="264"/>
      <c r="L81" s="118"/>
      <c r="N81" s="255"/>
      <c r="O81" s="255"/>
      <c r="P81" s="255"/>
      <c r="Q81" s="255"/>
    </row>
    <row r="82" spans="1:18">
      <c r="A82" s="118"/>
      <c r="B82" s="262"/>
      <c r="C82" s="269" t="s">
        <v>317</v>
      </c>
      <c r="D82" s="269" t="s">
        <v>318</v>
      </c>
      <c r="E82" s="262"/>
      <c r="F82" s="262">
        <f>F78</f>
        <v>6764.6</v>
      </c>
      <c r="G82" s="262" t="s">
        <v>79</v>
      </c>
      <c r="H82" s="263">
        <v>19.600000000000001</v>
      </c>
      <c r="I82" s="263">
        <v>24</v>
      </c>
      <c r="J82" s="266">
        <f>H82*F82</f>
        <v>132586.16</v>
      </c>
      <c r="K82" s="264">
        <f>I82*F82</f>
        <v>162350.40000000002</v>
      </c>
      <c r="L82" s="118"/>
      <c r="N82" s="255"/>
      <c r="O82" s="255"/>
      <c r="P82" s="255"/>
      <c r="Q82" s="255"/>
    </row>
    <row r="83" spans="1:18">
      <c r="A83" s="118"/>
      <c r="B83" s="262"/>
      <c r="C83" s="258"/>
      <c r="D83" s="258"/>
      <c r="E83" s="262"/>
      <c r="F83" s="262"/>
      <c r="G83" s="262"/>
      <c r="H83" s="263"/>
      <c r="I83" s="263"/>
      <c r="J83" s="262"/>
      <c r="K83" s="264"/>
      <c r="L83" s="118"/>
      <c r="N83" s="255"/>
      <c r="O83" s="255"/>
      <c r="P83" s="255"/>
      <c r="Q83" s="255"/>
    </row>
    <row r="84" spans="1:18">
      <c r="A84" s="118">
        <v>1.6</v>
      </c>
      <c r="B84" s="262" t="s">
        <v>319</v>
      </c>
      <c r="C84" s="258"/>
      <c r="D84" s="258"/>
      <c r="E84" s="262"/>
      <c r="F84" s="262"/>
      <c r="G84" s="262"/>
      <c r="H84" s="263"/>
      <c r="I84" s="263"/>
      <c r="J84" s="262"/>
      <c r="K84" s="264"/>
      <c r="L84" s="118"/>
      <c r="N84" s="255"/>
      <c r="O84" s="256"/>
      <c r="P84" s="255"/>
      <c r="Q84" s="255"/>
    </row>
    <row r="85" spans="1:18">
      <c r="A85" s="118"/>
      <c r="B85" s="262"/>
      <c r="C85" s="258"/>
      <c r="D85" s="258"/>
      <c r="E85" s="262"/>
      <c r="F85" s="262"/>
      <c r="G85" s="262"/>
      <c r="H85" s="263"/>
      <c r="I85" s="263"/>
      <c r="J85" s="262"/>
      <c r="K85" s="264"/>
      <c r="L85" s="118"/>
      <c r="N85" s="255"/>
      <c r="O85" s="255"/>
      <c r="P85" s="255"/>
      <c r="Q85" s="255"/>
      <c r="R85" s="254"/>
    </row>
    <row r="86" spans="1:18" ht="45.75">
      <c r="A86" s="118"/>
      <c r="B86" s="262" t="s">
        <v>320</v>
      </c>
      <c r="C86" s="268" t="s">
        <v>321</v>
      </c>
      <c r="D86" s="270" t="s">
        <v>322</v>
      </c>
      <c r="E86" s="258" t="s">
        <v>299</v>
      </c>
      <c r="F86" s="262"/>
      <c r="G86" s="262"/>
      <c r="H86" s="263"/>
      <c r="I86" s="263"/>
      <c r="J86" s="262"/>
      <c r="K86" s="264"/>
      <c r="L86" s="118"/>
      <c r="N86" s="255"/>
      <c r="O86" s="255"/>
      <c r="P86" s="255"/>
      <c r="Q86" s="255"/>
      <c r="R86" s="254"/>
    </row>
    <row r="87" spans="1:18">
      <c r="A87" s="118"/>
      <c r="B87" s="118"/>
      <c r="C87" s="118"/>
      <c r="D87" s="118" t="s">
        <v>323</v>
      </c>
      <c r="E87" s="118" t="s">
        <v>324</v>
      </c>
      <c r="F87" s="262">
        <f>7.5*50</f>
        <v>375</v>
      </c>
      <c r="G87" s="262" t="s">
        <v>79</v>
      </c>
      <c r="H87" s="263"/>
      <c r="I87" s="263">
        <v>1310</v>
      </c>
      <c r="J87" s="262"/>
      <c r="K87" s="264">
        <f>I87*F87</f>
        <v>491250</v>
      </c>
      <c r="L87" s="118" t="s">
        <v>325</v>
      </c>
      <c r="N87" s="255"/>
      <c r="O87" s="255"/>
      <c r="P87" s="255"/>
      <c r="Q87" s="255"/>
      <c r="R87" s="254"/>
    </row>
    <row r="88" spans="1:18">
      <c r="A88" s="118"/>
      <c r="B88" s="118"/>
      <c r="C88" s="118"/>
      <c r="D88" s="118" t="s">
        <v>326</v>
      </c>
      <c r="E88" s="118" t="s">
        <v>327</v>
      </c>
      <c r="F88" s="262">
        <f>9.5*17</f>
        <v>161.5</v>
      </c>
      <c r="G88" s="262" t="s">
        <v>79</v>
      </c>
      <c r="H88" s="263"/>
      <c r="I88" s="263">
        <v>1310</v>
      </c>
      <c r="J88" s="262"/>
      <c r="K88" s="264">
        <f>I88*F88</f>
        <v>211565</v>
      </c>
      <c r="L88" s="118" t="s">
        <v>325</v>
      </c>
      <c r="N88" s="255"/>
      <c r="O88" s="255"/>
      <c r="P88" s="255"/>
      <c r="Q88" s="255"/>
      <c r="R88" s="254"/>
    </row>
    <row r="89" spans="1:18">
      <c r="A89" s="118"/>
      <c r="B89" s="118" t="s">
        <v>328</v>
      </c>
      <c r="C89" s="118"/>
      <c r="D89" s="118"/>
      <c r="E89" s="118"/>
      <c r="F89" s="262"/>
      <c r="G89" s="262"/>
      <c r="H89" s="263"/>
      <c r="I89" s="263"/>
      <c r="J89" s="262"/>
      <c r="K89" s="264"/>
      <c r="L89" s="118"/>
      <c r="N89" s="255"/>
      <c r="O89" s="255"/>
      <c r="P89" s="255"/>
      <c r="Q89" s="255"/>
      <c r="R89" s="254"/>
    </row>
    <row r="90" spans="1:18" ht="45.75">
      <c r="A90" s="118"/>
      <c r="B90" s="118"/>
      <c r="C90" s="271" t="s">
        <v>329</v>
      </c>
      <c r="D90" s="258" t="s">
        <v>299</v>
      </c>
      <c r="E90" s="118" t="s">
        <v>330</v>
      </c>
      <c r="F90" s="262"/>
      <c r="G90" s="262"/>
      <c r="H90" s="263"/>
      <c r="I90" s="263"/>
      <c r="J90" s="266"/>
      <c r="K90" s="264"/>
      <c r="L90" s="118"/>
      <c r="N90" s="255"/>
      <c r="O90" s="255"/>
      <c r="P90" s="255"/>
      <c r="Q90" s="255"/>
      <c r="R90" s="254"/>
    </row>
    <row r="91" spans="1:18">
      <c r="A91" s="118"/>
      <c r="B91" s="118">
        <v>6</v>
      </c>
      <c r="C91" s="272" t="s">
        <v>331</v>
      </c>
      <c r="D91" s="118"/>
      <c r="E91" s="118" t="s">
        <v>332</v>
      </c>
      <c r="F91" s="262">
        <f>(4*3.4)*B91</f>
        <v>81.599999999999994</v>
      </c>
      <c r="G91" s="262" t="s">
        <v>79</v>
      </c>
      <c r="H91" s="263">
        <v>289</v>
      </c>
      <c r="I91" s="263">
        <v>295</v>
      </c>
      <c r="J91" s="266">
        <f>H91*F91</f>
        <v>23582.399999999998</v>
      </c>
      <c r="K91" s="264">
        <f>I91*F91</f>
        <v>24072</v>
      </c>
      <c r="L91" s="118" t="s">
        <v>333</v>
      </c>
      <c r="N91" s="255"/>
      <c r="O91" s="255"/>
      <c r="P91" s="255"/>
      <c r="Q91" s="255"/>
      <c r="R91" s="254"/>
    </row>
    <row r="92" spans="1:18">
      <c r="A92" s="118"/>
      <c r="B92" s="118"/>
      <c r="C92" s="118"/>
      <c r="D92" s="118"/>
      <c r="E92" s="118"/>
      <c r="F92" s="262"/>
      <c r="G92" s="262"/>
      <c r="H92" s="263"/>
      <c r="I92" s="263"/>
      <c r="J92" s="266"/>
      <c r="K92" s="264"/>
      <c r="L92" s="118"/>
      <c r="N92" s="255"/>
      <c r="O92" s="255"/>
      <c r="P92" s="255"/>
      <c r="Q92" s="255"/>
      <c r="R92" s="254"/>
    </row>
    <row r="93" spans="1:18">
      <c r="A93" s="118"/>
      <c r="B93" s="118">
        <v>8</v>
      </c>
      <c r="C93" s="118"/>
      <c r="D93" s="118"/>
      <c r="E93" s="118" t="s">
        <v>332</v>
      </c>
      <c r="F93" s="262">
        <f>(4*3.4)*B93</f>
        <v>108.8</v>
      </c>
      <c r="G93" s="262" t="s">
        <v>79</v>
      </c>
      <c r="H93" s="263">
        <v>289</v>
      </c>
      <c r="I93" s="263">
        <v>295</v>
      </c>
      <c r="J93" s="266">
        <f>H93*F93</f>
        <v>31443.200000000001</v>
      </c>
      <c r="K93" s="264">
        <f>I93*F93</f>
        <v>32096</v>
      </c>
      <c r="L93" s="118" t="s">
        <v>333</v>
      </c>
      <c r="N93" s="255"/>
      <c r="O93" s="255"/>
      <c r="P93" s="255"/>
      <c r="Q93" s="255"/>
      <c r="R93" s="254"/>
    </row>
    <row r="94" spans="1:18">
      <c r="A94" s="118"/>
      <c r="B94" s="118">
        <v>4</v>
      </c>
      <c r="C94" s="118"/>
      <c r="D94" s="118"/>
      <c r="E94" s="118" t="s">
        <v>334</v>
      </c>
      <c r="F94" s="262">
        <f>(0.5*3)*B94</f>
        <v>6</v>
      </c>
      <c r="G94" s="262" t="s">
        <v>79</v>
      </c>
      <c r="H94" s="263">
        <v>289</v>
      </c>
      <c r="I94" s="263">
        <v>295</v>
      </c>
      <c r="J94" s="266">
        <f>H94*F94</f>
        <v>1734</v>
      </c>
      <c r="K94" s="264">
        <f>I94*F94</f>
        <v>1770</v>
      </c>
      <c r="L94" s="118" t="s">
        <v>333</v>
      </c>
      <c r="N94" s="255"/>
      <c r="O94" s="255"/>
      <c r="P94" s="255"/>
      <c r="Q94" s="255"/>
      <c r="R94" s="254"/>
    </row>
    <row r="95" spans="1:18">
      <c r="A95" s="118"/>
      <c r="B95" s="118"/>
      <c r="C95" s="118"/>
      <c r="D95" s="118"/>
      <c r="E95" s="118"/>
      <c r="F95" s="262"/>
      <c r="G95" s="262"/>
      <c r="H95" s="263"/>
      <c r="I95" s="263"/>
      <c r="J95" s="262"/>
      <c r="K95" s="118"/>
      <c r="L95" s="118"/>
      <c r="N95" s="255"/>
      <c r="O95" s="255"/>
      <c r="P95" s="255"/>
      <c r="Q95" s="255"/>
      <c r="R95" s="254"/>
    </row>
    <row r="96" spans="1:18" ht="57">
      <c r="A96" s="118"/>
      <c r="B96" s="262" t="s">
        <v>335</v>
      </c>
      <c r="C96" s="268" t="s">
        <v>336</v>
      </c>
      <c r="D96" s="258" t="s">
        <v>299</v>
      </c>
      <c r="E96" s="262"/>
      <c r="F96" s="262">
        <v>3</v>
      </c>
      <c r="G96" s="262" t="s">
        <v>309</v>
      </c>
      <c r="H96" s="263"/>
      <c r="I96" s="263">
        <v>3275</v>
      </c>
      <c r="J96" s="262"/>
      <c r="K96" s="264">
        <f>I96*F96</f>
        <v>9825</v>
      </c>
      <c r="L96" s="118" t="s">
        <v>337</v>
      </c>
      <c r="N96" s="255"/>
      <c r="O96" s="255"/>
      <c r="P96" s="255"/>
      <c r="Q96" s="255"/>
      <c r="R96" s="254"/>
    </row>
    <row r="97" spans="1:18" ht="45.75">
      <c r="A97" s="118"/>
      <c r="B97" s="262"/>
      <c r="C97" s="273" t="s">
        <v>338</v>
      </c>
      <c r="D97" s="258" t="s">
        <v>299</v>
      </c>
      <c r="E97" s="262"/>
      <c r="F97" s="262">
        <v>9</v>
      </c>
      <c r="G97" s="262" t="s">
        <v>309</v>
      </c>
      <c r="H97" s="263"/>
      <c r="I97" s="263">
        <v>1310</v>
      </c>
      <c r="J97" s="262"/>
      <c r="K97" s="264">
        <f>I97*F97</f>
        <v>11790</v>
      </c>
      <c r="L97" s="118" t="s">
        <v>339</v>
      </c>
      <c r="N97" s="255"/>
      <c r="O97" s="255"/>
      <c r="P97" s="255"/>
      <c r="Q97" s="255"/>
      <c r="R97" s="254"/>
    </row>
    <row r="98" spans="1:18">
      <c r="A98" s="118"/>
      <c r="B98" s="262"/>
      <c r="C98" s="258"/>
      <c r="D98" s="258"/>
      <c r="E98" s="262"/>
      <c r="F98" s="262"/>
      <c r="G98" s="262"/>
      <c r="H98" s="263"/>
      <c r="I98" s="263"/>
      <c r="J98" s="262"/>
      <c r="K98" s="264"/>
      <c r="L98" s="118"/>
      <c r="N98" s="255"/>
      <c r="O98" s="255"/>
      <c r="P98" s="255"/>
      <c r="Q98" s="255"/>
      <c r="R98" s="254"/>
    </row>
    <row r="99" spans="1:18">
      <c r="A99" s="118"/>
      <c r="B99" s="262"/>
      <c r="C99" s="258"/>
      <c r="D99" s="258"/>
      <c r="E99" s="262"/>
      <c r="F99" s="262"/>
      <c r="G99" s="262"/>
      <c r="H99" s="263"/>
      <c r="I99" s="263"/>
      <c r="J99" s="262"/>
      <c r="K99" s="264"/>
      <c r="L99" s="118"/>
      <c r="N99" s="255"/>
      <c r="O99" s="255"/>
      <c r="P99" s="255"/>
      <c r="Q99" s="255"/>
      <c r="R99" s="254"/>
    </row>
    <row r="100" spans="1:18">
      <c r="A100" s="118">
        <v>1.7</v>
      </c>
      <c r="B100" s="262" t="s">
        <v>340</v>
      </c>
      <c r="C100" s="258"/>
      <c r="D100" s="258"/>
      <c r="E100" s="262"/>
      <c r="F100" s="262"/>
      <c r="G100" s="262"/>
      <c r="H100" s="263"/>
      <c r="I100" s="263"/>
      <c r="J100" s="262"/>
      <c r="K100" s="264"/>
      <c r="L100" s="118"/>
      <c r="N100" s="255"/>
      <c r="O100" s="255"/>
      <c r="P100" s="255"/>
      <c r="Q100" s="255"/>
      <c r="R100" s="254"/>
    </row>
    <row r="101" spans="1:18" ht="18.75" customHeight="1">
      <c r="A101" s="118"/>
      <c r="B101" s="262"/>
      <c r="C101" s="258"/>
      <c r="D101" s="258"/>
      <c r="E101" s="262"/>
      <c r="F101" s="262"/>
      <c r="G101" s="262"/>
      <c r="H101" s="263"/>
      <c r="I101" s="263"/>
      <c r="J101" s="262"/>
      <c r="K101" s="264"/>
      <c r="L101" s="118"/>
      <c r="N101" s="255"/>
      <c r="O101" s="256"/>
      <c r="P101" s="255"/>
      <c r="Q101" s="255"/>
      <c r="R101" s="254"/>
    </row>
    <row r="102" spans="1:18" ht="48.75" customHeight="1">
      <c r="A102" s="118"/>
      <c r="B102" s="262" t="s">
        <v>331</v>
      </c>
      <c r="C102" s="271" t="s">
        <v>341</v>
      </c>
      <c r="D102" s="258" t="s">
        <v>299</v>
      </c>
      <c r="E102" s="262" t="s">
        <v>342</v>
      </c>
      <c r="F102" s="262">
        <f>184.593*3.4</f>
        <v>627.61619999999994</v>
      </c>
      <c r="G102" s="262" t="s">
        <v>79</v>
      </c>
      <c r="H102" s="263"/>
      <c r="I102" s="263">
        <v>32</v>
      </c>
      <c r="J102" s="262"/>
      <c r="K102" s="264">
        <f>I102*F102</f>
        <v>20083.718399999998</v>
      </c>
      <c r="L102" s="118" t="s">
        <v>343</v>
      </c>
    </row>
    <row r="103" spans="1:18">
      <c r="A103" s="118"/>
      <c r="B103" s="262"/>
      <c r="C103" s="272"/>
      <c r="D103" s="258"/>
      <c r="E103" s="262"/>
      <c r="F103" s="262"/>
      <c r="G103" s="262"/>
      <c r="H103" s="263"/>
      <c r="I103" s="263"/>
      <c r="J103" s="262"/>
      <c r="K103" s="264"/>
      <c r="L103" s="118"/>
    </row>
    <row r="104" spans="1:18" ht="57">
      <c r="A104" s="118"/>
      <c r="B104" s="262" t="s">
        <v>344</v>
      </c>
      <c r="C104" s="271" t="s">
        <v>341</v>
      </c>
      <c r="D104" s="258" t="s">
        <v>299</v>
      </c>
      <c r="E104" s="262" t="s">
        <v>345</v>
      </c>
      <c r="F104" s="262">
        <f>220.463*3.4</f>
        <v>749.57419999999991</v>
      </c>
      <c r="G104" s="262" t="s">
        <v>79</v>
      </c>
      <c r="H104" s="263"/>
      <c r="I104" s="263">
        <v>32</v>
      </c>
      <c r="J104" s="262"/>
      <c r="K104" s="260">
        <f>I104*F104</f>
        <v>23986.374399999997</v>
      </c>
      <c r="L104" s="118" t="s">
        <v>343</v>
      </c>
    </row>
    <row r="105" spans="1:18">
      <c r="A105" s="118"/>
      <c r="B105" s="262"/>
      <c r="C105" s="258"/>
      <c r="D105" s="258"/>
      <c r="E105" s="262"/>
      <c r="F105" s="262"/>
      <c r="G105" s="262"/>
      <c r="H105" s="263"/>
      <c r="I105" s="263"/>
      <c r="J105" s="262"/>
      <c r="K105" s="264"/>
      <c r="L105" s="118"/>
    </row>
    <row r="106" spans="1:18" ht="45.75">
      <c r="A106" s="118">
        <v>1.8</v>
      </c>
      <c r="B106" s="274" t="s">
        <v>346</v>
      </c>
      <c r="C106" s="275" t="s">
        <v>347</v>
      </c>
      <c r="D106" s="258" t="s">
        <v>299</v>
      </c>
      <c r="E106" s="262"/>
      <c r="F106" s="262">
        <v>3</v>
      </c>
      <c r="G106" s="262" t="s">
        <v>70</v>
      </c>
      <c r="H106" s="263"/>
      <c r="I106" s="263">
        <v>98000</v>
      </c>
      <c r="J106" s="262"/>
      <c r="K106" s="264">
        <f>I106*F106</f>
        <v>294000</v>
      </c>
      <c r="L106" s="118"/>
    </row>
    <row r="107" spans="1:18">
      <c r="A107" s="118"/>
      <c r="B107" s="262"/>
      <c r="C107" s="258"/>
      <c r="D107" s="258"/>
      <c r="E107" s="262"/>
      <c r="F107" s="262"/>
      <c r="G107" s="262"/>
      <c r="H107" s="263"/>
      <c r="I107" s="263"/>
      <c r="J107" s="262"/>
      <c r="K107" s="264"/>
      <c r="L107" s="118"/>
    </row>
    <row r="108" spans="1:18">
      <c r="A108" s="118"/>
      <c r="B108" s="262"/>
      <c r="C108" s="258"/>
      <c r="D108" s="258"/>
      <c r="E108" s="262"/>
      <c r="F108" s="262"/>
      <c r="G108" s="262"/>
      <c r="H108" s="263"/>
      <c r="I108" s="263"/>
      <c r="J108" s="262"/>
      <c r="K108" s="264"/>
      <c r="L108" s="118"/>
    </row>
    <row r="109" spans="1:18">
      <c r="A109" s="118">
        <v>1.9</v>
      </c>
      <c r="B109" s="262" t="s">
        <v>348</v>
      </c>
      <c r="C109" s="258"/>
      <c r="D109" s="258"/>
      <c r="E109" s="262"/>
      <c r="F109" s="262"/>
      <c r="G109" s="262"/>
      <c r="H109" s="263"/>
      <c r="I109" s="263"/>
      <c r="J109" s="262"/>
      <c r="K109" s="264"/>
      <c r="L109" s="118"/>
    </row>
    <row r="110" spans="1:18">
      <c r="A110" s="118"/>
      <c r="B110" s="262"/>
      <c r="C110" s="258"/>
      <c r="D110" s="258"/>
      <c r="E110" s="262"/>
      <c r="F110" s="262"/>
      <c r="G110" s="262"/>
      <c r="H110" s="263"/>
      <c r="I110" s="263"/>
      <c r="J110" s="262"/>
      <c r="K110" s="264"/>
      <c r="L110" s="118"/>
    </row>
    <row r="111" spans="1:18" ht="72.75">
      <c r="A111" s="118"/>
      <c r="B111" s="262" t="s">
        <v>349</v>
      </c>
      <c r="C111" s="258" t="s">
        <v>350</v>
      </c>
      <c r="D111" s="258" t="s">
        <v>299</v>
      </c>
      <c r="E111" s="262"/>
      <c r="F111" s="262">
        <f>46.56*2</f>
        <v>93.12</v>
      </c>
      <c r="G111" s="262" t="s">
        <v>79</v>
      </c>
      <c r="H111" s="263"/>
      <c r="I111" s="263">
        <v>760</v>
      </c>
      <c r="J111" s="262"/>
      <c r="K111" s="264">
        <f>I111*F111</f>
        <v>70771.199999999997</v>
      </c>
      <c r="L111" s="118" t="s">
        <v>333</v>
      </c>
    </row>
    <row r="112" spans="1:18">
      <c r="A112" s="118"/>
      <c r="B112" s="262"/>
      <c r="C112" s="258"/>
      <c r="D112" s="258"/>
      <c r="E112" s="262"/>
      <c r="F112" s="262"/>
      <c r="G112" s="262"/>
      <c r="H112" s="263"/>
      <c r="I112" s="263"/>
      <c r="J112" s="262"/>
      <c r="K112" s="264"/>
      <c r="L112" s="118"/>
    </row>
    <row r="113" spans="1:12" ht="57">
      <c r="A113" s="118"/>
      <c r="B113" s="262" t="s">
        <v>351</v>
      </c>
      <c r="C113" s="268" t="s">
        <v>352</v>
      </c>
      <c r="D113" s="258" t="s">
        <v>299</v>
      </c>
      <c r="E113" s="262"/>
      <c r="F113" s="262">
        <v>9</v>
      </c>
      <c r="G113" s="262" t="s">
        <v>70</v>
      </c>
      <c r="H113" s="263"/>
      <c r="I113" s="263">
        <v>350</v>
      </c>
      <c r="J113" s="262"/>
      <c r="K113" s="264">
        <f>I113*F113</f>
        <v>3150</v>
      </c>
      <c r="L113" s="118" t="s">
        <v>353</v>
      </c>
    </row>
    <row r="114" spans="1:12" ht="68.25">
      <c r="A114" s="118"/>
      <c r="B114" s="262"/>
      <c r="C114" s="268" t="s">
        <v>354</v>
      </c>
      <c r="D114" s="258" t="s">
        <v>299</v>
      </c>
      <c r="E114" s="262"/>
      <c r="F114" s="262">
        <v>2</v>
      </c>
      <c r="G114" s="262" t="s">
        <v>70</v>
      </c>
      <c r="H114" s="263"/>
      <c r="I114" s="263">
        <v>435</v>
      </c>
      <c r="J114" s="262"/>
      <c r="K114" s="264">
        <f>I114*F114</f>
        <v>870</v>
      </c>
      <c r="L114" s="118" t="s">
        <v>353</v>
      </c>
    </row>
    <row r="115" spans="1:12" ht="102">
      <c r="A115" s="118"/>
      <c r="B115" s="118"/>
      <c r="C115" s="273" t="s">
        <v>355</v>
      </c>
      <c r="D115" s="258" t="s">
        <v>299</v>
      </c>
      <c r="E115" s="262"/>
      <c r="F115" s="262">
        <v>41</v>
      </c>
      <c r="G115" s="262" t="s">
        <v>309</v>
      </c>
      <c r="H115" s="263"/>
      <c r="I115" s="263">
        <v>1035</v>
      </c>
      <c r="J115" s="262"/>
      <c r="K115" s="264">
        <f>I115*F115</f>
        <v>42435</v>
      </c>
      <c r="L115" s="118" t="s">
        <v>353</v>
      </c>
    </row>
    <row r="116" spans="1:12">
      <c r="A116" s="118"/>
      <c r="B116" s="262"/>
      <c r="C116" s="258"/>
      <c r="D116" s="258"/>
      <c r="E116" s="262"/>
      <c r="F116" s="262"/>
      <c r="G116" s="262"/>
      <c r="H116" s="263"/>
      <c r="I116" s="263"/>
      <c r="J116" s="262"/>
      <c r="K116" s="264"/>
      <c r="L116" s="118"/>
    </row>
    <row r="117" spans="1:12">
      <c r="A117" s="118"/>
      <c r="B117" s="262"/>
      <c r="C117" s="258"/>
      <c r="D117" s="258"/>
      <c r="E117" s="262"/>
      <c r="F117" s="262"/>
      <c r="G117" s="262"/>
      <c r="H117" s="263"/>
      <c r="I117" s="263"/>
      <c r="J117" s="262"/>
      <c r="K117" s="264"/>
      <c r="L117" s="118"/>
    </row>
    <row r="118" spans="1:12">
      <c r="A118" s="118">
        <v>2</v>
      </c>
      <c r="B118" s="262" t="s">
        <v>356</v>
      </c>
      <c r="C118" s="258"/>
      <c r="D118" s="258"/>
      <c r="E118" s="262"/>
      <c r="F118" s="262"/>
      <c r="G118" s="262"/>
      <c r="H118" s="263"/>
      <c r="I118" s="263"/>
      <c r="J118" s="262"/>
      <c r="K118" s="264"/>
      <c r="L118" s="118"/>
    </row>
    <row r="119" spans="1:12" ht="34.5">
      <c r="A119" s="118"/>
      <c r="B119" s="262" t="s">
        <v>357</v>
      </c>
      <c r="C119" s="276" t="s">
        <v>358</v>
      </c>
      <c r="D119" s="258" t="s">
        <v>299</v>
      </c>
      <c r="E119" s="262" t="s">
        <v>359</v>
      </c>
      <c r="F119" s="262">
        <f>(22+20+92+15+10+16)*3.4</f>
        <v>595</v>
      </c>
      <c r="G119" s="262" t="s">
        <v>79</v>
      </c>
      <c r="H119" s="263"/>
      <c r="I119" s="263">
        <v>5.6</v>
      </c>
      <c r="J119" s="262"/>
      <c r="K119" s="264">
        <f>I119*F119</f>
        <v>3332</v>
      </c>
      <c r="L119" s="118"/>
    </row>
    <row r="120" spans="1:12" ht="36.75">
      <c r="A120" s="118"/>
      <c r="B120" s="262"/>
      <c r="C120" s="257" t="s">
        <v>360</v>
      </c>
      <c r="D120" s="258" t="s">
        <v>299</v>
      </c>
      <c r="E120" s="258" t="s">
        <v>361</v>
      </c>
      <c r="F120" s="262">
        <f>(138+55+52+153+308+44+10+18)*3.4</f>
        <v>2645.2</v>
      </c>
      <c r="G120" s="262" t="s">
        <v>79</v>
      </c>
      <c r="H120" s="263"/>
      <c r="I120" s="263">
        <v>30</v>
      </c>
      <c r="J120" s="262"/>
      <c r="K120" s="264">
        <f>I120*F120</f>
        <v>79356</v>
      </c>
      <c r="L120" s="118"/>
    </row>
    <row r="121" spans="1:12" ht="36.75">
      <c r="A121" s="118"/>
      <c r="B121" s="262"/>
      <c r="C121" s="276" t="s">
        <v>362</v>
      </c>
      <c r="D121" s="258" t="s">
        <v>299</v>
      </c>
      <c r="E121" s="258" t="s">
        <v>363</v>
      </c>
      <c r="F121" s="262">
        <f>(49+47+127+51+236+14+23+14+18+10+17+19+18)*3.4</f>
        <v>2186.1999999999998</v>
      </c>
      <c r="G121" s="262" t="s">
        <v>79</v>
      </c>
      <c r="H121" s="263"/>
      <c r="I121" s="263">
        <v>5.6</v>
      </c>
      <c r="J121" s="262"/>
      <c r="K121" s="264">
        <f>I121*F121</f>
        <v>12242.719999999998</v>
      </c>
      <c r="L121" s="118"/>
    </row>
    <row r="122" spans="1:12" ht="24.75">
      <c r="A122" s="118"/>
      <c r="B122" s="262"/>
      <c r="C122" s="257" t="s">
        <v>364</v>
      </c>
      <c r="D122" s="258" t="s">
        <v>299</v>
      </c>
      <c r="E122" s="262" t="s">
        <v>365</v>
      </c>
      <c r="F122" s="262">
        <f>(78+47+18)*3.4</f>
        <v>486.2</v>
      </c>
      <c r="G122" s="262" t="s">
        <v>79</v>
      </c>
      <c r="H122" s="263"/>
      <c r="I122" s="263">
        <v>30</v>
      </c>
      <c r="J122" s="262"/>
      <c r="K122" s="264">
        <f>I122*F122</f>
        <v>14586</v>
      </c>
      <c r="L122" s="118"/>
    </row>
    <row r="123" spans="1:12">
      <c r="A123" s="118"/>
      <c r="B123" s="262"/>
      <c r="C123" s="273"/>
      <c r="D123" s="258"/>
      <c r="E123" s="262"/>
      <c r="F123" s="262"/>
      <c r="G123" s="262"/>
      <c r="H123" s="263"/>
      <c r="I123" s="263"/>
      <c r="J123" s="262"/>
      <c r="K123" s="264"/>
      <c r="L123" s="118"/>
    </row>
    <row r="124" spans="1:12">
      <c r="A124" s="118"/>
      <c r="B124" s="262" t="s">
        <v>366</v>
      </c>
      <c r="C124" s="275"/>
      <c r="D124" s="258"/>
      <c r="E124" s="257"/>
      <c r="F124" s="262"/>
      <c r="G124" s="262"/>
      <c r="H124" s="263"/>
      <c r="I124" s="263"/>
      <c r="J124" s="266">
        <f>H124*F124</f>
        <v>0</v>
      </c>
      <c r="K124" s="264"/>
      <c r="L124" s="118"/>
    </row>
    <row r="125" spans="1:12" ht="24.75">
      <c r="A125" s="118"/>
      <c r="B125" s="262"/>
      <c r="C125" s="262" t="s">
        <v>367</v>
      </c>
      <c r="D125" s="258" t="s">
        <v>299</v>
      </c>
      <c r="E125" s="277"/>
      <c r="F125" s="278">
        <f>772+28+24+229+13+6+60+16+6</f>
        <v>1154</v>
      </c>
      <c r="G125" s="262" t="s">
        <v>79</v>
      </c>
      <c r="H125" s="263">
        <v>20</v>
      </c>
      <c r="I125" s="263"/>
      <c r="J125" s="264">
        <f>H125*F125</f>
        <v>23080</v>
      </c>
      <c r="K125" s="264"/>
      <c r="L125" s="118"/>
    </row>
    <row r="126" spans="1:12" ht="24.75">
      <c r="A126" s="118"/>
      <c r="B126" s="262"/>
      <c r="C126" s="258" t="s">
        <v>368</v>
      </c>
      <c r="D126" s="258" t="s">
        <v>299</v>
      </c>
      <c r="E126" s="257"/>
      <c r="F126" s="262">
        <f>857+143+114+450</f>
        <v>1564</v>
      </c>
      <c r="G126" s="262" t="s">
        <v>79</v>
      </c>
      <c r="H126" s="263">
        <v>65</v>
      </c>
      <c r="I126" s="263"/>
      <c r="J126" s="279">
        <f>H126*F126</f>
        <v>101660</v>
      </c>
      <c r="K126" s="264"/>
      <c r="L126" s="118"/>
    </row>
    <row r="127" spans="1:12">
      <c r="A127" s="118"/>
      <c r="B127" s="262"/>
      <c r="C127" s="262"/>
      <c r="D127" s="258"/>
      <c r="E127" s="257"/>
      <c r="F127" s="262"/>
      <c r="G127" s="262"/>
      <c r="H127" s="263"/>
      <c r="I127" s="263"/>
      <c r="J127" s="262"/>
      <c r="K127" s="264"/>
      <c r="L127" s="118"/>
    </row>
    <row r="128" spans="1:12" ht="24.75">
      <c r="A128" s="118"/>
      <c r="B128" s="262"/>
      <c r="C128" s="262" t="s">
        <v>369</v>
      </c>
      <c r="D128" s="258" t="s">
        <v>299</v>
      </c>
      <c r="E128" s="257"/>
      <c r="F128" s="262">
        <f>19+15+14+16+3+11+12+15+11+272+90+100+186+128+126+455</f>
        <v>1473</v>
      </c>
      <c r="G128" s="262" t="s">
        <v>79</v>
      </c>
      <c r="H128" s="263">
        <v>20</v>
      </c>
      <c r="I128" s="263"/>
      <c r="J128" s="264">
        <f>H128*F128</f>
        <v>29460</v>
      </c>
      <c r="K128" s="264"/>
      <c r="L128" s="118"/>
    </row>
    <row r="129" spans="1:12">
      <c r="A129" s="118"/>
      <c r="B129" s="262"/>
      <c r="C129" s="262"/>
      <c r="D129" s="258"/>
      <c r="E129" s="257"/>
      <c r="F129" s="262"/>
      <c r="G129" s="262"/>
      <c r="H129" s="263"/>
      <c r="I129" s="263"/>
      <c r="J129" s="262"/>
      <c r="K129" s="264"/>
      <c r="L129" s="118"/>
    </row>
    <row r="130" spans="1:12" ht="24.75">
      <c r="A130" s="118"/>
      <c r="B130" s="262" t="s">
        <v>370</v>
      </c>
      <c r="C130" s="273" t="s">
        <v>371</v>
      </c>
      <c r="D130" s="258" t="s">
        <v>299</v>
      </c>
      <c r="E130" s="262"/>
      <c r="F130" s="262">
        <f>4243</f>
        <v>4243</v>
      </c>
      <c r="G130" s="262" t="s">
        <v>79</v>
      </c>
      <c r="H130" s="263"/>
      <c r="I130" s="263">
        <v>9</v>
      </c>
      <c r="J130" s="262"/>
      <c r="K130" s="264">
        <f>I130*F130</f>
        <v>38187</v>
      </c>
      <c r="L130" s="118" t="s">
        <v>372</v>
      </c>
    </row>
    <row r="131" spans="1:12">
      <c r="A131" s="118"/>
      <c r="B131" s="262"/>
      <c r="C131" s="280" t="s">
        <v>373</v>
      </c>
      <c r="D131" s="262"/>
      <c r="E131" s="262"/>
      <c r="F131" s="262">
        <v>4243</v>
      </c>
      <c r="G131" s="262" t="s">
        <v>79</v>
      </c>
      <c r="H131" s="263"/>
      <c r="I131" s="263">
        <v>6.3</v>
      </c>
      <c r="J131" s="262"/>
      <c r="K131" s="264">
        <f>I131*F131</f>
        <v>26730.899999999998</v>
      </c>
      <c r="L131" s="118" t="s">
        <v>372</v>
      </c>
    </row>
    <row r="132" spans="1:12">
      <c r="A132" s="118"/>
      <c r="B132" s="262"/>
      <c r="C132" s="272"/>
      <c r="D132" s="262"/>
      <c r="E132" s="262"/>
      <c r="F132" s="262"/>
      <c r="G132" s="262"/>
      <c r="H132" s="263"/>
      <c r="I132" s="263"/>
      <c r="J132" s="262"/>
      <c r="K132" s="264"/>
      <c r="L132" s="118"/>
    </row>
    <row r="133" spans="1:12">
      <c r="A133" s="118">
        <v>3</v>
      </c>
      <c r="B133" s="262" t="s">
        <v>374</v>
      </c>
      <c r="C133" s="262"/>
      <c r="D133" s="262"/>
      <c r="E133" s="262"/>
      <c r="F133" s="262"/>
      <c r="G133" s="262"/>
      <c r="H133" s="263"/>
      <c r="I133" s="263"/>
      <c r="J133" s="262"/>
      <c r="K133" s="264"/>
      <c r="L133" s="118"/>
    </row>
    <row r="134" spans="1:12" ht="26.25" customHeight="1">
      <c r="A134" s="118"/>
      <c r="B134" s="274"/>
      <c r="C134" s="274" t="s">
        <v>375</v>
      </c>
      <c r="D134" s="258" t="s">
        <v>376</v>
      </c>
      <c r="E134" s="262"/>
      <c r="F134" s="278">
        <f>4243-F135-F170-F171-F172</f>
        <v>4086.3880000000004</v>
      </c>
      <c r="G134" s="262" t="s">
        <v>300</v>
      </c>
      <c r="H134" s="263">
        <v>75</v>
      </c>
      <c r="I134" s="263">
        <v>95</v>
      </c>
      <c r="J134" s="264">
        <f>H134*F134</f>
        <v>306479.10000000003</v>
      </c>
      <c r="K134" s="264">
        <f>I134*F134</f>
        <v>388206.86000000004</v>
      </c>
      <c r="L134" s="118"/>
    </row>
    <row r="135" spans="1:12">
      <c r="A135" s="118"/>
      <c r="B135" s="262"/>
      <c r="C135" s="281" t="s">
        <v>377</v>
      </c>
      <c r="D135" s="262"/>
      <c r="E135" s="262"/>
      <c r="F135" s="262"/>
      <c r="G135" s="262"/>
      <c r="H135" s="263"/>
      <c r="I135" s="263"/>
      <c r="J135" s="264"/>
      <c r="K135" s="264"/>
      <c r="L135" s="118"/>
    </row>
    <row r="136" spans="1:12" ht="23.25">
      <c r="A136" s="118"/>
      <c r="B136" s="262"/>
      <c r="C136" s="282" t="s">
        <v>378</v>
      </c>
      <c r="D136" s="262"/>
      <c r="E136" s="262"/>
      <c r="F136" s="262">
        <v>1</v>
      </c>
      <c r="G136" s="262"/>
      <c r="H136" s="263">
        <v>1059</v>
      </c>
      <c r="I136" s="263"/>
      <c r="J136" s="264"/>
      <c r="K136" s="264">
        <f>H136*F136</f>
        <v>1059</v>
      </c>
      <c r="L136" s="118"/>
    </row>
    <row r="137" spans="1:12">
      <c r="A137" s="118"/>
      <c r="B137" s="262"/>
      <c r="C137" s="282" t="s">
        <v>379</v>
      </c>
      <c r="D137" s="262"/>
      <c r="E137" s="262"/>
      <c r="F137" s="262">
        <v>1</v>
      </c>
      <c r="G137" s="262"/>
      <c r="H137" s="263">
        <v>995</v>
      </c>
      <c r="I137" s="263"/>
      <c r="J137" s="264"/>
      <c r="K137" s="264">
        <f t="shared" ref="K137:K168" si="4">H137*F137</f>
        <v>995</v>
      </c>
      <c r="L137" s="118"/>
    </row>
    <row r="138" spans="1:12" ht="24.75">
      <c r="A138" s="118"/>
      <c r="B138" s="262"/>
      <c r="C138" s="283" t="s">
        <v>380</v>
      </c>
      <c r="D138" s="262"/>
      <c r="E138" s="262"/>
      <c r="F138" s="262">
        <v>1</v>
      </c>
      <c r="G138" s="262"/>
      <c r="H138" s="263">
        <v>5898</v>
      </c>
      <c r="I138" s="263"/>
      <c r="J138" s="264"/>
      <c r="K138" s="264">
        <f t="shared" si="4"/>
        <v>5898</v>
      </c>
      <c r="L138" s="118"/>
    </row>
    <row r="139" spans="1:12" ht="23.25">
      <c r="A139" s="118"/>
      <c r="B139" s="262"/>
      <c r="C139" s="282" t="s">
        <v>381</v>
      </c>
      <c r="D139" s="262"/>
      <c r="E139" s="262"/>
      <c r="F139" s="262">
        <v>1</v>
      </c>
      <c r="G139" s="262"/>
      <c r="H139" s="263">
        <v>2199</v>
      </c>
      <c r="I139" s="263"/>
      <c r="J139" s="264"/>
      <c r="K139" s="264">
        <f t="shared" si="4"/>
        <v>2199</v>
      </c>
      <c r="L139" s="118"/>
    </row>
    <row r="140" spans="1:12">
      <c r="A140" s="118"/>
      <c r="B140" s="262"/>
      <c r="C140" s="282" t="s">
        <v>382</v>
      </c>
      <c r="D140" s="262"/>
      <c r="E140" s="262"/>
      <c r="F140" s="262">
        <v>1</v>
      </c>
      <c r="G140" s="262"/>
      <c r="H140" s="263">
        <f>219+52.99</f>
        <v>271.99</v>
      </c>
      <c r="I140" s="263"/>
      <c r="J140" s="264"/>
      <c r="K140" s="264">
        <f t="shared" si="4"/>
        <v>271.99</v>
      </c>
      <c r="L140" s="118"/>
    </row>
    <row r="141" spans="1:12" ht="24.75">
      <c r="A141" s="118"/>
      <c r="B141" s="262"/>
      <c r="C141" s="283" t="s">
        <v>383</v>
      </c>
      <c r="D141" s="262"/>
      <c r="E141" s="262"/>
      <c r="F141" s="262">
        <v>1</v>
      </c>
      <c r="G141" s="262"/>
      <c r="H141" s="263">
        <v>2795</v>
      </c>
      <c r="I141" s="263"/>
      <c r="J141" s="264"/>
      <c r="K141" s="264">
        <f t="shared" si="4"/>
        <v>2795</v>
      </c>
      <c r="L141" s="118"/>
    </row>
    <row r="142" spans="1:12" ht="24.75">
      <c r="A142" s="118"/>
      <c r="B142" s="262"/>
      <c r="C142" s="283" t="s">
        <v>384</v>
      </c>
      <c r="D142" s="262"/>
      <c r="E142" s="262"/>
      <c r="F142" s="262">
        <v>1</v>
      </c>
      <c r="G142" s="262"/>
      <c r="H142" s="263">
        <v>859</v>
      </c>
      <c r="I142" s="263"/>
      <c r="J142" s="264"/>
      <c r="K142" s="264">
        <f t="shared" si="4"/>
        <v>859</v>
      </c>
      <c r="L142" s="118"/>
    </row>
    <row r="143" spans="1:12">
      <c r="A143" s="118"/>
      <c r="B143" s="262"/>
      <c r="C143" s="283" t="s">
        <v>385</v>
      </c>
      <c r="D143" s="262"/>
      <c r="E143" s="262"/>
      <c r="F143" s="262">
        <v>1</v>
      </c>
      <c r="G143" s="262"/>
      <c r="H143" s="263">
        <v>439</v>
      </c>
      <c r="I143" s="263"/>
      <c r="J143" s="264"/>
      <c r="K143" s="264">
        <f t="shared" si="4"/>
        <v>439</v>
      </c>
      <c r="L143" s="118"/>
    </row>
    <row r="144" spans="1:12" ht="24.75">
      <c r="A144" s="118"/>
      <c r="B144" s="262"/>
      <c r="C144" s="283" t="s">
        <v>386</v>
      </c>
      <c r="D144" s="262"/>
      <c r="E144" s="262"/>
      <c r="F144" s="262">
        <v>1</v>
      </c>
      <c r="G144" s="262"/>
      <c r="H144" s="263">
        <v>714</v>
      </c>
      <c r="I144" s="263"/>
      <c r="J144" s="264"/>
      <c r="K144" s="264">
        <f t="shared" si="4"/>
        <v>714</v>
      </c>
      <c r="L144" s="118"/>
    </row>
    <row r="145" spans="1:12" ht="24.75">
      <c r="A145" s="118"/>
      <c r="B145" s="262"/>
      <c r="C145" s="283" t="s">
        <v>387</v>
      </c>
      <c r="D145" s="262"/>
      <c r="E145" s="262"/>
      <c r="F145" s="262">
        <v>1</v>
      </c>
      <c r="G145" s="262"/>
      <c r="H145" s="263">
        <v>3774</v>
      </c>
      <c r="I145" s="263"/>
      <c r="J145" s="264"/>
      <c r="K145" s="264">
        <f t="shared" si="4"/>
        <v>3774</v>
      </c>
      <c r="L145" s="118"/>
    </row>
    <row r="146" spans="1:12" ht="23.25">
      <c r="A146" s="118"/>
      <c r="B146" s="262"/>
      <c r="C146" s="282" t="s">
        <v>388</v>
      </c>
      <c r="D146" s="262"/>
      <c r="E146" s="262"/>
      <c r="F146" s="262">
        <v>1</v>
      </c>
      <c r="G146" s="262"/>
      <c r="H146" s="263">
        <v>3399</v>
      </c>
      <c r="I146" s="263"/>
      <c r="J146" s="264"/>
      <c r="K146" s="264">
        <f t="shared" si="4"/>
        <v>3399</v>
      </c>
      <c r="L146" s="118"/>
    </row>
    <row r="147" spans="1:12" ht="23.25">
      <c r="A147" s="118"/>
      <c r="B147" s="262"/>
      <c r="C147" s="282" t="s">
        <v>389</v>
      </c>
      <c r="D147" s="262"/>
      <c r="E147" s="262"/>
      <c r="F147" s="262">
        <v>1</v>
      </c>
      <c r="G147" s="262"/>
      <c r="H147" s="263">
        <v>6936</v>
      </c>
      <c r="I147" s="263"/>
      <c r="J147" s="264"/>
      <c r="K147" s="264">
        <f t="shared" si="4"/>
        <v>6936</v>
      </c>
      <c r="L147" s="118"/>
    </row>
    <row r="148" spans="1:12" ht="23.25">
      <c r="A148" s="118"/>
      <c r="B148" s="262"/>
      <c r="C148" s="282" t="s">
        <v>390</v>
      </c>
      <c r="D148" s="262"/>
      <c r="E148" s="262"/>
      <c r="F148" s="262">
        <v>1</v>
      </c>
      <c r="G148" s="262"/>
      <c r="H148" s="263">
        <v>2799</v>
      </c>
      <c r="I148" s="263"/>
      <c r="J148" s="264"/>
      <c r="K148" s="264">
        <f t="shared" si="4"/>
        <v>2799</v>
      </c>
      <c r="L148" s="118"/>
    </row>
    <row r="149" spans="1:12">
      <c r="A149" s="118"/>
      <c r="B149" s="262"/>
      <c r="C149" s="282" t="s">
        <v>391</v>
      </c>
      <c r="D149" s="262"/>
      <c r="E149" s="262"/>
      <c r="F149" s="262">
        <v>3</v>
      </c>
      <c r="G149" s="262"/>
      <c r="H149" s="263">
        <v>5.99</v>
      </c>
      <c r="I149" s="263"/>
      <c r="J149" s="264"/>
      <c r="K149" s="264">
        <f t="shared" si="4"/>
        <v>17.97</v>
      </c>
      <c r="L149" s="118"/>
    </row>
    <row r="150" spans="1:12">
      <c r="A150" s="118"/>
      <c r="B150" s="262"/>
      <c r="C150" s="283" t="s">
        <v>392</v>
      </c>
      <c r="D150" s="262"/>
      <c r="E150" s="262"/>
      <c r="F150" s="262">
        <v>2</v>
      </c>
      <c r="G150" s="262"/>
      <c r="H150" s="263">
        <v>42.99</v>
      </c>
      <c r="I150" s="263"/>
      <c r="J150" s="264"/>
      <c r="K150" s="264">
        <f t="shared" si="4"/>
        <v>85.98</v>
      </c>
      <c r="L150" s="118"/>
    </row>
    <row r="151" spans="1:12">
      <c r="A151" s="118"/>
      <c r="B151" s="262"/>
      <c r="C151" s="283" t="s">
        <v>393</v>
      </c>
      <c r="D151" s="262"/>
      <c r="E151" s="262"/>
      <c r="F151" s="262">
        <v>3</v>
      </c>
      <c r="G151" s="262"/>
      <c r="H151" s="263">
        <v>69.989999999999995</v>
      </c>
      <c r="I151" s="263"/>
      <c r="J151" s="264"/>
      <c r="K151" s="264">
        <f t="shared" si="4"/>
        <v>209.96999999999997</v>
      </c>
      <c r="L151" s="118"/>
    </row>
    <row r="152" spans="1:12">
      <c r="A152" s="118"/>
      <c r="B152" s="262"/>
      <c r="C152" s="283" t="s">
        <v>394</v>
      </c>
      <c r="D152" s="262"/>
      <c r="E152" s="262"/>
      <c r="F152" s="262">
        <v>2</v>
      </c>
      <c r="G152" s="262"/>
      <c r="H152" s="263">
        <v>79.989999999999995</v>
      </c>
      <c r="I152" s="263"/>
      <c r="J152" s="264"/>
      <c r="K152" s="264">
        <f t="shared" si="4"/>
        <v>159.97999999999999</v>
      </c>
      <c r="L152" s="118"/>
    </row>
    <row r="153" spans="1:12">
      <c r="A153" s="118"/>
      <c r="B153" s="262"/>
      <c r="C153" s="283" t="s">
        <v>395</v>
      </c>
      <c r="D153" s="262"/>
      <c r="E153" s="262"/>
      <c r="F153" s="262">
        <v>1</v>
      </c>
      <c r="G153" s="262"/>
      <c r="H153" s="263">
        <v>209</v>
      </c>
      <c r="I153" s="263"/>
      <c r="J153" s="264"/>
      <c r="K153" s="264">
        <f t="shared" si="4"/>
        <v>209</v>
      </c>
      <c r="L153" s="118"/>
    </row>
    <row r="154" spans="1:12">
      <c r="A154" s="118"/>
      <c r="B154" s="262"/>
      <c r="C154" s="283" t="s">
        <v>396</v>
      </c>
      <c r="D154" s="262"/>
      <c r="E154" s="262"/>
      <c r="F154" s="262">
        <v>2</v>
      </c>
      <c r="G154" s="262"/>
      <c r="H154" s="263">
        <v>4.99</v>
      </c>
      <c r="I154" s="263"/>
      <c r="J154" s="264"/>
      <c r="K154" s="264">
        <f t="shared" si="4"/>
        <v>9.98</v>
      </c>
      <c r="L154" s="118"/>
    </row>
    <row r="155" spans="1:12">
      <c r="A155" s="118"/>
      <c r="B155" s="262"/>
      <c r="C155" s="283" t="s">
        <v>397</v>
      </c>
      <c r="D155" s="262"/>
      <c r="E155" s="262"/>
      <c r="F155" s="262">
        <v>6</v>
      </c>
      <c r="G155" s="262"/>
      <c r="H155" s="263">
        <v>5.99</v>
      </c>
      <c r="I155" s="263"/>
      <c r="J155" s="264"/>
      <c r="K155" s="264">
        <f t="shared" si="4"/>
        <v>35.94</v>
      </c>
      <c r="L155" s="118"/>
    </row>
    <row r="156" spans="1:12">
      <c r="A156" s="118"/>
      <c r="B156" s="262"/>
      <c r="C156" s="283" t="s">
        <v>398</v>
      </c>
      <c r="D156" s="262"/>
      <c r="E156" s="262"/>
      <c r="F156" s="262">
        <v>2</v>
      </c>
      <c r="G156" s="262"/>
      <c r="H156" s="263">
        <v>8.99</v>
      </c>
      <c r="I156" s="263"/>
      <c r="J156" s="264"/>
      <c r="K156" s="264">
        <f t="shared" si="4"/>
        <v>17.98</v>
      </c>
      <c r="L156" s="118"/>
    </row>
    <row r="157" spans="1:12">
      <c r="A157" s="118"/>
      <c r="B157" s="262"/>
      <c r="C157" s="283" t="s">
        <v>398</v>
      </c>
      <c r="D157" s="262"/>
      <c r="E157" s="262"/>
      <c r="F157" s="262">
        <v>2</v>
      </c>
      <c r="G157" s="262"/>
      <c r="H157" s="263">
        <v>9.99</v>
      </c>
      <c r="I157" s="263"/>
      <c r="J157" s="264"/>
      <c r="K157" s="264">
        <f t="shared" si="4"/>
        <v>19.98</v>
      </c>
      <c r="L157" s="118"/>
    </row>
    <row r="158" spans="1:12">
      <c r="A158" s="118"/>
      <c r="B158" s="262"/>
      <c r="C158" s="283" t="s">
        <v>399</v>
      </c>
      <c r="D158" s="262"/>
      <c r="E158" s="262"/>
      <c r="F158" s="262">
        <v>3</v>
      </c>
      <c r="G158" s="262"/>
      <c r="H158" s="263">
        <v>9.99</v>
      </c>
      <c r="I158" s="263"/>
      <c r="J158" s="264"/>
      <c r="K158" s="264">
        <f t="shared" si="4"/>
        <v>29.97</v>
      </c>
      <c r="L158" s="118"/>
    </row>
    <row r="159" spans="1:12">
      <c r="A159" s="118"/>
      <c r="B159" s="262"/>
      <c r="C159" s="283" t="s">
        <v>400</v>
      </c>
      <c r="D159" s="262"/>
      <c r="E159" s="262"/>
      <c r="F159" s="262">
        <v>2</v>
      </c>
      <c r="G159" s="262"/>
      <c r="H159" s="263">
        <v>12.59</v>
      </c>
      <c r="I159" s="263"/>
      <c r="J159" s="264"/>
      <c r="K159" s="264">
        <f t="shared" si="4"/>
        <v>25.18</v>
      </c>
      <c r="L159" s="118"/>
    </row>
    <row r="160" spans="1:12">
      <c r="A160" s="118"/>
      <c r="B160" s="262"/>
      <c r="C160" s="283" t="s">
        <v>401</v>
      </c>
      <c r="D160" s="262"/>
      <c r="E160" s="262"/>
      <c r="F160" s="262">
        <v>2</v>
      </c>
      <c r="G160" s="262"/>
      <c r="H160" s="263">
        <v>14.99</v>
      </c>
      <c r="I160" s="263"/>
      <c r="J160" s="264"/>
      <c r="K160" s="264">
        <f t="shared" si="4"/>
        <v>29.98</v>
      </c>
      <c r="L160" s="118"/>
    </row>
    <row r="161" spans="1:12">
      <c r="A161" s="118"/>
      <c r="B161" s="262"/>
      <c r="C161" s="283" t="s">
        <v>402</v>
      </c>
      <c r="D161" s="262"/>
      <c r="E161" s="262"/>
      <c r="F161" s="262">
        <v>2</v>
      </c>
      <c r="G161" s="262"/>
      <c r="H161" s="263">
        <v>29.95</v>
      </c>
      <c r="I161" s="263"/>
      <c r="J161" s="264"/>
      <c r="K161" s="264">
        <f t="shared" si="4"/>
        <v>59.9</v>
      </c>
      <c r="L161" s="118"/>
    </row>
    <row r="162" spans="1:12">
      <c r="A162" s="118"/>
      <c r="B162" s="262"/>
      <c r="C162" s="283" t="s">
        <v>403</v>
      </c>
      <c r="D162" s="262"/>
      <c r="E162" s="262"/>
      <c r="F162" s="262">
        <v>4</v>
      </c>
      <c r="G162" s="262"/>
      <c r="H162" s="263">
        <f>1295</f>
        <v>1295</v>
      </c>
      <c r="I162" s="263"/>
      <c r="J162" s="264"/>
      <c r="K162" s="264">
        <f t="shared" si="4"/>
        <v>5180</v>
      </c>
      <c r="L162" s="118"/>
    </row>
    <row r="163" spans="1:12">
      <c r="A163" s="118"/>
      <c r="B163" s="262"/>
      <c r="C163" s="283" t="s">
        <v>404</v>
      </c>
      <c r="D163" s="262"/>
      <c r="E163" s="262"/>
      <c r="F163" s="262">
        <v>3</v>
      </c>
      <c r="G163" s="262"/>
      <c r="H163" s="263">
        <v>999</v>
      </c>
      <c r="I163" s="263"/>
      <c r="J163" s="264"/>
      <c r="K163" s="264">
        <f t="shared" si="4"/>
        <v>2997</v>
      </c>
      <c r="L163" s="118"/>
    </row>
    <row r="164" spans="1:12">
      <c r="A164" s="118"/>
      <c r="B164" s="262"/>
      <c r="C164" s="283" t="s">
        <v>405</v>
      </c>
      <c r="D164" s="262"/>
      <c r="E164" s="262"/>
      <c r="F164" s="262">
        <v>14</v>
      </c>
      <c r="G164" s="262"/>
      <c r="H164" s="263">
        <v>495</v>
      </c>
      <c r="I164" s="263"/>
      <c r="J164" s="264"/>
      <c r="K164" s="264">
        <f t="shared" si="4"/>
        <v>6930</v>
      </c>
      <c r="L164" s="118"/>
    </row>
    <row r="165" spans="1:12">
      <c r="A165" s="118"/>
      <c r="B165" s="262"/>
      <c r="C165" s="283" t="s">
        <v>406</v>
      </c>
      <c r="D165" s="262"/>
      <c r="E165" s="262"/>
      <c r="F165" s="262">
        <v>1</v>
      </c>
      <c r="G165" s="262"/>
      <c r="H165" s="263">
        <v>235</v>
      </c>
      <c r="I165" s="263"/>
      <c r="J165" s="264"/>
      <c r="K165" s="264">
        <f t="shared" si="4"/>
        <v>235</v>
      </c>
      <c r="L165" s="118"/>
    </row>
    <row r="166" spans="1:12">
      <c r="A166" s="118"/>
      <c r="B166" s="262"/>
      <c r="C166" s="283" t="s">
        <v>407</v>
      </c>
      <c r="D166" s="262"/>
      <c r="E166" s="262"/>
      <c r="F166" s="262">
        <v>2</v>
      </c>
      <c r="G166" s="262"/>
      <c r="H166" s="263">
        <v>699</v>
      </c>
      <c r="I166" s="263"/>
      <c r="J166" s="264"/>
      <c r="K166" s="264">
        <f t="shared" si="4"/>
        <v>1398</v>
      </c>
      <c r="L166" s="118"/>
    </row>
    <row r="167" spans="1:12">
      <c r="A167" s="118"/>
      <c r="B167" s="262"/>
      <c r="C167" s="283" t="s">
        <v>408</v>
      </c>
      <c r="D167" s="262"/>
      <c r="E167" s="262"/>
      <c r="F167" s="262">
        <v>3</v>
      </c>
      <c r="G167" s="262"/>
      <c r="H167" s="263">
        <v>249</v>
      </c>
      <c r="I167" s="263"/>
      <c r="J167" s="264"/>
      <c r="K167" s="264">
        <f t="shared" si="4"/>
        <v>747</v>
      </c>
      <c r="L167" s="118"/>
    </row>
    <row r="168" spans="1:12">
      <c r="A168" s="118"/>
      <c r="B168" s="262"/>
      <c r="C168" s="283" t="s">
        <v>409</v>
      </c>
      <c r="D168" s="262"/>
      <c r="E168" s="262"/>
      <c r="F168" s="262">
        <v>2</v>
      </c>
      <c r="G168" s="262"/>
      <c r="H168" s="263">
        <v>5399.99</v>
      </c>
      <c r="I168" s="263"/>
      <c r="J168" s="264"/>
      <c r="K168" s="264">
        <f t="shared" si="4"/>
        <v>10799.98</v>
      </c>
      <c r="L168" s="118"/>
    </row>
    <row r="169" spans="1:12">
      <c r="A169" s="118"/>
      <c r="B169" s="262"/>
      <c r="C169" s="284"/>
      <c r="D169" s="262"/>
      <c r="E169" s="262"/>
      <c r="F169" s="262"/>
      <c r="G169" s="262"/>
      <c r="H169" s="263"/>
      <c r="I169" s="263"/>
      <c r="J169" s="264"/>
      <c r="K169" s="264"/>
      <c r="L169" s="118"/>
    </row>
    <row r="170" spans="1:12" ht="50.25" customHeight="1">
      <c r="A170" s="118"/>
      <c r="B170" s="285" t="s">
        <v>410</v>
      </c>
      <c r="C170" s="262" t="s">
        <v>411</v>
      </c>
      <c r="D170" s="286">
        <f>2.6*1.96</f>
        <v>5.0960000000000001</v>
      </c>
      <c r="E170" s="262">
        <v>9</v>
      </c>
      <c r="F170" s="262">
        <f>D170*E170</f>
        <v>45.864000000000004</v>
      </c>
      <c r="G170" s="262" t="s">
        <v>79</v>
      </c>
      <c r="H170" s="263"/>
      <c r="I170" s="263">
        <v>196</v>
      </c>
      <c r="J170" s="264"/>
      <c r="K170" s="264">
        <f>I170*F170</f>
        <v>8989.344000000001</v>
      </c>
      <c r="L170" s="118" t="s">
        <v>353</v>
      </c>
    </row>
    <row r="171" spans="1:12" ht="57">
      <c r="A171" s="118"/>
      <c r="B171" s="287" t="s">
        <v>412</v>
      </c>
      <c r="C171" s="262" t="s">
        <v>413</v>
      </c>
      <c r="D171" s="286">
        <f>1.1*1.58</f>
        <v>1.7380000000000002</v>
      </c>
      <c r="E171" s="262">
        <v>48</v>
      </c>
      <c r="F171" s="262">
        <f>E171*D171</f>
        <v>83.424000000000007</v>
      </c>
      <c r="G171" s="262" t="s">
        <v>79</v>
      </c>
      <c r="H171" s="263"/>
      <c r="I171" s="263">
        <v>196</v>
      </c>
      <c r="J171" s="264"/>
      <c r="K171" s="264">
        <f>I171*F171</f>
        <v>16351.104000000001</v>
      </c>
      <c r="L171" s="118" t="s">
        <v>353</v>
      </c>
    </row>
    <row r="172" spans="1:12">
      <c r="A172" s="118"/>
      <c r="B172" s="272"/>
      <c r="C172" s="262" t="s">
        <v>414</v>
      </c>
      <c r="D172" s="258">
        <f>1.1*1.08</f>
        <v>1.1880000000000002</v>
      </c>
      <c r="E172" s="262">
        <v>23</v>
      </c>
      <c r="F172" s="262">
        <f>E172*D172</f>
        <v>27.324000000000005</v>
      </c>
      <c r="G172" s="262" t="s">
        <v>79</v>
      </c>
      <c r="H172" s="263"/>
      <c r="I172" s="263">
        <v>196</v>
      </c>
      <c r="J172" s="264"/>
      <c r="K172" s="264">
        <f>I172*F172</f>
        <v>5355.5040000000008</v>
      </c>
      <c r="L172" s="118" t="s">
        <v>353</v>
      </c>
    </row>
    <row r="173" spans="1:12">
      <c r="A173" s="118"/>
      <c r="B173" s="262"/>
      <c r="C173" s="262"/>
      <c r="D173" s="262"/>
      <c r="E173" s="262"/>
      <c r="F173" s="262"/>
      <c r="G173" s="262"/>
      <c r="H173" s="263"/>
      <c r="I173" s="263"/>
      <c r="J173" s="262"/>
      <c r="K173" s="264"/>
      <c r="L173" s="118"/>
    </row>
    <row r="174" spans="1:12">
      <c r="A174" s="118">
        <v>4</v>
      </c>
      <c r="B174" s="265" t="s">
        <v>415</v>
      </c>
      <c r="C174" s="262"/>
      <c r="D174" s="262"/>
      <c r="E174" s="262"/>
      <c r="F174" s="262"/>
      <c r="G174" s="262"/>
      <c r="H174" s="263"/>
      <c r="I174" s="263"/>
      <c r="J174" s="262"/>
      <c r="K174" s="264"/>
      <c r="L174" s="118"/>
    </row>
    <row r="175" spans="1:12">
      <c r="A175" s="118"/>
      <c r="B175" s="262"/>
      <c r="C175" s="262"/>
      <c r="D175" s="262"/>
      <c r="E175" s="262"/>
      <c r="F175" s="262"/>
      <c r="G175" s="262"/>
      <c r="H175" s="263"/>
      <c r="I175" s="263"/>
      <c r="J175" s="262"/>
      <c r="K175" s="264"/>
      <c r="L175" s="118"/>
    </row>
    <row r="176" spans="1:12" ht="34.5">
      <c r="A176" s="118">
        <v>4.0999999999999996</v>
      </c>
      <c r="B176" s="288" t="s">
        <v>416</v>
      </c>
      <c r="C176" s="268" t="s">
        <v>417</v>
      </c>
      <c r="D176" s="258" t="s">
        <v>299</v>
      </c>
      <c r="E176" s="262"/>
      <c r="F176" s="262">
        <v>4</v>
      </c>
      <c r="G176" s="262" t="s">
        <v>70</v>
      </c>
      <c r="H176" s="263"/>
      <c r="I176" s="263">
        <v>1640</v>
      </c>
      <c r="J176" s="262"/>
      <c r="K176" s="264">
        <f>I176*F176</f>
        <v>6560</v>
      </c>
      <c r="L176" s="118" t="s">
        <v>418</v>
      </c>
    </row>
    <row r="177" spans="1:12" ht="34.5">
      <c r="A177" s="118"/>
      <c r="B177" s="288"/>
      <c r="C177" s="268" t="s">
        <v>419</v>
      </c>
      <c r="D177" s="258" t="s">
        <v>299</v>
      </c>
      <c r="E177" s="262"/>
      <c r="F177" s="262">
        <v>14</v>
      </c>
      <c r="G177" s="262" t="s">
        <v>70</v>
      </c>
      <c r="H177" s="263"/>
      <c r="I177" s="263">
        <v>760</v>
      </c>
      <c r="J177" s="262"/>
      <c r="K177" s="264">
        <f>I177*F177</f>
        <v>10640</v>
      </c>
      <c r="L177" s="118" t="s">
        <v>420</v>
      </c>
    </row>
    <row r="178" spans="1:12" ht="24.75">
      <c r="A178" s="118"/>
      <c r="B178" s="288"/>
      <c r="C178" s="289" t="s">
        <v>421</v>
      </c>
      <c r="D178" s="258" t="s">
        <v>299</v>
      </c>
      <c r="E178" s="262"/>
      <c r="F178" s="262">
        <v>28</v>
      </c>
      <c r="G178" s="262" t="s">
        <v>309</v>
      </c>
      <c r="H178" s="263"/>
      <c r="I178" s="263">
        <v>500</v>
      </c>
      <c r="J178" s="262"/>
      <c r="K178" s="264">
        <f>I178*F178</f>
        <v>14000</v>
      </c>
      <c r="L178" s="118" t="s">
        <v>422</v>
      </c>
    </row>
    <row r="179" spans="1:12">
      <c r="A179" s="118"/>
      <c r="B179" s="288"/>
      <c r="C179" s="262"/>
      <c r="D179" s="262"/>
      <c r="E179" s="262"/>
      <c r="F179" s="262"/>
      <c r="G179" s="262"/>
      <c r="H179" s="263"/>
      <c r="I179" s="263"/>
      <c r="J179" s="262"/>
      <c r="K179" s="264"/>
      <c r="L179" s="118"/>
    </row>
    <row r="180" spans="1:12">
      <c r="A180" s="118"/>
      <c r="B180" s="262"/>
      <c r="C180" s="262"/>
      <c r="D180" s="262"/>
      <c r="E180" s="262"/>
      <c r="F180" s="262"/>
      <c r="G180" s="262"/>
      <c r="H180" s="263"/>
      <c r="I180" s="263"/>
      <c r="J180" s="262"/>
      <c r="K180" s="264"/>
      <c r="L180" s="118"/>
    </row>
    <row r="181" spans="1:12">
      <c r="A181" s="118">
        <v>4.2</v>
      </c>
      <c r="B181" s="288" t="s">
        <v>423</v>
      </c>
      <c r="C181" s="262"/>
      <c r="D181" s="262" t="s">
        <v>424</v>
      </c>
      <c r="E181" s="262"/>
      <c r="F181" s="262">
        <v>4243</v>
      </c>
      <c r="G181" s="262" t="s">
        <v>300</v>
      </c>
      <c r="H181" s="263"/>
      <c r="I181" s="263">
        <v>300</v>
      </c>
      <c r="J181" s="262"/>
      <c r="K181" s="264">
        <f>I181*F181</f>
        <v>1272900</v>
      </c>
      <c r="L181" s="118"/>
    </row>
    <row r="182" spans="1:12">
      <c r="A182" s="118"/>
      <c r="B182" s="262"/>
      <c r="C182" s="262"/>
      <c r="D182" s="262"/>
      <c r="E182" s="262"/>
      <c r="F182" s="262"/>
      <c r="G182" s="262"/>
      <c r="H182" s="263"/>
      <c r="I182" s="263"/>
      <c r="J182" s="262"/>
      <c r="K182" s="264"/>
      <c r="L182" s="118"/>
    </row>
    <row r="183" spans="1:12">
      <c r="A183" s="118">
        <v>4.3</v>
      </c>
      <c r="B183" s="288" t="s">
        <v>425</v>
      </c>
      <c r="C183" s="262"/>
      <c r="D183" s="262" t="s">
        <v>424</v>
      </c>
      <c r="E183" s="262"/>
      <c r="F183" s="262">
        <v>4243</v>
      </c>
      <c r="G183" s="262" t="s">
        <v>300</v>
      </c>
      <c r="H183" s="263"/>
      <c r="I183" s="263">
        <v>300</v>
      </c>
      <c r="J183" s="262"/>
      <c r="K183" s="264">
        <f>I183*F183</f>
        <v>1272900</v>
      </c>
      <c r="L183" s="118"/>
    </row>
    <row r="184" spans="1:12">
      <c r="A184" s="118"/>
      <c r="B184" s="262"/>
      <c r="C184" s="262"/>
      <c r="D184" s="262"/>
      <c r="E184" s="262"/>
      <c r="F184" s="262"/>
      <c r="G184" s="262"/>
      <c r="H184" s="263"/>
      <c r="I184" s="263"/>
      <c r="J184" s="262"/>
      <c r="K184" s="264"/>
      <c r="L184" s="118"/>
    </row>
    <row r="185" spans="1:12">
      <c r="A185" s="118">
        <v>4.4000000000000004</v>
      </c>
      <c r="B185" s="288" t="s">
        <v>426</v>
      </c>
      <c r="C185" s="262"/>
      <c r="D185" s="262" t="s">
        <v>424</v>
      </c>
      <c r="E185" s="262"/>
      <c r="F185" s="262">
        <v>4243</v>
      </c>
      <c r="G185" s="262" t="s">
        <v>300</v>
      </c>
      <c r="H185" s="263"/>
      <c r="I185" s="263">
        <v>300</v>
      </c>
      <c r="J185" s="262"/>
      <c r="K185" s="264">
        <f>I185*F185</f>
        <v>1272900</v>
      </c>
      <c r="L185" s="118"/>
    </row>
    <row r="186" spans="1:12">
      <c r="A186" s="118"/>
      <c r="B186" s="262"/>
      <c r="C186" s="262"/>
      <c r="D186" s="262"/>
      <c r="E186" s="262"/>
      <c r="F186" s="262"/>
      <c r="G186" s="262"/>
      <c r="H186" s="263"/>
      <c r="I186" s="263"/>
      <c r="J186" s="262"/>
      <c r="K186" s="264"/>
      <c r="L186" s="118"/>
    </row>
    <row r="187" spans="1:12">
      <c r="A187" s="118">
        <v>4.5</v>
      </c>
      <c r="B187" s="288" t="s">
        <v>427</v>
      </c>
      <c r="C187" s="262"/>
      <c r="D187" s="262" t="s">
        <v>424</v>
      </c>
      <c r="E187" s="262"/>
      <c r="F187" s="262">
        <v>4243</v>
      </c>
      <c r="G187" s="262" t="s">
        <v>300</v>
      </c>
      <c r="H187" s="263"/>
      <c r="I187" s="263">
        <v>300</v>
      </c>
      <c r="J187" s="262"/>
      <c r="K187" s="264">
        <f>I187*F187</f>
        <v>1272900</v>
      </c>
      <c r="L187" s="118"/>
    </row>
    <row r="188" spans="1:12">
      <c r="A188" s="118"/>
      <c r="B188" s="262"/>
      <c r="C188" s="262"/>
      <c r="D188" s="262"/>
      <c r="E188" s="262"/>
      <c r="F188" s="262"/>
      <c r="G188" s="262"/>
      <c r="H188" s="263"/>
      <c r="I188" s="263"/>
      <c r="J188" s="262"/>
      <c r="K188" s="264"/>
      <c r="L188" s="118"/>
    </row>
    <row r="189" spans="1:12">
      <c r="A189" s="118">
        <v>4.5999999999999996</v>
      </c>
      <c r="B189" s="262" t="s">
        <v>428</v>
      </c>
      <c r="C189" s="262"/>
      <c r="D189" s="262" t="s">
        <v>424</v>
      </c>
      <c r="E189" s="262"/>
      <c r="F189" s="262">
        <v>4243</v>
      </c>
      <c r="G189" s="262" t="s">
        <v>300</v>
      </c>
      <c r="H189" s="263"/>
      <c r="I189" s="263">
        <v>300</v>
      </c>
      <c r="J189" s="262"/>
      <c r="K189" s="264">
        <f>I189*F189</f>
        <v>1272900</v>
      </c>
      <c r="L189" s="118"/>
    </row>
    <row r="190" spans="1:12">
      <c r="A190" s="252"/>
      <c r="B190" s="252"/>
      <c r="C190" s="252"/>
      <c r="D190" s="252"/>
      <c r="E190" s="252"/>
      <c r="F190" s="252"/>
      <c r="G190" s="252"/>
      <c r="H190" s="253"/>
      <c r="I190" s="253"/>
      <c r="J190" s="252"/>
      <c r="K190" s="252"/>
      <c r="L190" s="252"/>
    </row>
    <row r="191" spans="1:12" ht="15.75">
      <c r="B191" s="148" t="s">
        <v>201</v>
      </c>
      <c r="C191" s="138"/>
      <c r="D191" s="138"/>
      <c r="E191" s="139"/>
    </row>
    <row r="193" spans="2:11">
      <c r="B193" s="10" t="s">
        <v>202</v>
      </c>
    </row>
    <row r="195" spans="2:11">
      <c r="B195" t="s">
        <v>203</v>
      </c>
      <c r="G195" t="s">
        <v>79</v>
      </c>
      <c r="H195" s="9">
        <v>1475</v>
      </c>
      <c r="I195" s="9">
        <v>1875</v>
      </c>
    </row>
    <row r="196" spans="2:11" ht="7.9" customHeight="1"/>
    <row r="197" spans="2:11">
      <c r="B197" t="s">
        <v>204</v>
      </c>
      <c r="F197">
        <f>'Information given by model'!D24</f>
        <v>0</v>
      </c>
      <c r="G197" t="s">
        <v>79</v>
      </c>
      <c r="H197" s="9">
        <v>1350</v>
      </c>
      <c r="I197" s="9">
        <v>1725</v>
      </c>
    </row>
    <row r="198" spans="2:11" ht="7.9" customHeight="1"/>
    <row r="199" spans="2:11">
      <c r="B199" t="s">
        <v>205</v>
      </c>
    </row>
    <row r="200" spans="2:11">
      <c r="B200" s="70" t="s">
        <v>206</v>
      </c>
      <c r="F200">
        <f>'Information given by model'!D14</f>
        <v>1270.1999999999998</v>
      </c>
      <c r="G200" t="s">
        <v>79</v>
      </c>
      <c r="H200" s="9">
        <v>4200</v>
      </c>
      <c r="I200" s="9">
        <v>5300</v>
      </c>
      <c r="J200" s="11">
        <f t="shared" ref="J200" si="5">F200*H200</f>
        <v>5334839.9999999991</v>
      </c>
      <c r="K200" s="11">
        <f t="shared" ref="K200" si="6">F200*I200</f>
        <v>6732059.9999999991</v>
      </c>
    </row>
    <row r="201" spans="2:11" ht="7.9" customHeight="1"/>
    <row r="202" spans="2:11">
      <c r="B202" t="s">
        <v>207</v>
      </c>
      <c r="G202" t="s">
        <v>79</v>
      </c>
      <c r="H202" s="9">
        <v>820</v>
      </c>
      <c r="I202" s="9">
        <v>1050</v>
      </c>
    </row>
    <row r="203" spans="2:11" ht="7.9" customHeight="1"/>
    <row r="204" spans="2:11">
      <c r="B204" t="s">
        <v>208</v>
      </c>
      <c r="F204">
        <f>'Information given by model'!D23</f>
        <v>1394</v>
      </c>
      <c r="G204" t="s">
        <v>79</v>
      </c>
      <c r="H204" s="9">
        <v>1725</v>
      </c>
      <c r="I204" s="9">
        <v>2200</v>
      </c>
    </row>
    <row r="205" spans="2:11" ht="7.9" customHeight="1"/>
    <row r="206" spans="2:11">
      <c r="B206" t="s">
        <v>209</v>
      </c>
      <c r="G206" t="s">
        <v>79</v>
      </c>
      <c r="H206" s="9">
        <v>1225</v>
      </c>
      <c r="I206" s="9">
        <v>1575</v>
      </c>
    </row>
    <row r="207" spans="2:11">
      <c r="B207" t="s">
        <v>210</v>
      </c>
      <c r="F207">
        <f>'Information given by model'!D17</f>
        <v>692.19596999999999</v>
      </c>
      <c r="G207" t="s">
        <v>79</v>
      </c>
      <c r="H207" s="9">
        <v>1425</v>
      </c>
      <c r="I207" s="9">
        <v>1800</v>
      </c>
      <c r="J207" s="11">
        <f>F207*H207</f>
        <v>986379.25725000002</v>
      </c>
      <c r="K207" s="11">
        <f t="shared" ref="K207" si="7">F207*I207</f>
        <v>1245952.746</v>
      </c>
    </row>
    <row r="208" spans="2:11">
      <c r="B208" t="s">
        <v>211</v>
      </c>
      <c r="G208" t="s">
        <v>79</v>
      </c>
      <c r="H208" s="9">
        <v>1425</v>
      </c>
      <c r="I208" s="9">
        <v>1800</v>
      </c>
    </row>
    <row r="209" spans="1:11" ht="7.9" customHeight="1"/>
    <row r="210" spans="1:11" ht="12.6" customHeight="1">
      <c r="B210" t="s">
        <v>212</v>
      </c>
      <c r="F210">
        <f>855*2</f>
        <v>1710</v>
      </c>
      <c r="G210" t="s">
        <v>79</v>
      </c>
      <c r="H210" s="9">
        <v>1175</v>
      </c>
      <c r="I210" s="9">
        <v>1475</v>
      </c>
      <c r="J210" s="11">
        <f>F210*H210</f>
        <v>2009250</v>
      </c>
      <c r="K210" s="11">
        <f t="shared" ref="K210" si="8">F210*I210</f>
        <v>2522250</v>
      </c>
    </row>
    <row r="211" spans="1:11" ht="12.6" customHeight="1">
      <c r="A211" s="133" t="s">
        <v>80</v>
      </c>
      <c r="J211" s="11"/>
      <c r="K211" s="11"/>
    </row>
    <row r="212" spans="1:11" ht="12.6" customHeight="1">
      <c r="B212" s="142" t="s">
        <v>213</v>
      </c>
      <c r="J212" s="11"/>
      <c r="K212" s="11"/>
    </row>
    <row r="213" spans="1:11" ht="12.6" customHeight="1">
      <c r="B213" s="293" t="s">
        <v>214</v>
      </c>
      <c r="C213" s="293"/>
      <c r="D213" s="293"/>
      <c r="E213" s="293"/>
      <c r="J213" s="11"/>
      <c r="K213" s="11"/>
    </row>
    <row r="214" spans="1:11" ht="45.6" customHeight="1">
      <c r="B214" s="293"/>
      <c r="C214" s="293"/>
      <c r="D214" s="293"/>
      <c r="E214" s="293"/>
      <c r="F214">
        <f>F210</f>
        <v>1710</v>
      </c>
      <c r="H214" s="9">
        <v>1800</v>
      </c>
      <c r="I214" s="9">
        <v>2000</v>
      </c>
      <c r="J214" s="11">
        <f>F214*H214</f>
        <v>3078000</v>
      </c>
      <c r="K214" s="11">
        <f t="shared" ref="K214" si="9">F214*I214</f>
        <v>3420000</v>
      </c>
    </row>
    <row r="215" spans="1:11" ht="15.75" thickBot="1"/>
    <row r="216" spans="1:11" ht="16.5" thickBot="1">
      <c r="B216" s="149" t="s">
        <v>215</v>
      </c>
      <c r="C216" s="136"/>
      <c r="D216" s="137"/>
    </row>
    <row r="217" spans="1:11">
      <c r="B217" s="10" t="s">
        <v>216</v>
      </c>
    </row>
    <row r="218" spans="1:11">
      <c r="B218" s="10"/>
    </row>
    <row r="219" spans="1:11">
      <c r="B219" s="10" t="s">
        <v>217</v>
      </c>
    </row>
    <row r="220" spans="1:11">
      <c r="B220" t="s">
        <v>218</v>
      </c>
    </row>
    <row r="221" spans="1:11">
      <c r="B221" t="s">
        <v>219</v>
      </c>
    </row>
    <row r="222" spans="1:11">
      <c r="B222" t="s">
        <v>220</v>
      </c>
    </row>
    <row r="223" spans="1:11">
      <c r="B223" s="70" t="s">
        <v>221</v>
      </c>
    </row>
    <row r="224" spans="1:11">
      <c r="B224" s="70" t="s">
        <v>222</v>
      </c>
      <c r="G224" t="s">
        <v>79</v>
      </c>
      <c r="H224" s="9">
        <v>2.35</v>
      </c>
      <c r="I224" s="9">
        <v>2.85</v>
      </c>
    </row>
    <row r="225" spans="2:11">
      <c r="B225" t="s">
        <v>223</v>
      </c>
    </row>
    <row r="226" spans="2:11">
      <c r="B226" s="70" t="s">
        <v>224</v>
      </c>
      <c r="G226" t="s">
        <v>79</v>
      </c>
      <c r="H226" s="9">
        <v>6.75</v>
      </c>
      <c r="I226" s="9">
        <v>8.1999999999999993</v>
      </c>
    </row>
    <row r="227" spans="2:11" ht="10.15" customHeight="1"/>
    <row r="228" spans="2:11">
      <c r="B228" s="10" t="s">
        <v>225</v>
      </c>
    </row>
    <row r="229" spans="2:11">
      <c r="B229" t="s">
        <v>226</v>
      </c>
    </row>
    <row r="230" spans="2:11" ht="7.9" customHeight="1"/>
    <row r="231" spans="2:11">
      <c r="B231" t="s">
        <v>227</v>
      </c>
    </row>
    <row r="232" spans="2:11">
      <c r="B232" s="134" t="s">
        <v>228</v>
      </c>
    </row>
    <row r="233" spans="2:11">
      <c r="B233" s="134" t="s">
        <v>229</v>
      </c>
    </row>
    <row r="234" spans="2:11">
      <c r="B234" s="134" t="s">
        <v>230</v>
      </c>
    </row>
    <row r="235" spans="2:11">
      <c r="B235" s="134" t="s">
        <v>231</v>
      </c>
    </row>
    <row r="236" spans="2:11">
      <c r="B236" s="134" t="s">
        <v>232</v>
      </c>
      <c r="F236">
        <v>10400</v>
      </c>
      <c r="G236" t="s">
        <v>79</v>
      </c>
      <c r="H236" s="9">
        <v>26.5</v>
      </c>
      <c r="I236" s="9">
        <v>35</v>
      </c>
      <c r="J236" s="11">
        <f>F236*H236</f>
        <v>275600</v>
      </c>
      <c r="K236" s="11">
        <f>F236*I236</f>
        <v>364000</v>
      </c>
    </row>
    <row r="237" spans="2:11" ht="7.9" customHeight="1">
      <c r="B237" s="134"/>
    </row>
    <row r="238" spans="2:11">
      <c r="B238" t="s">
        <v>233</v>
      </c>
    </row>
    <row r="239" spans="2:11">
      <c r="B239" s="134" t="s">
        <v>234</v>
      </c>
    </row>
    <row r="240" spans="2:11">
      <c r="B240" s="134" t="s">
        <v>235</v>
      </c>
    </row>
    <row r="241" spans="2:9">
      <c r="B241" s="134" t="s">
        <v>236</v>
      </c>
    </row>
    <row r="242" spans="2:9">
      <c r="B242" s="134" t="s">
        <v>237</v>
      </c>
    </row>
    <row r="243" spans="2:9">
      <c r="B243" s="134" t="s">
        <v>238</v>
      </c>
      <c r="G243" t="s">
        <v>79</v>
      </c>
      <c r="H243" s="9">
        <v>42.5</v>
      </c>
      <c r="I243" s="9">
        <v>56</v>
      </c>
    </row>
    <row r="244" spans="2:9" ht="7.9" customHeight="1">
      <c r="B244" s="134"/>
    </row>
    <row r="245" spans="2:9">
      <c r="B245" t="s">
        <v>239</v>
      </c>
    </row>
    <row r="246" spans="2:9">
      <c r="B246" s="134" t="s">
        <v>240</v>
      </c>
    </row>
    <row r="247" spans="2:9">
      <c r="B247" s="134" t="s">
        <v>241</v>
      </c>
    </row>
    <row r="248" spans="2:9">
      <c r="B248" s="134" t="s">
        <v>242</v>
      </c>
    </row>
    <row r="249" spans="2:9">
      <c r="B249" s="134" t="s">
        <v>243</v>
      </c>
      <c r="G249" t="s">
        <v>79</v>
      </c>
      <c r="H249" s="9">
        <v>9.6</v>
      </c>
      <c r="I249" s="9">
        <v>12.6</v>
      </c>
    </row>
    <row r="252" spans="2:9" ht="15.75" thickBot="1"/>
    <row r="253" spans="2:9" ht="16.5" thickBot="1">
      <c r="B253" s="150" t="s">
        <v>256</v>
      </c>
      <c r="C253" s="151"/>
      <c r="D253" s="151"/>
      <c r="E253" s="152"/>
    </row>
    <row r="255" spans="2:9">
      <c r="B255" t="s">
        <v>257</v>
      </c>
    </row>
    <row r="256" spans="2:9">
      <c r="B256" t="s">
        <v>258</v>
      </c>
    </row>
    <row r="257" spans="2:9">
      <c r="B257" s="70" t="s">
        <v>259</v>
      </c>
      <c r="H257" s="9">
        <v>59</v>
      </c>
      <c r="I257" s="9">
        <v>72</v>
      </c>
    </row>
    <row r="258" spans="2:9">
      <c r="B258" s="70" t="s">
        <v>260</v>
      </c>
      <c r="H258" s="9">
        <v>60</v>
      </c>
      <c r="I258" s="9">
        <v>73</v>
      </c>
    </row>
    <row r="259" spans="2:9">
      <c r="B259" s="70" t="s">
        <v>261</v>
      </c>
      <c r="H259" s="9">
        <v>77</v>
      </c>
      <c r="I259" s="9">
        <v>93</v>
      </c>
    </row>
    <row r="261" spans="2:9">
      <c r="B261" t="s">
        <v>262</v>
      </c>
    </row>
    <row r="262" spans="2:9">
      <c r="B262" s="70" t="s">
        <v>263</v>
      </c>
    </row>
    <row r="263" spans="2:9">
      <c r="B263" s="70" t="s">
        <v>264</v>
      </c>
      <c r="H263" s="9">
        <v>17.2</v>
      </c>
      <c r="I263" s="9">
        <v>22</v>
      </c>
    </row>
    <row r="264" spans="2:9">
      <c r="B264" t="s">
        <v>265</v>
      </c>
    </row>
    <row r="265" spans="2:9">
      <c r="B265" s="70" t="s">
        <v>266</v>
      </c>
      <c r="H265" s="9">
        <v>71</v>
      </c>
      <c r="I265" s="9">
        <v>90</v>
      </c>
    </row>
    <row r="266" spans="2:9">
      <c r="B266" s="70" t="s">
        <v>267</v>
      </c>
      <c r="H266" s="9">
        <v>72</v>
      </c>
      <c r="I266" s="9">
        <v>91</v>
      </c>
    </row>
    <row r="267" spans="2:9">
      <c r="B267" s="70" t="s">
        <v>268</v>
      </c>
      <c r="H267" s="9">
        <v>78</v>
      </c>
      <c r="I267" s="9">
        <v>98</v>
      </c>
    </row>
    <row r="269" spans="2:9">
      <c r="B269" s="70" t="s">
        <v>269</v>
      </c>
    </row>
    <row r="270" spans="2:9">
      <c r="B270" s="70" t="s">
        <v>270</v>
      </c>
      <c r="G270" t="s">
        <v>79</v>
      </c>
      <c r="H270" s="9">
        <v>50.8</v>
      </c>
    </row>
    <row r="271" spans="2:9" ht="15" customHeight="1"/>
    <row r="272" spans="2:9">
      <c r="B272" t="s">
        <v>271</v>
      </c>
    </row>
    <row r="273" spans="2:9">
      <c r="B273" t="s">
        <v>272</v>
      </c>
    </row>
    <row r="274" spans="2:9">
      <c r="B274" t="s">
        <v>273</v>
      </c>
    </row>
    <row r="275" spans="2:9">
      <c r="B275" t="s">
        <v>274</v>
      </c>
    </row>
    <row r="276" spans="2:9">
      <c r="B276" s="134" t="s">
        <v>275</v>
      </c>
      <c r="H276" s="9">
        <v>140</v>
      </c>
      <c r="I276" s="9">
        <v>165</v>
      </c>
    </row>
    <row r="277" spans="2:9">
      <c r="B277" s="134" t="s">
        <v>276</v>
      </c>
      <c r="H277" s="9">
        <v>220</v>
      </c>
      <c r="I277" s="9">
        <v>270</v>
      </c>
    </row>
    <row r="278" spans="2:9">
      <c r="B278" s="134" t="s">
        <v>277</v>
      </c>
      <c r="H278" s="9">
        <v>860</v>
      </c>
      <c r="I278" s="9">
        <v>1050</v>
      </c>
    </row>
    <row r="279" spans="2:9">
      <c r="B279" t="s">
        <v>278</v>
      </c>
    </row>
    <row r="280" spans="2:9">
      <c r="B280" s="134" t="s">
        <v>279</v>
      </c>
      <c r="H280" s="9">
        <v>1125</v>
      </c>
      <c r="I280" s="9">
        <v>1375</v>
      </c>
    </row>
    <row r="281" spans="2:9">
      <c r="B281" t="s">
        <v>280</v>
      </c>
    </row>
    <row r="282" spans="2:9">
      <c r="B282" s="134" t="s">
        <v>281</v>
      </c>
      <c r="H282" s="9">
        <v>205</v>
      </c>
      <c r="I282" s="9">
        <v>250</v>
      </c>
    </row>
    <row r="283" spans="2:9">
      <c r="B283" s="134" t="s">
        <v>282</v>
      </c>
      <c r="H283" s="9">
        <v>210</v>
      </c>
      <c r="I283" s="9">
        <v>255</v>
      </c>
    </row>
    <row r="284" spans="2:9">
      <c r="B284" s="134" t="s">
        <v>283</v>
      </c>
      <c r="H284" s="9">
        <v>420</v>
      </c>
      <c r="I284" s="9">
        <v>510</v>
      </c>
    </row>
    <row r="285" spans="2:9">
      <c r="B285" s="134" t="s">
        <v>284</v>
      </c>
      <c r="H285" s="9">
        <v>640</v>
      </c>
      <c r="I285" s="9">
        <v>770</v>
      </c>
    </row>
    <row r="286" spans="2:9">
      <c r="B286" t="s">
        <v>285</v>
      </c>
      <c r="H286" s="9">
        <v>2650</v>
      </c>
      <c r="I286" s="9">
        <v>3200</v>
      </c>
    </row>
    <row r="287" spans="2:9">
      <c r="B287" t="s">
        <v>286</v>
      </c>
      <c r="H287" s="9">
        <v>640</v>
      </c>
      <c r="I287" s="9">
        <v>770</v>
      </c>
    </row>
    <row r="288" spans="2:9">
      <c r="B288" t="s">
        <v>287</v>
      </c>
      <c r="H288" s="9">
        <v>52</v>
      </c>
      <c r="I288" s="9">
        <v>63</v>
      </c>
    </row>
    <row r="289" spans="2:9">
      <c r="B289" t="s">
        <v>288</v>
      </c>
      <c r="H289" s="9">
        <v>1250</v>
      </c>
      <c r="I289" s="9">
        <v>1525</v>
      </c>
    </row>
  </sheetData>
  <mergeCells count="1">
    <mergeCell ref="B213:E21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69DFD-128B-4C21-B824-9530DC90E94A}">
  <dimension ref="A1:T25"/>
  <sheetViews>
    <sheetView workbookViewId="0">
      <selection activeCell="N8" sqref="N8"/>
    </sheetView>
  </sheetViews>
  <sheetFormatPr defaultRowHeight="15"/>
  <cols>
    <col min="5" max="5" width="11.28515625" customWidth="1"/>
    <col min="7" max="7" width="10.28515625" customWidth="1"/>
    <col min="9" max="9" width="10.85546875" bestFit="1" customWidth="1"/>
  </cols>
  <sheetData>
    <row r="1" spans="1:20">
      <c r="A1" s="295" t="s">
        <v>429</v>
      </c>
      <c r="B1" s="295"/>
      <c r="C1" s="295"/>
      <c r="D1" s="295"/>
      <c r="E1" s="295"/>
      <c r="F1" s="295"/>
      <c r="G1" s="295"/>
      <c r="H1" s="295"/>
      <c r="I1" s="295"/>
      <c r="J1" s="295"/>
      <c r="K1" s="295"/>
      <c r="L1" s="295"/>
      <c r="M1" s="295"/>
    </row>
    <row r="2" spans="1:20">
      <c r="A2" s="296" t="s">
        <v>430</v>
      </c>
      <c r="B2" s="296"/>
      <c r="C2" s="48" t="s">
        <v>431</v>
      </c>
      <c r="D2" s="48" t="s">
        <v>432</v>
      </c>
      <c r="F2" s="295" t="s">
        <v>433</v>
      </c>
      <c r="G2" s="295"/>
      <c r="H2" s="48" t="s">
        <v>434</v>
      </c>
      <c r="I2" s="48" t="s">
        <v>432</v>
      </c>
      <c r="K2" s="295" t="s">
        <v>435</v>
      </c>
      <c r="L2" s="295"/>
      <c r="M2" s="295"/>
    </row>
    <row r="3" spans="1:20" ht="41.25" customHeight="1">
      <c r="A3" s="295" t="s">
        <v>436</v>
      </c>
      <c r="B3" s="295"/>
      <c r="C3" s="48" t="s">
        <v>56</v>
      </c>
      <c r="D3" s="292">
        <v>800</v>
      </c>
      <c r="E3" s="48" t="s">
        <v>437</v>
      </c>
      <c r="F3" s="295" t="s">
        <v>438</v>
      </c>
      <c r="G3" s="295"/>
      <c r="H3" s="48" t="s">
        <v>439</v>
      </c>
      <c r="I3" s="292">
        <v>1200</v>
      </c>
      <c r="J3" s="48" t="s">
        <v>437</v>
      </c>
      <c r="K3" s="294">
        <f>I3-D3</f>
        <v>400</v>
      </c>
      <c r="L3" s="295"/>
      <c r="M3" s="295"/>
      <c r="N3" s="296" t="s">
        <v>440</v>
      </c>
      <c r="O3" s="296"/>
      <c r="P3" s="296"/>
      <c r="Q3" s="296"/>
      <c r="R3" s="296"/>
      <c r="S3" s="296"/>
      <c r="T3" s="296"/>
    </row>
    <row r="4" spans="1:20" ht="43.5" customHeight="1">
      <c r="A4" s="295" t="s">
        <v>441</v>
      </c>
      <c r="B4" s="295"/>
      <c r="C4" s="48" t="s">
        <v>442</v>
      </c>
      <c r="D4" s="292">
        <v>35</v>
      </c>
      <c r="E4" s="48"/>
      <c r="F4" s="295" t="s">
        <v>443</v>
      </c>
      <c r="G4" s="295"/>
      <c r="H4" s="48" t="s">
        <v>79</v>
      </c>
      <c r="I4" s="292">
        <v>30</v>
      </c>
      <c r="K4" s="294">
        <f>D4-I4</f>
        <v>5</v>
      </c>
      <c r="L4" s="295"/>
      <c r="M4" s="295"/>
      <c r="N4" s="296" t="s">
        <v>444</v>
      </c>
      <c r="O4" s="296"/>
      <c r="P4" s="296"/>
      <c r="Q4" s="296"/>
      <c r="R4" s="296"/>
      <c r="S4" s="296"/>
      <c r="T4" s="296"/>
    </row>
    <row r="5" spans="1:20" ht="93" customHeight="1">
      <c r="A5" s="295" t="s">
        <v>445</v>
      </c>
      <c r="B5" s="295"/>
      <c r="C5" s="48" t="s">
        <v>442</v>
      </c>
      <c r="D5" s="292">
        <v>170</v>
      </c>
      <c r="E5" s="48"/>
      <c r="F5" s="295" t="s">
        <v>446</v>
      </c>
      <c r="G5" s="295"/>
      <c r="H5" s="48" t="s">
        <v>79</v>
      </c>
      <c r="I5" s="292">
        <f>30000/105</f>
        <v>285.71428571428572</v>
      </c>
      <c r="K5" s="294">
        <f>I5-D5</f>
        <v>115.71428571428572</v>
      </c>
      <c r="L5" s="295"/>
      <c r="M5" s="295"/>
      <c r="N5" s="296" t="s">
        <v>447</v>
      </c>
      <c r="O5" s="296"/>
      <c r="P5" s="296"/>
      <c r="Q5" s="296"/>
      <c r="R5" s="296"/>
      <c r="S5" s="296"/>
      <c r="T5" s="296"/>
    </row>
    <row r="6" spans="1:20">
      <c r="A6" s="295"/>
      <c r="B6" s="295"/>
      <c r="C6" s="48"/>
      <c r="D6" s="292"/>
      <c r="E6" s="48"/>
      <c r="F6" s="295"/>
      <c r="G6" s="295"/>
      <c r="H6" s="48"/>
      <c r="I6" s="292"/>
      <c r="K6" s="295"/>
      <c r="L6" s="295"/>
      <c r="M6" s="295"/>
      <c r="N6" s="296"/>
      <c r="O6" s="296"/>
      <c r="P6" s="296"/>
      <c r="Q6" s="296"/>
      <c r="R6" s="296"/>
      <c r="S6" s="296"/>
      <c r="T6" s="296"/>
    </row>
    <row r="7" spans="1:20">
      <c r="C7" s="48"/>
      <c r="D7" s="292"/>
      <c r="E7" s="48"/>
      <c r="H7" s="48"/>
      <c r="I7" s="292"/>
    </row>
    <row r="8" spans="1:20">
      <c r="C8" s="48"/>
      <c r="D8" s="292"/>
      <c r="E8" s="48"/>
      <c r="H8" s="48"/>
      <c r="I8" s="292"/>
    </row>
    <row r="9" spans="1:20">
      <c r="C9" s="48"/>
      <c r="D9" s="292"/>
      <c r="E9" s="48"/>
      <c r="H9" s="48"/>
      <c r="I9" s="292"/>
    </row>
    <row r="10" spans="1:20">
      <c r="C10" s="48"/>
      <c r="D10" s="292"/>
      <c r="E10" s="48"/>
      <c r="H10" s="48"/>
      <c r="I10" s="292"/>
    </row>
    <row r="11" spans="1:20">
      <c r="C11" s="48"/>
      <c r="D11" s="292"/>
      <c r="E11" s="48"/>
      <c r="H11" s="48"/>
      <c r="I11" s="292"/>
    </row>
    <row r="12" spans="1:20">
      <c r="C12" s="48"/>
      <c r="D12" s="292"/>
      <c r="E12" s="48"/>
      <c r="H12" s="48"/>
      <c r="I12" s="292"/>
    </row>
    <row r="13" spans="1:20">
      <c r="C13" s="48"/>
      <c r="D13" s="292"/>
      <c r="E13" s="48"/>
      <c r="H13" s="48"/>
      <c r="I13" s="292"/>
    </row>
    <row r="14" spans="1:20">
      <c r="C14" s="48"/>
      <c r="D14" s="292"/>
      <c r="E14" s="48"/>
      <c r="H14" s="48"/>
      <c r="I14" s="292"/>
    </row>
    <row r="15" spans="1:20">
      <c r="C15" s="48"/>
      <c r="D15" s="292"/>
      <c r="E15" s="48"/>
      <c r="H15" s="48"/>
      <c r="I15" s="292"/>
    </row>
    <row r="16" spans="1:20">
      <c r="C16" s="48"/>
      <c r="D16" s="292"/>
      <c r="E16" s="48"/>
      <c r="H16" s="48"/>
      <c r="I16" s="292"/>
    </row>
    <row r="17" spans="3:9">
      <c r="C17" s="48"/>
      <c r="D17" s="292"/>
      <c r="E17" s="48"/>
      <c r="H17" s="48"/>
      <c r="I17" s="292"/>
    </row>
    <row r="18" spans="3:9">
      <c r="C18" s="48"/>
      <c r="D18" s="292"/>
      <c r="E18" s="48"/>
      <c r="H18" s="48"/>
      <c r="I18" s="292"/>
    </row>
    <row r="19" spans="3:9">
      <c r="C19" s="48"/>
      <c r="D19" s="292"/>
      <c r="E19" s="48"/>
      <c r="H19" s="48"/>
      <c r="I19" s="292"/>
    </row>
    <row r="20" spans="3:9">
      <c r="C20" s="48"/>
      <c r="D20" s="292"/>
      <c r="E20" s="48"/>
      <c r="H20" s="48"/>
      <c r="I20" s="292"/>
    </row>
    <row r="21" spans="3:9">
      <c r="C21" s="48"/>
      <c r="D21" s="292"/>
      <c r="E21" s="48"/>
      <c r="H21" s="48"/>
      <c r="I21" s="292"/>
    </row>
    <row r="22" spans="3:9">
      <c r="C22" s="48"/>
      <c r="D22" s="292"/>
      <c r="E22" s="48"/>
      <c r="H22" s="48"/>
      <c r="I22" s="292"/>
    </row>
    <row r="23" spans="3:9">
      <c r="D23" s="11"/>
      <c r="H23" s="48"/>
      <c r="I23" s="292"/>
    </row>
    <row r="24" spans="3:9">
      <c r="I24" s="11"/>
    </row>
    <row r="25" spans="3:9">
      <c r="I25" s="11"/>
    </row>
  </sheetData>
  <mergeCells count="20">
    <mergeCell ref="A1:M1"/>
    <mergeCell ref="A2:B2"/>
    <mergeCell ref="F2:G2"/>
    <mergeCell ref="K2:M2"/>
    <mergeCell ref="A3:B3"/>
    <mergeCell ref="F3:G3"/>
    <mergeCell ref="K3:M3"/>
    <mergeCell ref="A4:B4"/>
    <mergeCell ref="F4:G4"/>
    <mergeCell ref="A5:B5"/>
    <mergeCell ref="F5:G5"/>
    <mergeCell ref="A6:B6"/>
    <mergeCell ref="F6:G6"/>
    <mergeCell ref="K4:M4"/>
    <mergeCell ref="K5:M5"/>
    <mergeCell ref="K6:M6"/>
    <mergeCell ref="N3:T3"/>
    <mergeCell ref="N4:T4"/>
    <mergeCell ref="N5:T5"/>
    <mergeCell ref="N6:T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4395-F6F0-406B-A298-73C5A78564AE}">
  <dimension ref="A1:S94"/>
  <sheetViews>
    <sheetView workbookViewId="0">
      <selection activeCell="F21" sqref="F21"/>
    </sheetView>
  </sheetViews>
  <sheetFormatPr defaultRowHeight="15"/>
  <cols>
    <col min="9" max="12" width="18.7109375" customWidth="1"/>
  </cols>
  <sheetData>
    <row r="1" spans="1:19">
      <c r="A1" s="167"/>
      <c r="B1" s="167"/>
      <c r="C1" s="167"/>
      <c r="D1" s="167"/>
      <c r="E1" s="167"/>
      <c r="F1" s="167"/>
      <c r="G1" s="167"/>
      <c r="H1" s="167"/>
      <c r="I1" s="167"/>
      <c r="J1" s="167"/>
      <c r="K1" s="167"/>
      <c r="L1" s="167"/>
      <c r="M1" s="167"/>
      <c r="N1" s="167"/>
      <c r="O1" s="167"/>
      <c r="P1" s="167"/>
      <c r="Q1" s="167"/>
      <c r="R1" s="167"/>
      <c r="S1" s="167"/>
    </row>
    <row r="2" spans="1:19">
      <c r="A2" s="167"/>
      <c r="B2" s="167"/>
      <c r="C2" s="167"/>
      <c r="D2" s="167"/>
      <c r="E2" s="167"/>
      <c r="F2" s="167"/>
      <c r="G2" s="167"/>
      <c r="H2" s="167"/>
      <c r="I2" s="167"/>
      <c r="J2" s="167"/>
      <c r="K2" s="167"/>
      <c r="L2" s="167"/>
      <c r="M2" s="167"/>
      <c r="N2" s="167"/>
      <c r="O2" s="167"/>
      <c r="P2" s="167"/>
      <c r="Q2" s="167"/>
      <c r="R2" s="167"/>
      <c r="S2" s="167"/>
    </row>
    <row r="3" spans="1:19">
      <c r="A3" s="167"/>
      <c r="B3" s="167" t="s">
        <v>448</v>
      </c>
      <c r="C3" s="167"/>
      <c r="D3" s="167"/>
      <c r="E3" s="167"/>
      <c r="F3" s="167"/>
      <c r="G3" s="167"/>
      <c r="H3" s="167"/>
      <c r="I3" s="167"/>
      <c r="J3" s="167"/>
      <c r="K3" s="167"/>
      <c r="L3" s="167"/>
      <c r="M3" s="167"/>
      <c r="N3" s="167"/>
      <c r="O3" s="167"/>
      <c r="P3" s="167"/>
      <c r="Q3" s="167"/>
      <c r="R3" s="167"/>
      <c r="S3" s="167"/>
    </row>
    <row r="4" spans="1:19">
      <c r="A4" s="167"/>
      <c r="B4" s="167"/>
      <c r="C4" s="167"/>
      <c r="D4" s="167"/>
      <c r="E4" s="167"/>
      <c r="F4" s="167"/>
      <c r="G4" s="167"/>
      <c r="H4" s="167"/>
      <c r="I4" s="167"/>
      <c r="J4" s="167"/>
      <c r="K4" s="167"/>
      <c r="L4" s="167"/>
      <c r="M4" s="167"/>
      <c r="N4" s="167"/>
      <c r="O4" s="167"/>
      <c r="P4" s="167"/>
      <c r="Q4" s="167"/>
      <c r="R4" s="167"/>
      <c r="S4" s="167"/>
    </row>
    <row r="5" spans="1:19">
      <c r="A5" s="167"/>
      <c r="B5" s="297" t="s">
        <v>449</v>
      </c>
      <c r="C5" s="298"/>
      <c r="D5" s="298"/>
      <c r="E5" s="298"/>
      <c r="F5" s="298"/>
      <c r="G5" s="298"/>
      <c r="H5" s="298"/>
      <c r="I5" s="298"/>
      <c r="J5" s="298"/>
      <c r="K5" s="298"/>
      <c r="L5" s="299"/>
      <c r="M5" s="167"/>
      <c r="N5" s="167"/>
      <c r="O5" s="167"/>
      <c r="P5" s="167"/>
      <c r="Q5" s="167"/>
      <c r="R5" s="167"/>
      <c r="S5" s="167"/>
    </row>
    <row r="6" spans="1:19">
      <c r="A6" s="167"/>
      <c r="B6" s="300" t="s">
        <v>450</v>
      </c>
      <c r="C6" s="302" t="s">
        <v>451</v>
      </c>
      <c r="D6" s="303"/>
      <c r="E6" s="303"/>
      <c r="F6" s="303"/>
      <c r="G6" s="303"/>
      <c r="H6" s="304"/>
      <c r="I6" s="300" t="s">
        <v>431</v>
      </c>
      <c r="J6" s="308" t="s">
        <v>452</v>
      </c>
      <c r="K6" s="300" t="s">
        <v>453</v>
      </c>
      <c r="L6" s="300" t="s">
        <v>454</v>
      </c>
      <c r="M6" s="167"/>
      <c r="N6" s="167"/>
      <c r="O6" s="167"/>
      <c r="P6" s="167"/>
      <c r="Q6" s="167"/>
      <c r="R6" s="167"/>
      <c r="S6" s="167"/>
    </row>
    <row r="7" spans="1:19">
      <c r="A7" s="167"/>
      <c r="B7" s="301"/>
      <c r="C7" s="305"/>
      <c r="D7" s="306"/>
      <c r="E7" s="306"/>
      <c r="F7" s="306"/>
      <c r="G7" s="306"/>
      <c r="H7" s="307"/>
      <c r="I7" s="301"/>
      <c r="J7" s="305"/>
      <c r="K7" s="301"/>
      <c r="L7" s="301"/>
      <c r="M7" s="167"/>
      <c r="N7" s="167"/>
      <c r="O7" s="167"/>
      <c r="P7" s="167"/>
      <c r="Q7" s="167"/>
      <c r="R7" s="167"/>
      <c r="S7" s="167"/>
    </row>
    <row r="8" spans="1:19">
      <c r="A8" s="167"/>
      <c r="B8" s="170" t="s">
        <v>96</v>
      </c>
      <c r="C8" s="171" t="s">
        <v>455</v>
      </c>
      <c r="D8" s="172"/>
      <c r="E8" s="172"/>
      <c r="F8" s="172"/>
      <c r="G8" s="167"/>
      <c r="H8" s="173" t="s">
        <v>96</v>
      </c>
      <c r="I8" s="167"/>
      <c r="J8" s="174" t="s">
        <v>96</v>
      </c>
      <c r="K8" s="173" t="s">
        <v>96</v>
      </c>
      <c r="L8" s="173" t="s">
        <v>96</v>
      </c>
      <c r="M8" s="167"/>
      <c r="N8" s="167"/>
      <c r="O8" s="167"/>
      <c r="P8" s="167"/>
      <c r="Q8" s="167"/>
      <c r="R8" s="167"/>
      <c r="S8" s="167"/>
    </row>
    <row r="9" spans="1:19">
      <c r="A9" s="167"/>
      <c r="B9" s="170" t="s">
        <v>96</v>
      </c>
      <c r="C9" s="171" t="s">
        <v>456</v>
      </c>
      <c r="D9" s="167"/>
      <c r="E9" s="167"/>
      <c r="F9" s="167"/>
      <c r="G9" s="167"/>
      <c r="H9" s="173" t="s">
        <v>96</v>
      </c>
      <c r="I9" s="167"/>
      <c r="J9" s="174" t="s">
        <v>96</v>
      </c>
      <c r="K9" s="173" t="s">
        <v>96</v>
      </c>
      <c r="L9" s="173" t="s">
        <v>96</v>
      </c>
      <c r="M9" s="167"/>
      <c r="N9" s="167"/>
      <c r="O9" s="167"/>
      <c r="P9" s="167"/>
      <c r="Q9" s="167"/>
      <c r="R9" s="167"/>
      <c r="S9" s="167"/>
    </row>
    <row r="10" spans="1:19">
      <c r="A10" s="167"/>
      <c r="B10" s="167"/>
      <c r="C10" s="170" t="s">
        <v>96</v>
      </c>
      <c r="D10" s="167"/>
      <c r="E10" s="167"/>
      <c r="F10" s="167"/>
      <c r="G10" s="167"/>
      <c r="H10" s="173" t="s">
        <v>96</v>
      </c>
      <c r="I10" s="167"/>
      <c r="J10" s="174" t="s">
        <v>96</v>
      </c>
      <c r="K10" s="173" t="s">
        <v>96</v>
      </c>
      <c r="L10" s="173" t="s">
        <v>96</v>
      </c>
      <c r="M10" s="167"/>
      <c r="N10" s="167"/>
      <c r="O10" s="167"/>
      <c r="P10" s="167"/>
      <c r="Q10" s="167"/>
      <c r="R10" s="167"/>
      <c r="S10" s="167"/>
    </row>
    <row r="11" spans="1:19">
      <c r="A11" s="167"/>
      <c r="B11" s="167"/>
      <c r="C11" s="175" t="s">
        <v>457</v>
      </c>
      <c r="D11" s="176"/>
      <c r="E11" s="176"/>
      <c r="F11" s="167"/>
      <c r="G11" s="167"/>
      <c r="H11" s="173" t="s">
        <v>96</v>
      </c>
      <c r="I11" s="167"/>
      <c r="J11" s="174" t="s">
        <v>96</v>
      </c>
      <c r="K11" s="173" t="s">
        <v>96</v>
      </c>
      <c r="L11" s="173" t="s">
        <v>96</v>
      </c>
      <c r="M11" s="167"/>
      <c r="N11" s="167"/>
      <c r="O11" s="167"/>
      <c r="P11" s="167"/>
      <c r="Q11" s="167"/>
      <c r="R11" s="167"/>
      <c r="S11" s="167"/>
    </row>
    <row r="12" spans="1:19">
      <c r="A12" s="167"/>
      <c r="B12" s="167"/>
      <c r="C12" s="175" t="s">
        <v>96</v>
      </c>
      <c r="D12" s="167"/>
      <c r="E12" s="167"/>
      <c r="F12" s="167"/>
      <c r="G12" s="167"/>
      <c r="H12" s="173" t="s">
        <v>96</v>
      </c>
      <c r="I12" s="167"/>
      <c r="J12" s="174" t="s">
        <v>96</v>
      </c>
      <c r="K12" s="173" t="s">
        <v>96</v>
      </c>
      <c r="L12" s="173" t="s">
        <v>96</v>
      </c>
      <c r="M12" s="167"/>
      <c r="N12" s="167"/>
      <c r="O12" s="167"/>
      <c r="P12" s="167"/>
      <c r="Q12" s="167"/>
      <c r="R12" s="167"/>
      <c r="S12" s="167"/>
    </row>
    <row r="13" spans="1:19">
      <c r="A13" s="167"/>
      <c r="B13" s="167">
        <v>1.1000000000000001</v>
      </c>
      <c r="C13" s="175" t="s">
        <v>458</v>
      </c>
      <c r="D13" s="176"/>
      <c r="E13" s="176"/>
      <c r="F13" s="167"/>
      <c r="G13" s="167"/>
      <c r="H13" s="173" t="s">
        <v>96</v>
      </c>
      <c r="I13" s="167"/>
      <c r="J13" s="174" t="s">
        <v>96</v>
      </c>
      <c r="K13" s="173" t="s">
        <v>96</v>
      </c>
      <c r="L13" s="173" t="s">
        <v>96</v>
      </c>
      <c r="M13" s="167"/>
      <c r="N13" s="167"/>
      <c r="O13" s="167"/>
      <c r="P13" s="167"/>
      <c r="Q13" s="167"/>
      <c r="R13" s="167"/>
      <c r="S13" s="167"/>
    </row>
    <row r="14" spans="1:19">
      <c r="A14" s="167"/>
      <c r="B14" s="167"/>
      <c r="C14" s="175" t="s">
        <v>96</v>
      </c>
      <c r="D14" s="167"/>
      <c r="E14" s="167"/>
      <c r="F14" s="167"/>
      <c r="G14" s="167"/>
      <c r="H14" s="173" t="s">
        <v>96</v>
      </c>
      <c r="I14" s="167"/>
      <c r="J14" s="174" t="s">
        <v>96</v>
      </c>
      <c r="K14" s="173" t="s">
        <v>96</v>
      </c>
      <c r="L14" s="173" t="s">
        <v>96</v>
      </c>
      <c r="M14" s="167"/>
      <c r="N14" s="167"/>
      <c r="O14" s="167"/>
      <c r="P14" s="167"/>
      <c r="Q14" s="167"/>
      <c r="R14" s="167"/>
      <c r="S14" s="167"/>
    </row>
    <row r="15" spans="1:19">
      <c r="A15" s="167"/>
      <c r="B15" s="172" t="s">
        <v>459</v>
      </c>
      <c r="C15" s="171" t="s">
        <v>460</v>
      </c>
      <c r="D15" s="172"/>
      <c r="E15" s="172"/>
      <c r="F15" s="167"/>
      <c r="G15" s="167"/>
      <c r="H15" s="173" t="s">
        <v>96</v>
      </c>
      <c r="I15" s="167"/>
      <c r="J15" s="174" t="s">
        <v>96</v>
      </c>
      <c r="K15" s="173" t="s">
        <v>96</v>
      </c>
      <c r="L15" s="173" t="s">
        <v>96</v>
      </c>
      <c r="M15" s="167"/>
      <c r="N15" s="167"/>
      <c r="O15" s="167"/>
      <c r="P15" s="167"/>
      <c r="Q15" s="167"/>
      <c r="R15" s="167"/>
      <c r="S15" s="167"/>
    </row>
    <row r="16" spans="1:19">
      <c r="A16" s="167"/>
      <c r="B16" s="167" t="s">
        <v>461</v>
      </c>
      <c r="C16" s="170" t="s">
        <v>460</v>
      </c>
      <c r="D16" s="167"/>
      <c r="E16" s="167"/>
      <c r="F16" s="167"/>
      <c r="G16" s="167"/>
      <c r="H16" s="173" t="s">
        <v>96</v>
      </c>
      <c r="I16" s="167" t="s">
        <v>121</v>
      </c>
      <c r="J16" s="174" t="s">
        <v>462</v>
      </c>
      <c r="K16" s="173" t="s">
        <v>96</v>
      </c>
      <c r="L16" s="173" t="s">
        <v>96</v>
      </c>
      <c r="M16" s="167"/>
      <c r="N16" s="167"/>
      <c r="O16" s="167"/>
      <c r="P16" s="167"/>
      <c r="Q16" s="167"/>
      <c r="R16" s="167"/>
      <c r="S16" s="167"/>
    </row>
    <row r="17" spans="1:19">
      <c r="A17" s="167"/>
      <c r="B17" s="167"/>
      <c r="C17" s="171" t="s">
        <v>463</v>
      </c>
      <c r="D17" s="172"/>
      <c r="E17" s="172"/>
      <c r="F17" s="167"/>
      <c r="G17" s="167"/>
      <c r="H17" s="173" t="s">
        <v>96</v>
      </c>
      <c r="I17" s="167"/>
      <c r="J17" s="174" t="s">
        <v>96</v>
      </c>
      <c r="K17" s="173" t="s">
        <v>96</v>
      </c>
      <c r="L17" s="173" t="s">
        <v>96</v>
      </c>
      <c r="M17" s="167"/>
      <c r="N17" s="167"/>
      <c r="O17" s="167"/>
      <c r="P17" s="167"/>
      <c r="Q17" s="167"/>
      <c r="R17" s="167"/>
      <c r="S17" s="167"/>
    </row>
    <row r="18" spans="1:19">
      <c r="A18" s="167"/>
      <c r="B18" s="167"/>
      <c r="C18" s="170" t="s">
        <v>464</v>
      </c>
      <c r="D18" s="167"/>
      <c r="E18" s="167"/>
      <c r="F18" s="167"/>
      <c r="G18" s="167"/>
      <c r="H18" s="173" t="s">
        <v>96</v>
      </c>
      <c r="I18" s="167" t="s">
        <v>465</v>
      </c>
      <c r="J18" s="174">
        <v>66</v>
      </c>
      <c r="K18" s="173" t="s">
        <v>466</v>
      </c>
      <c r="L18" s="173" t="s">
        <v>467</v>
      </c>
      <c r="M18" s="167"/>
      <c r="N18" s="167"/>
      <c r="O18" s="167"/>
      <c r="P18" s="167"/>
      <c r="Q18" s="167"/>
      <c r="R18" s="167"/>
      <c r="S18" s="167"/>
    </row>
    <row r="19" spans="1:19">
      <c r="A19" s="167"/>
      <c r="B19" s="167"/>
      <c r="C19" s="170" t="s">
        <v>96</v>
      </c>
      <c r="D19" s="167"/>
      <c r="E19" s="167"/>
      <c r="F19" s="167"/>
      <c r="G19" s="167"/>
      <c r="H19" s="173" t="s">
        <v>96</v>
      </c>
      <c r="I19" s="167"/>
      <c r="J19" s="174" t="s">
        <v>96</v>
      </c>
      <c r="K19" s="173" t="s">
        <v>96</v>
      </c>
      <c r="L19" s="173" t="s">
        <v>96</v>
      </c>
      <c r="M19" s="167"/>
      <c r="N19" s="167"/>
      <c r="O19" s="167"/>
      <c r="P19" s="167"/>
      <c r="Q19" s="167"/>
      <c r="R19" s="167"/>
      <c r="S19" s="167"/>
    </row>
    <row r="20" spans="1:19">
      <c r="A20" s="167"/>
      <c r="B20" s="167"/>
      <c r="C20" s="171" t="s">
        <v>468</v>
      </c>
      <c r="D20" s="172"/>
      <c r="E20" s="172"/>
      <c r="F20" s="167"/>
      <c r="G20" s="167"/>
      <c r="H20" s="173" t="s">
        <v>96</v>
      </c>
      <c r="I20" s="167"/>
      <c r="J20" s="174" t="s">
        <v>96</v>
      </c>
      <c r="K20" s="173" t="s">
        <v>96</v>
      </c>
      <c r="L20" s="173" t="s">
        <v>96</v>
      </c>
      <c r="M20" s="167"/>
      <c r="N20" s="167"/>
      <c r="O20" s="167"/>
      <c r="P20" s="167"/>
      <c r="Q20" s="167"/>
      <c r="R20" s="167"/>
      <c r="S20" s="167"/>
    </row>
    <row r="21" spans="1:19">
      <c r="A21" s="167"/>
      <c r="B21" s="167"/>
      <c r="C21" s="170" t="s">
        <v>469</v>
      </c>
      <c r="D21" s="167"/>
      <c r="E21" s="167"/>
      <c r="F21" s="167"/>
      <c r="G21" s="167"/>
      <c r="H21" s="173" t="s">
        <v>96</v>
      </c>
      <c r="I21" s="167" t="s">
        <v>465</v>
      </c>
      <c r="J21" s="174">
        <v>66</v>
      </c>
      <c r="K21" s="173" t="s">
        <v>470</v>
      </c>
      <c r="L21" s="173" t="s">
        <v>471</v>
      </c>
      <c r="M21" s="167"/>
      <c r="N21" s="167"/>
      <c r="O21" s="167"/>
      <c r="P21" s="167"/>
      <c r="Q21" s="167"/>
      <c r="R21" s="167"/>
      <c r="S21" s="167"/>
    </row>
    <row r="22" spans="1:19">
      <c r="A22" s="167"/>
      <c r="B22" s="167"/>
      <c r="C22" s="170" t="s">
        <v>96</v>
      </c>
      <c r="D22" s="167"/>
      <c r="E22" s="167"/>
      <c r="F22" s="167"/>
      <c r="G22" s="167"/>
      <c r="H22" s="173" t="s">
        <v>96</v>
      </c>
      <c r="I22" s="167"/>
      <c r="J22" s="174" t="s">
        <v>96</v>
      </c>
      <c r="K22" s="173" t="s">
        <v>96</v>
      </c>
      <c r="L22" s="173" t="s">
        <v>96</v>
      </c>
      <c r="M22" s="167"/>
      <c r="N22" s="167"/>
      <c r="O22" s="167"/>
      <c r="P22" s="167"/>
      <c r="Q22" s="167"/>
      <c r="R22" s="167"/>
      <c r="S22" s="167"/>
    </row>
    <row r="23" spans="1:19">
      <c r="A23" s="167"/>
      <c r="B23" s="167"/>
      <c r="C23" s="171" t="s">
        <v>472</v>
      </c>
      <c r="D23" s="172"/>
      <c r="E23" s="172"/>
      <c r="F23" s="167"/>
      <c r="G23" s="167"/>
      <c r="H23" s="173" t="s">
        <v>96</v>
      </c>
      <c r="I23" s="167"/>
      <c r="J23" s="174" t="s">
        <v>96</v>
      </c>
      <c r="K23" s="173" t="s">
        <v>96</v>
      </c>
      <c r="L23" s="173" t="s">
        <v>96</v>
      </c>
      <c r="M23" s="167"/>
      <c r="N23" s="167"/>
      <c r="O23" s="167"/>
      <c r="P23" s="167"/>
      <c r="Q23" s="167"/>
      <c r="R23" s="167"/>
      <c r="S23" s="167"/>
    </row>
    <row r="24" spans="1:19">
      <c r="A24" s="167"/>
      <c r="B24" s="167"/>
      <c r="C24" s="170" t="s">
        <v>473</v>
      </c>
      <c r="D24" s="167"/>
      <c r="E24" s="167"/>
      <c r="F24" s="167"/>
      <c r="G24" s="167"/>
      <c r="H24" s="173" t="s">
        <v>96</v>
      </c>
      <c r="I24" s="167" t="s">
        <v>465</v>
      </c>
      <c r="J24" s="174">
        <v>66</v>
      </c>
      <c r="K24" s="173" t="s">
        <v>474</v>
      </c>
      <c r="L24" s="173" t="s">
        <v>475</v>
      </c>
      <c r="M24" s="167"/>
      <c r="N24" s="167"/>
      <c r="O24" s="167"/>
      <c r="P24" s="167"/>
      <c r="Q24" s="167"/>
      <c r="R24" s="167"/>
      <c r="S24" s="167"/>
    </row>
    <row r="25" spans="1:19">
      <c r="A25" s="167"/>
      <c r="B25" s="167"/>
      <c r="C25" s="170" t="s">
        <v>476</v>
      </c>
      <c r="D25" s="167"/>
      <c r="E25" s="167"/>
      <c r="F25" s="167"/>
      <c r="G25" s="167"/>
      <c r="H25" s="173" t="s">
        <v>477</v>
      </c>
      <c r="I25" s="167" t="s">
        <v>465</v>
      </c>
      <c r="J25" s="174">
        <v>66</v>
      </c>
      <c r="K25" s="173" t="s">
        <v>478</v>
      </c>
      <c r="L25" s="173" t="s">
        <v>479</v>
      </c>
      <c r="M25" s="167"/>
      <c r="N25" s="167"/>
      <c r="O25" s="167"/>
      <c r="P25" s="167"/>
      <c r="Q25" s="167"/>
      <c r="R25" s="167"/>
      <c r="S25" s="167"/>
    </row>
    <row r="26" spans="1:19">
      <c r="A26" s="167"/>
      <c r="B26" s="167"/>
      <c r="C26" s="170" t="s">
        <v>480</v>
      </c>
      <c r="D26" s="167"/>
      <c r="E26" s="167"/>
      <c r="F26" s="167"/>
      <c r="G26" s="167"/>
      <c r="H26" s="173" t="s">
        <v>96</v>
      </c>
      <c r="I26" s="167" t="s">
        <v>465</v>
      </c>
      <c r="J26" s="174">
        <v>66</v>
      </c>
      <c r="K26" s="173" t="s">
        <v>474</v>
      </c>
      <c r="L26" s="173" t="s">
        <v>475</v>
      </c>
      <c r="M26" s="167"/>
      <c r="N26" s="167"/>
      <c r="O26" s="167"/>
      <c r="P26" s="167"/>
      <c r="Q26" s="167"/>
      <c r="R26" s="167"/>
      <c r="S26" s="167"/>
    </row>
    <row r="27" spans="1:19">
      <c r="A27" s="167"/>
      <c r="B27" s="167"/>
      <c r="C27" s="170" t="s">
        <v>481</v>
      </c>
      <c r="D27" s="167"/>
      <c r="E27" s="167"/>
      <c r="F27" s="167"/>
      <c r="G27" s="167"/>
      <c r="H27" s="173" t="s">
        <v>96</v>
      </c>
      <c r="I27" s="167" t="s">
        <v>465</v>
      </c>
      <c r="J27" s="174">
        <v>66</v>
      </c>
      <c r="K27" s="173" t="s">
        <v>482</v>
      </c>
      <c r="L27" s="173" t="s">
        <v>483</v>
      </c>
      <c r="M27" s="167"/>
      <c r="N27" s="167"/>
      <c r="O27" s="167"/>
      <c r="P27" s="167"/>
      <c r="Q27" s="167"/>
      <c r="R27" s="167"/>
      <c r="S27" s="167"/>
    </row>
    <row r="28" spans="1:19">
      <c r="A28" s="167"/>
      <c r="B28" s="167"/>
      <c r="C28" s="170" t="s">
        <v>96</v>
      </c>
      <c r="D28" s="167"/>
      <c r="E28" s="167"/>
      <c r="F28" s="167"/>
      <c r="G28" s="167"/>
      <c r="H28" s="173" t="s">
        <v>96</v>
      </c>
      <c r="I28" s="167"/>
      <c r="J28" s="174" t="s">
        <v>96</v>
      </c>
      <c r="K28" s="173" t="s">
        <v>96</v>
      </c>
      <c r="L28" s="173" t="s">
        <v>96</v>
      </c>
      <c r="M28" s="167"/>
      <c r="N28" s="167"/>
      <c r="O28" s="167"/>
      <c r="P28" s="167"/>
      <c r="Q28" s="167"/>
      <c r="R28" s="167"/>
      <c r="S28" s="167"/>
    </row>
    <row r="29" spans="1:19">
      <c r="A29" s="167"/>
      <c r="B29" s="167"/>
      <c r="C29" s="170" t="s">
        <v>96</v>
      </c>
      <c r="D29" s="167"/>
      <c r="E29" s="167"/>
      <c r="F29" s="167"/>
      <c r="G29" s="167"/>
      <c r="H29" s="173" t="s">
        <v>96</v>
      </c>
      <c r="I29" s="167"/>
      <c r="J29" s="174" t="s">
        <v>96</v>
      </c>
      <c r="K29" s="173" t="s">
        <v>96</v>
      </c>
      <c r="L29" s="173" t="s">
        <v>96</v>
      </c>
      <c r="M29" s="167"/>
      <c r="N29" s="167"/>
      <c r="O29" s="167"/>
      <c r="P29" s="167"/>
      <c r="Q29" s="167"/>
      <c r="R29" s="167"/>
      <c r="S29" s="167"/>
    </row>
    <row r="30" spans="1:19">
      <c r="A30" s="167"/>
      <c r="B30" s="167"/>
      <c r="C30" s="170" t="s">
        <v>96</v>
      </c>
      <c r="D30" s="167"/>
      <c r="E30" s="167"/>
      <c r="F30" s="167"/>
      <c r="G30" s="167"/>
      <c r="H30" s="173" t="s">
        <v>96</v>
      </c>
      <c r="I30" s="167"/>
      <c r="J30" s="174" t="s">
        <v>96</v>
      </c>
      <c r="K30" s="173" t="s">
        <v>96</v>
      </c>
      <c r="L30" s="173" t="s">
        <v>96</v>
      </c>
      <c r="M30" s="167"/>
      <c r="N30" s="167"/>
      <c r="O30" s="167"/>
      <c r="P30" s="167"/>
      <c r="Q30" s="167"/>
      <c r="R30" s="167"/>
      <c r="S30" s="167"/>
    </row>
    <row r="31" spans="1:19">
      <c r="A31" s="167"/>
      <c r="B31" s="167"/>
      <c r="C31" s="170" t="s">
        <v>96</v>
      </c>
      <c r="D31" s="167"/>
      <c r="E31" s="167"/>
      <c r="F31" s="167"/>
      <c r="G31" s="167"/>
      <c r="H31" s="173" t="s">
        <v>96</v>
      </c>
      <c r="I31" s="167"/>
      <c r="J31" s="174" t="s">
        <v>96</v>
      </c>
      <c r="K31" s="173" t="s">
        <v>96</v>
      </c>
      <c r="L31" s="173" t="s">
        <v>96</v>
      </c>
      <c r="M31" s="167"/>
      <c r="N31" s="167"/>
      <c r="O31" s="167"/>
      <c r="P31" s="167"/>
      <c r="Q31" s="167"/>
      <c r="R31" s="167"/>
      <c r="S31" s="167"/>
    </row>
    <row r="32" spans="1:19">
      <c r="A32" s="167"/>
      <c r="B32" s="167" t="s">
        <v>484</v>
      </c>
      <c r="C32" s="170" t="s">
        <v>485</v>
      </c>
      <c r="D32" s="167"/>
      <c r="E32" s="167"/>
      <c r="F32" s="167"/>
      <c r="G32" s="167"/>
      <c r="H32" s="173" t="s">
        <v>96</v>
      </c>
      <c r="I32" s="167" t="s">
        <v>121</v>
      </c>
      <c r="J32" s="174" t="s">
        <v>462</v>
      </c>
      <c r="K32" s="173" t="s">
        <v>96</v>
      </c>
      <c r="L32" s="173" t="s">
        <v>96</v>
      </c>
      <c r="M32" s="167"/>
      <c r="N32" s="167"/>
      <c r="O32" s="167"/>
      <c r="P32" s="167"/>
      <c r="Q32" s="167"/>
      <c r="R32" s="167"/>
      <c r="S32" s="167"/>
    </row>
    <row r="33" spans="1:19">
      <c r="A33" s="167"/>
      <c r="B33" s="167" t="s">
        <v>486</v>
      </c>
      <c r="C33" s="177" t="s">
        <v>487</v>
      </c>
      <c r="D33" s="167"/>
      <c r="E33" s="167"/>
      <c r="F33" s="167"/>
      <c r="G33" s="167"/>
      <c r="H33" s="167"/>
      <c r="I33" s="167" t="s">
        <v>121</v>
      </c>
      <c r="J33" s="174" t="s">
        <v>462</v>
      </c>
      <c r="K33" s="173" t="s">
        <v>96</v>
      </c>
      <c r="L33" s="173" t="s">
        <v>96</v>
      </c>
      <c r="M33" s="167"/>
      <c r="N33" s="167"/>
      <c r="O33" s="167"/>
      <c r="P33" s="167"/>
      <c r="Q33" s="167"/>
      <c r="R33" s="167"/>
      <c r="S33" s="167"/>
    </row>
    <row r="34" spans="1:19">
      <c r="A34" s="167"/>
      <c r="B34" s="167" t="s">
        <v>488</v>
      </c>
      <c r="C34" s="170" t="s">
        <v>489</v>
      </c>
      <c r="D34" s="167"/>
      <c r="E34" s="167"/>
      <c r="F34" s="167"/>
      <c r="G34" s="167"/>
      <c r="H34" s="173" t="s">
        <v>96</v>
      </c>
      <c r="I34" s="167" t="s">
        <v>465</v>
      </c>
      <c r="J34" s="174" t="s">
        <v>96</v>
      </c>
      <c r="K34" s="173" t="s">
        <v>96</v>
      </c>
      <c r="L34" s="173" t="s">
        <v>96</v>
      </c>
      <c r="M34" s="167"/>
      <c r="N34" s="167"/>
      <c r="O34" s="167"/>
      <c r="P34" s="167"/>
      <c r="Q34" s="167"/>
      <c r="R34" s="167"/>
      <c r="S34" s="167"/>
    </row>
    <row r="35" spans="1:19">
      <c r="A35" s="167"/>
      <c r="B35" s="167" t="s">
        <v>490</v>
      </c>
      <c r="C35" s="170" t="s">
        <v>491</v>
      </c>
      <c r="D35" s="167"/>
      <c r="E35" s="167"/>
      <c r="F35" s="167"/>
      <c r="G35" s="167"/>
      <c r="H35" s="173" t="s">
        <v>96</v>
      </c>
      <c r="I35" s="167" t="s">
        <v>465</v>
      </c>
      <c r="J35" s="174" t="s">
        <v>96</v>
      </c>
      <c r="K35" s="173" t="s">
        <v>96</v>
      </c>
      <c r="L35" s="173" t="s">
        <v>96</v>
      </c>
      <c r="M35" s="167"/>
      <c r="N35" s="167"/>
      <c r="O35" s="167"/>
      <c r="P35" s="167"/>
      <c r="Q35" s="167"/>
      <c r="R35" s="167"/>
      <c r="S35" s="167"/>
    </row>
    <row r="36" spans="1:19">
      <c r="A36" s="167"/>
      <c r="B36" s="167" t="s">
        <v>492</v>
      </c>
      <c r="C36" s="170" t="s">
        <v>493</v>
      </c>
      <c r="D36" s="167"/>
      <c r="E36" s="167"/>
      <c r="F36" s="167"/>
      <c r="G36" s="167"/>
      <c r="H36" s="173" t="s">
        <v>96</v>
      </c>
      <c r="I36" s="167" t="s">
        <v>465</v>
      </c>
      <c r="J36" s="174" t="s">
        <v>96</v>
      </c>
      <c r="K36" s="173" t="s">
        <v>96</v>
      </c>
      <c r="L36" s="173" t="s">
        <v>96</v>
      </c>
      <c r="M36" s="167"/>
      <c r="N36" s="167"/>
      <c r="O36" s="167"/>
      <c r="P36" s="167"/>
      <c r="Q36" s="167"/>
      <c r="R36" s="167"/>
      <c r="S36" s="167"/>
    </row>
    <row r="37" spans="1:19">
      <c r="A37" s="167"/>
      <c r="B37" s="167" t="s">
        <v>494</v>
      </c>
      <c r="C37" s="170" t="s">
        <v>495</v>
      </c>
      <c r="D37" s="167"/>
      <c r="E37" s="167"/>
      <c r="F37" s="167"/>
      <c r="G37" s="167"/>
      <c r="H37" s="173" t="s">
        <v>96</v>
      </c>
      <c r="I37" s="167"/>
      <c r="J37" s="174" t="s">
        <v>96</v>
      </c>
      <c r="K37" s="173" t="s">
        <v>96</v>
      </c>
      <c r="L37" s="173" t="s">
        <v>96</v>
      </c>
      <c r="M37" s="167"/>
      <c r="N37" s="167"/>
      <c r="O37" s="167"/>
      <c r="P37" s="167"/>
      <c r="Q37" s="167"/>
      <c r="R37" s="167"/>
      <c r="S37" s="167"/>
    </row>
    <row r="38" spans="1:19">
      <c r="A38" s="167"/>
      <c r="B38" s="167"/>
      <c r="C38" s="170" t="s">
        <v>96</v>
      </c>
      <c r="D38" s="167"/>
      <c r="E38" s="167"/>
      <c r="F38" s="167"/>
      <c r="G38" s="167"/>
      <c r="H38" s="173" t="s">
        <v>96</v>
      </c>
      <c r="I38" s="167"/>
      <c r="J38" s="174" t="s">
        <v>96</v>
      </c>
      <c r="K38" s="173" t="s">
        <v>96</v>
      </c>
      <c r="L38" s="173" t="s">
        <v>96</v>
      </c>
      <c r="M38" s="167"/>
      <c r="N38" s="167"/>
      <c r="O38" s="167"/>
      <c r="P38" s="167"/>
      <c r="Q38" s="167"/>
      <c r="R38" s="167"/>
      <c r="S38" s="167"/>
    </row>
    <row r="39" spans="1:19">
      <c r="A39" s="167"/>
      <c r="B39" s="167" t="s">
        <v>496</v>
      </c>
      <c r="C39" s="170" t="s">
        <v>497</v>
      </c>
      <c r="D39" s="167"/>
      <c r="E39" s="167"/>
      <c r="F39" s="167"/>
      <c r="G39" s="167"/>
      <c r="H39" s="173" t="s">
        <v>96</v>
      </c>
      <c r="I39" s="167" t="s">
        <v>121</v>
      </c>
      <c r="J39" s="174" t="s">
        <v>462</v>
      </c>
      <c r="K39" s="173" t="s">
        <v>96</v>
      </c>
      <c r="L39" s="173" t="s">
        <v>96</v>
      </c>
      <c r="M39" s="167"/>
      <c r="N39" s="167"/>
      <c r="O39" s="167"/>
      <c r="P39" s="167"/>
      <c r="Q39" s="167"/>
      <c r="R39" s="167"/>
      <c r="S39" s="167"/>
    </row>
    <row r="40" spans="1:19">
      <c r="A40" s="167"/>
      <c r="B40" s="167"/>
      <c r="C40" s="170" t="s">
        <v>498</v>
      </c>
      <c r="D40" s="167"/>
      <c r="E40" s="167"/>
      <c r="F40" s="167"/>
      <c r="G40" s="167"/>
      <c r="H40" s="173" t="s">
        <v>96</v>
      </c>
      <c r="I40" s="167" t="s">
        <v>121</v>
      </c>
      <c r="J40" s="174" t="s">
        <v>462</v>
      </c>
      <c r="K40" s="173" t="s">
        <v>96</v>
      </c>
      <c r="L40" s="173" t="s">
        <v>96</v>
      </c>
      <c r="M40" s="167"/>
      <c r="N40" s="167"/>
      <c r="O40" s="167"/>
      <c r="P40" s="167"/>
      <c r="Q40" s="167"/>
      <c r="R40" s="167"/>
      <c r="S40" s="167"/>
    </row>
    <row r="41" spans="1:19">
      <c r="A41" s="167"/>
      <c r="B41" s="167"/>
      <c r="C41" s="170" t="s">
        <v>499</v>
      </c>
      <c r="D41" s="167"/>
      <c r="E41" s="167"/>
      <c r="F41" s="167"/>
      <c r="G41" s="167"/>
      <c r="H41" s="173" t="s">
        <v>96</v>
      </c>
      <c r="I41" s="167" t="s">
        <v>500</v>
      </c>
      <c r="J41" s="174" t="s">
        <v>96</v>
      </c>
      <c r="K41" s="173" t="s">
        <v>96</v>
      </c>
      <c r="L41" s="173" t="s">
        <v>96</v>
      </c>
      <c r="M41" s="167"/>
      <c r="N41" s="167"/>
      <c r="O41" s="167"/>
      <c r="P41" s="167"/>
      <c r="Q41" s="167"/>
      <c r="R41" s="167"/>
      <c r="S41" s="167"/>
    </row>
    <row r="42" spans="1:19">
      <c r="A42" s="167"/>
      <c r="B42" s="167"/>
      <c r="C42" s="170" t="s">
        <v>501</v>
      </c>
      <c r="D42" s="167"/>
      <c r="E42" s="167"/>
      <c r="F42" s="167"/>
      <c r="G42" s="167"/>
      <c r="H42" s="173" t="s">
        <v>96</v>
      </c>
      <c r="I42" s="167" t="s">
        <v>500</v>
      </c>
      <c r="J42" s="174" t="s">
        <v>96</v>
      </c>
      <c r="K42" s="173" t="s">
        <v>96</v>
      </c>
      <c r="L42" s="173" t="s">
        <v>96</v>
      </c>
      <c r="M42" s="167"/>
      <c r="N42" s="167"/>
      <c r="O42" s="167"/>
      <c r="P42" s="167"/>
      <c r="Q42" s="167"/>
      <c r="R42" s="167"/>
      <c r="S42" s="167"/>
    </row>
    <row r="43" spans="1:19">
      <c r="A43" s="167"/>
      <c r="B43" s="167"/>
      <c r="C43" s="170" t="s">
        <v>502</v>
      </c>
      <c r="D43" s="167"/>
      <c r="E43" s="167"/>
      <c r="F43" s="167"/>
      <c r="G43" s="167"/>
      <c r="H43" s="173" t="s">
        <v>96</v>
      </c>
      <c r="I43" s="167" t="s">
        <v>121</v>
      </c>
      <c r="J43" s="174" t="s">
        <v>462</v>
      </c>
      <c r="K43" s="173" t="s">
        <v>96</v>
      </c>
      <c r="L43" s="173" t="s">
        <v>96</v>
      </c>
      <c r="M43" s="167"/>
      <c r="N43" s="167"/>
      <c r="O43" s="167"/>
      <c r="P43" s="167"/>
      <c r="Q43" s="167"/>
      <c r="R43" s="167"/>
      <c r="S43" s="167"/>
    </row>
    <row r="44" spans="1:19">
      <c r="A44" s="167"/>
      <c r="B44" s="167"/>
      <c r="C44" s="170" t="s">
        <v>96</v>
      </c>
      <c r="D44" s="167"/>
      <c r="E44" s="167"/>
      <c r="F44" s="167"/>
      <c r="G44" s="167"/>
      <c r="H44" s="173" t="s">
        <v>96</v>
      </c>
      <c r="I44" s="167"/>
      <c r="J44" s="174" t="s">
        <v>96</v>
      </c>
      <c r="K44" s="173" t="s">
        <v>96</v>
      </c>
      <c r="L44" s="173" t="s">
        <v>96</v>
      </c>
      <c r="M44" s="167"/>
      <c r="N44" s="167"/>
      <c r="O44" s="167"/>
      <c r="P44" s="167"/>
      <c r="Q44" s="167"/>
      <c r="R44" s="167"/>
      <c r="S44" s="167"/>
    </row>
    <row r="45" spans="1:19">
      <c r="A45" s="167"/>
      <c r="B45" s="167"/>
      <c r="C45" s="170" t="s">
        <v>96</v>
      </c>
      <c r="D45" s="167"/>
      <c r="E45" s="167"/>
      <c r="F45" s="167"/>
      <c r="G45" s="167"/>
      <c r="H45" s="173" t="s">
        <v>96</v>
      </c>
      <c r="I45" s="167"/>
      <c r="J45" s="174" t="s">
        <v>96</v>
      </c>
      <c r="K45" s="173" t="s">
        <v>96</v>
      </c>
      <c r="L45" s="173" t="s">
        <v>96</v>
      </c>
      <c r="M45" s="167"/>
      <c r="N45" s="167"/>
      <c r="O45" s="167"/>
      <c r="P45" s="167"/>
      <c r="Q45" s="167"/>
      <c r="R45" s="167"/>
      <c r="S45" s="167"/>
    </row>
    <row r="46" spans="1:19">
      <c r="A46" s="167"/>
      <c r="B46" s="172" t="s">
        <v>503</v>
      </c>
      <c r="C46" s="171" t="s">
        <v>504</v>
      </c>
      <c r="D46" s="172"/>
      <c r="E46" s="167"/>
      <c r="F46" s="167"/>
      <c r="G46" s="167"/>
      <c r="H46" s="173" t="s">
        <v>96</v>
      </c>
      <c r="I46" s="167"/>
      <c r="J46" s="174" t="s">
        <v>96</v>
      </c>
      <c r="K46" s="173" t="s">
        <v>96</v>
      </c>
      <c r="L46" s="173" t="s">
        <v>96</v>
      </c>
      <c r="M46" s="167"/>
      <c r="N46" s="167"/>
      <c r="O46" s="167"/>
      <c r="P46" s="167"/>
      <c r="Q46" s="167"/>
      <c r="R46" s="167"/>
      <c r="S46" s="167"/>
    </row>
    <row r="47" spans="1:19">
      <c r="A47" s="167"/>
      <c r="B47" s="167" t="s">
        <v>505</v>
      </c>
      <c r="C47" s="170" t="s">
        <v>504</v>
      </c>
      <c r="D47" s="167"/>
      <c r="E47" s="167"/>
      <c r="F47" s="167"/>
      <c r="G47" s="167"/>
      <c r="H47" s="173" t="s">
        <v>96</v>
      </c>
      <c r="I47" s="167" t="s">
        <v>121</v>
      </c>
      <c r="J47" s="174" t="s">
        <v>462</v>
      </c>
      <c r="K47" s="173" t="s">
        <v>96</v>
      </c>
      <c r="L47" s="173" t="s">
        <v>96</v>
      </c>
      <c r="M47" s="167"/>
      <c r="N47" s="167"/>
      <c r="O47" s="167"/>
      <c r="P47" s="167"/>
      <c r="Q47" s="167"/>
      <c r="R47" s="167"/>
      <c r="S47" s="167"/>
    </row>
    <row r="48" spans="1:19">
      <c r="A48" s="167"/>
      <c r="B48" s="167" t="s">
        <v>506</v>
      </c>
      <c r="C48" s="170" t="s">
        <v>507</v>
      </c>
      <c r="D48" s="167"/>
      <c r="E48" s="167"/>
      <c r="F48" s="167"/>
      <c r="G48" s="167"/>
      <c r="H48" s="173" t="s">
        <v>96</v>
      </c>
      <c r="I48" s="167" t="s">
        <v>121</v>
      </c>
      <c r="J48" s="174" t="s">
        <v>462</v>
      </c>
      <c r="K48" s="173" t="s">
        <v>96</v>
      </c>
      <c r="L48" s="173" t="s">
        <v>96</v>
      </c>
      <c r="M48" s="167"/>
      <c r="N48" s="167"/>
      <c r="O48" s="167"/>
      <c r="P48" s="167"/>
      <c r="Q48" s="167"/>
      <c r="R48" s="167"/>
      <c r="S48" s="167"/>
    </row>
    <row r="49" spans="1:19">
      <c r="A49" s="167"/>
      <c r="B49" s="167"/>
      <c r="C49" s="170" t="s">
        <v>96</v>
      </c>
      <c r="D49" s="167"/>
      <c r="E49" s="167"/>
      <c r="F49" s="167"/>
      <c r="G49" s="167"/>
      <c r="H49" s="173" t="s">
        <v>96</v>
      </c>
      <c r="I49" s="167"/>
      <c r="J49" s="174" t="s">
        <v>96</v>
      </c>
      <c r="K49" s="173" t="s">
        <v>96</v>
      </c>
      <c r="L49" s="173" t="s">
        <v>96</v>
      </c>
      <c r="M49" s="167"/>
      <c r="N49" s="167"/>
      <c r="O49" s="167"/>
      <c r="P49" s="167"/>
      <c r="Q49" s="167"/>
      <c r="R49" s="167"/>
      <c r="S49" s="167"/>
    </row>
    <row r="50" spans="1:19">
      <c r="A50" s="167"/>
      <c r="B50" s="167"/>
      <c r="C50" s="170" t="s">
        <v>96</v>
      </c>
      <c r="D50" s="167"/>
      <c r="E50" s="167"/>
      <c r="F50" s="167"/>
      <c r="G50" s="167"/>
      <c r="H50" s="173" t="s">
        <v>96</v>
      </c>
      <c r="I50" s="167"/>
      <c r="J50" s="174" t="s">
        <v>96</v>
      </c>
      <c r="K50" s="173" t="s">
        <v>96</v>
      </c>
      <c r="L50" s="173" t="s">
        <v>96</v>
      </c>
      <c r="M50" s="167"/>
      <c r="N50" s="167"/>
      <c r="O50" s="167"/>
      <c r="P50" s="167"/>
      <c r="Q50" s="167"/>
      <c r="R50" s="167"/>
      <c r="S50" s="167"/>
    </row>
    <row r="51" spans="1:19">
      <c r="A51" s="167"/>
      <c r="B51" s="172" t="s">
        <v>508</v>
      </c>
      <c r="C51" s="171" t="s">
        <v>509</v>
      </c>
      <c r="D51" s="172"/>
      <c r="E51" s="172"/>
      <c r="F51" s="172"/>
      <c r="G51" s="172"/>
      <c r="H51" s="173" t="s">
        <v>96</v>
      </c>
      <c r="I51" s="167"/>
      <c r="J51" s="174" t="s">
        <v>96</v>
      </c>
      <c r="K51" s="173" t="s">
        <v>96</v>
      </c>
      <c r="L51" s="173" t="s">
        <v>96</v>
      </c>
      <c r="M51" s="167"/>
      <c r="N51" s="167"/>
      <c r="O51" s="167"/>
      <c r="P51" s="167"/>
      <c r="Q51" s="167"/>
      <c r="R51" s="167"/>
      <c r="S51" s="167"/>
    </row>
    <row r="52" spans="1:19">
      <c r="A52" s="167"/>
      <c r="B52" s="167" t="s">
        <v>510</v>
      </c>
      <c r="C52" s="170" t="s">
        <v>511</v>
      </c>
      <c r="D52" s="167"/>
      <c r="E52" s="167"/>
      <c r="F52" s="167"/>
      <c r="G52" s="167"/>
      <c r="H52" s="173" t="s">
        <v>96</v>
      </c>
      <c r="I52" s="167" t="s">
        <v>121</v>
      </c>
      <c r="J52" s="174" t="s">
        <v>462</v>
      </c>
      <c r="K52" s="173" t="s">
        <v>96</v>
      </c>
      <c r="L52" s="173" t="s">
        <v>96</v>
      </c>
      <c r="M52" s="167"/>
      <c r="N52" s="167"/>
      <c r="O52" s="167"/>
      <c r="P52" s="167"/>
      <c r="Q52" s="167"/>
      <c r="R52" s="167"/>
      <c r="S52" s="167"/>
    </row>
    <row r="53" spans="1:19">
      <c r="A53" s="167"/>
      <c r="B53" s="167" t="s">
        <v>512</v>
      </c>
      <c r="C53" s="170" t="s">
        <v>513</v>
      </c>
      <c r="D53" s="167"/>
      <c r="E53" s="167"/>
      <c r="F53" s="167"/>
      <c r="G53" s="167"/>
      <c r="H53" s="173" t="s">
        <v>96</v>
      </c>
      <c r="I53" s="167" t="s">
        <v>500</v>
      </c>
      <c r="J53" s="174" t="s">
        <v>96</v>
      </c>
      <c r="K53" s="173" t="s">
        <v>96</v>
      </c>
      <c r="L53" s="173" t="s">
        <v>96</v>
      </c>
      <c r="M53" s="167"/>
      <c r="N53" s="167"/>
      <c r="O53" s="167"/>
      <c r="P53" s="167"/>
      <c r="Q53" s="167"/>
      <c r="R53" s="167"/>
      <c r="S53" s="167"/>
    </row>
    <row r="54" spans="1:19">
      <c r="A54" s="167"/>
      <c r="B54" s="167" t="s">
        <v>514</v>
      </c>
      <c r="C54" s="170" t="s">
        <v>515</v>
      </c>
      <c r="D54" s="167"/>
      <c r="E54" s="167"/>
      <c r="F54" s="167"/>
      <c r="G54" s="167"/>
      <c r="H54" s="173" t="s">
        <v>96</v>
      </c>
      <c r="I54" s="167" t="s">
        <v>500</v>
      </c>
      <c r="J54" s="174" t="s">
        <v>96</v>
      </c>
      <c r="K54" s="173" t="s">
        <v>96</v>
      </c>
      <c r="L54" s="173" t="s">
        <v>96</v>
      </c>
      <c r="M54" s="167"/>
      <c r="N54" s="167"/>
      <c r="O54" s="167"/>
      <c r="P54" s="167"/>
      <c r="Q54" s="167"/>
      <c r="R54" s="167"/>
      <c r="S54" s="167"/>
    </row>
    <row r="55" spans="1:19">
      <c r="A55" s="167"/>
      <c r="B55" s="167"/>
      <c r="C55" s="170" t="s">
        <v>96</v>
      </c>
      <c r="D55" s="167"/>
      <c r="E55" s="167"/>
      <c r="F55" s="167"/>
      <c r="G55" s="167"/>
      <c r="H55" s="173" t="s">
        <v>96</v>
      </c>
      <c r="I55" s="167"/>
      <c r="J55" s="174" t="s">
        <v>96</v>
      </c>
      <c r="K55" s="173" t="s">
        <v>96</v>
      </c>
      <c r="L55" s="173" t="s">
        <v>96</v>
      </c>
      <c r="M55" s="167"/>
      <c r="N55" s="167"/>
      <c r="O55" s="167"/>
      <c r="P55" s="167"/>
      <c r="Q55" s="167"/>
      <c r="R55" s="167"/>
      <c r="S55" s="167"/>
    </row>
    <row r="56" spans="1:19">
      <c r="A56" s="167"/>
      <c r="B56" s="167"/>
      <c r="C56" s="170" t="s">
        <v>96</v>
      </c>
      <c r="D56" s="167"/>
      <c r="E56" s="167"/>
      <c r="F56" s="167"/>
      <c r="G56" s="167"/>
      <c r="H56" s="173" t="s">
        <v>96</v>
      </c>
      <c r="I56" s="167"/>
      <c r="J56" s="174" t="s">
        <v>96</v>
      </c>
      <c r="K56" s="173" t="s">
        <v>96</v>
      </c>
      <c r="L56" s="173" t="s">
        <v>96</v>
      </c>
      <c r="M56" s="167"/>
      <c r="N56" s="167"/>
      <c r="O56" s="167"/>
      <c r="P56" s="167"/>
      <c r="Q56" s="167"/>
      <c r="R56" s="167"/>
      <c r="S56" s="167"/>
    </row>
    <row r="57" spans="1:19">
      <c r="A57" s="167"/>
      <c r="B57" s="172">
        <v>1.2</v>
      </c>
      <c r="C57" s="171" t="s">
        <v>516</v>
      </c>
      <c r="D57" s="172"/>
      <c r="E57" s="172"/>
      <c r="F57" s="167"/>
      <c r="G57" s="167"/>
      <c r="H57" s="173" t="s">
        <v>96</v>
      </c>
      <c r="I57" s="167"/>
      <c r="J57" s="174" t="s">
        <v>96</v>
      </c>
      <c r="K57" s="173" t="s">
        <v>96</v>
      </c>
      <c r="L57" s="173" t="s">
        <v>96</v>
      </c>
      <c r="M57" s="167"/>
      <c r="N57" s="167"/>
      <c r="O57" s="167"/>
      <c r="P57" s="167"/>
      <c r="Q57" s="167"/>
      <c r="R57" s="167"/>
      <c r="S57" s="167"/>
    </row>
    <row r="58" spans="1:19">
      <c r="A58" s="167"/>
      <c r="B58" s="172" t="s">
        <v>517</v>
      </c>
      <c r="C58" s="171" t="s">
        <v>518</v>
      </c>
      <c r="D58" s="172"/>
      <c r="E58" s="172"/>
      <c r="F58" s="167"/>
      <c r="G58" s="167"/>
      <c r="H58" s="173" t="s">
        <v>96</v>
      </c>
      <c r="I58" s="167"/>
      <c r="J58" s="174" t="s">
        <v>96</v>
      </c>
      <c r="K58" s="173" t="s">
        <v>96</v>
      </c>
      <c r="L58" s="173" t="s">
        <v>96</v>
      </c>
      <c r="M58" s="167"/>
      <c r="N58" s="167"/>
      <c r="O58" s="167"/>
      <c r="P58" s="167"/>
      <c r="Q58" s="167"/>
      <c r="R58" s="167"/>
      <c r="S58" s="167"/>
    </row>
    <row r="59" spans="1:19">
      <c r="A59" s="167"/>
      <c r="B59" s="172" t="s">
        <v>519</v>
      </c>
      <c r="C59" s="170" t="s">
        <v>520</v>
      </c>
      <c r="D59" s="167"/>
      <c r="E59" s="167"/>
      <c r="F59" s="167"/>
      <c r="G59" s="167"/>
      <c r="H59" s="173" t="s">
        <v>96</v>
      </c>
      <c r="I59" s="167" t="s">
        <v>500</v>
      </c>
      <c r="J59" s="174" t="s">
        <v>96</v>
      </c>
      <c r="K59" s="173" t="s">
        <v>96</v>
      </c>
      <c r="L59" s="173" t="s">
        <v>96</v>
      </c>
      <c r="M59" s="167"/>
      <c r="N59" s="167"/>
      <c r="O59" s="167"/>
      <c r="P59" s="167"/>
      <c r="Q59" s="167"/>
      <c r="R59" s="167"/>
      <c r="S59" s="167"/>
    </row>
    <row r="60" spans="1:19">
      <c r="A60" s="167"/>
      <c r="B60" s="172"/>
      <c r="C60" s="170" t="s">
        <v>521</v>
      </c>
      <c r="D60" s="167"/>
      <c r="E60" s="167"/>
      <c r="F60" s="167"/>
      <c r="G60" s="167"/>
      <c r="H60" s="173" t="s">
        <v>96</v>
      </c>
      <c r="I60" s="167" t="s">
        <v>500</v>
      </c>
      <c r="J60" s="174">
        <v>66</v>
      </c>
      <c r="K60" s="173" t="s">
        <v>522</v>
      </c>
      <c r="L60" s="173" t="s">
        <v>523</v>
      </c>
      <c r="M60" s="167"/>
      <c r="N60" s="167"/>
      <c r="O60" s="167"/>
      <c r="P60" s="167"/>
      <c r="Q60" s="167"/>
      <c r="R60" s="167"/>
      <c r="S60" s="167"/>
    </row>
    <row r="61" spans="1:19">
      <c r="A61" s="167"/>
      <c r="B61" s="172"/>
      <c r="C61" s="170" t="s">
        <v>524</v>
      </c>
      <c r="D61" s="167"/>
      <c r="E61" s="167"/>
      <c r="F61" s="167"/>
      <c r="G61" s="167"/>
      <c r="H61" s="173" t="s">
        <v>96</v>
      </c>
      <c r="I61" s="167" t="s">
        <v>500</v>
      </c>
      <c r="J61" s="174">
        <v>66</v>
      </c>
      <c r="K61" s="173" t="s">
        <v>525</v>
      </c>
      <c r="L61" s="173" t="s">
        <v>526</v>
      </c>
      <c r="M61" s="167"/>
      <c r="N61" s="167"/>
      <c r="O61" s="167"/>
      <c r="P61" s="167"/>
      <c r="Q61" s="167"/>
      <c r="R61" s="167"/>
      <c r="S61" s="167"/>
    </row>
    <row r="62" spans="1:19">
      <c r="A62" s="167"/>
      <c r="B62" s="172"/>
      <c r="C62" s="170" t="s">
        <v>527</v>
      </c>
      <c r="D62" s="167"/>
      <c r="E62" s="167"/>
      <c r="F62" s="167"/>
      <c r="G62" s="167"/>
      <c r="H62" s="173" t="s">
        <v>96</v>
      </c>
      <c r="I62" s="167" t="s">
        <v>500</v>
      </c>
      <c r="J62" s="174">
        <v>80</v>
      </c>
      <c r="K62" s="173" t="s">
        <v>528</v>
      </c>
      <c r="L62" s="173" t="s">
        <v>529</v>
      </c>
      <c r="M62" s="167"/>
      <c r="N62" s="167"/>
      <c r="O62" s="167"/>
      <c r="P62" s="167"/>
      <c r="Q62" s="167"/>
      <c r="R62" s="167"/>
      <c r="S62" s="167"/>
    </row>
    <row r="63" spans="1:19">
      <c r="A63" s="167"/>
      <c r="B63" s="172"/>
      <c r="C63" s="170" t="s">
        <v>530</v>
      </c>
      <c r="D63" s="167"/>
      <c r="E63" s="167"/>
      <c r="F63" s="167"/>
      <c r="G63" s="167"/>
      <c r="H63" s="173" t="s">
        <v>96</v>
      </c>
      <c r="I63" s="167" t="s">
        <v>500</v>
      </c>
      <c r="J63" s="174">
        <v>66</v>
      </c>
      <c r="K63" s="173" t="s">
        <v>531</v>
      </c>
      <c r="L63" s="173" t="s">
        <v>532</v>
      </c>
      <c r="M63" s="167"/>
      <c r="N63" s="167"/>
      <c r="O63" s="167"/>
      <c r="P63" s="167"/>
      <c r="Q63" s="167"/>
      <c r="R63" s="167"/>
      <c r="S63" s="167" t="s">
        <v>533</v>
      </c>
    </row>
    <row r="64" spans="1:19">
      <c r="A64" s="167"/>
      <c r="B64" s="172"/>
      <c r="C64" s="170" t="s">
        <v>534</v>
      </c>
      <c r="D64" s="167"/>
      <c r="E64" s="167"/>
      <c r="F64" s="167"/>
      <c r="G64" s="167"/>
      <c r="H64" s="173" t="s">
        <v>96</v>
      </c>
      <c r="I64" s="167" t="s">
        <v>500</v>
      </c>
      <c r="J64" s="174">
        <v>66</v>
      </c>
      <c r="K64" s="173" t="s">
        <v>535</v>
      </c>
      <c r="L64" s="173" t="s">
        <v>536</v>
      </c>
      <c r="M64" s="167"/>
      <c r="N64" s="167"/>
      <c r="O64" s="167"/>
      <c r="P64" s="167"/>
      <c r="Q64" s="167"/>
      <c r="R64" s="167"/>
      <c r="S64" s="167" t="s">
        <v>537</v>
      </c>
    </row>
    <row r="65" spans="1:19">
      <c r="A65" s="167"/>
      <c r="B65" s="172"/>
      <c r="C65" s="170" t="s">
        <v>538</v>
      </c>
      <c r="D65" s="167"/>
      <c r="E65" s="167"/>
      <c r="F65" s="167"/>
      <c r="G65" s="167"/>
      <c r="H65" s="173" t="s">
        <v>96</v>
      </c>
      <c r="I65" s="167" t="s">
        <v>500</v>
      </c>
      <c r="J65" s="174">
        <v>66</v>
      </c>
      <c r="K65" s="173" t="s">
        <v>539</v>
      </c>
      <c r="L65" s="173" t="s">
        <v>540</v>
      </c>
      <c r="M65" s="167"/>
      <c r="N65" s="167"/>
      <c r="O65" s="167"/>
      <c r="P65" s="167"/>
      <c r="Q65" s="167"/>
      <c r="R65" s="167"/>
      <c r="S65" s="167"/>
    </row>
    <row r="66" spans="1:19">
      <c r="A66" s="167"/>
      <c r="B66" s="172"/>
      <c r="C66" s="170" t="s">
        <v>541</v>
      </c>
      <c r="D66" s="167"/>
      <c r="E66" s="167"/>
      <c r="F66" s="167"/>
      <c r="G66" s="167"/>
      <c r="H66" s="173" t="s">
        <v>96</v>
      </c>
      <c r="I66" s="167" t="s">
        <v>500</v>
      </c>
      <c r="J66" s="174">
        <v>66</v>
      </c>
      <c r="K66" s="173" t="s">
        <v>542</v>
      </c>
      <c r="L66" s="173" t="s">
        <v>543</v>
      </c>
      <c r="M66" s="167"/>
      <c r="N66" s="167"/>
      <c r="O66" s="167"/>
      <c r="P66" s="167"/>
      <c r="Q66" s="167"/>
      <c r="R66" s="167"/>
      <c r="S66" s="167">
        <v>462</v>
      </c>
    </row>
    <row r="67" spans="1:19">
      <c r="A67" s="167"/>
      <c r="B67" s="172"/>
      <c r="C67" s="170" t="s">
        <v>544</v>
      </c>
      <c r="D67" s="167"/>
      <c r="E67" s="167"/>
      <c r="F67" s="167"/>
      <c r="G67" s="167"/>
      <c r="H67" s="173" t="s">
        <v>96</v>
      </c>
      <c r="I67" s="167" t="s">
        <v>500</v>
      </c>
      <c r="J67" s="174">
        <v>66</v>
      </c>
      <c r="K67" s="173" t="s">
        <v>545</v>
      </c>
      <c r="L67" s="173" t="s">
        <v>546</v>
      </c>
      <c r="M67" s="167"/>
      <c r="N67" s="167"/>
      <c r="O67" s="167"/>
      <c r="P67" s="167"/>
      <c r="Q67" s="167"/>
      <c r="R67" s="167"/>
      <c r="S67" s="167">
        <v>66</v>
      </c>
    </row>
    <row r="68" spans="1:19">
      <c r="A68" s="167"/>
      <c r="B68" s="172"/>
      <c r="C68" s="170" t="s">
        <v>547</v>
      </c>
      <c r="D68" s="167"/>
      <c r="E68" s="167"/>
      <c r="F68" s="167"/>
      <c r="G68" s="167"/>
      <c r="H68" s="173" t="s">
        <v>96</v>
      </c>
      <c r="I68" s="167" t="s">
        <v>500</v>
      </c>
      <c r="J68" s="174">
        <v>66</v>
      </c>
      <c r="K68" s="173" t="s">
        <v>548</v>
      </c>
      <c r="L68" s="173" t="s">
        <v>549</v>
      </c>
      <c r="M68" s="167"/>
      <c r="N68" s="167"/>
      <c r="O68" s="167"/>
      <c r="P68" s="167"/>
      <c r="Q68" s="167"/>
      <c r="R68" s="167"/>
      <c r="S68" s="167"/>
    </row>
    <row r="69" spans="1:19">
      <c r="A69" s="167"/>
      <c r="B69" s="172"/>
      <c r="C69" s="170" t="s">
        <v>550</v>
      </c>
      <c r="D69" s="167"/>
      <c r="E69" s="167"/>
      <c r="F69" s="167"/>
      <c r="G69" s="167"/>
      <c r="H69" s="173" t="s">
        <v>96</v>
      </c>
      <c r="I69" s="167" t="s">
        <v>500</v>
      </c>
      <c r="J69" s="174">
        <v>66</v>
      </c>
      <c r="K69" s="173" t="s">
        <v>551</v>
      </c>
      <c r="L69" s="173" t="s">
        <v>552</v>
      </c>
      <c r="M69" s="167"/>
      <c r="N69" s="167"/>
      <c r="O69" s="167"/>
      <c r="P69" s="167"/>
      <c r="Q69" s="167"/>
      <c r="R69" s="167"/>
      <c r="S69" s="167"/>
    </row>
    <row r="70" spans="1:19">
      <c r="A70" s="167"/>
      <c r="B70" s="172"/>
      <c r="C70" s="170" t="s">
        <v>96</v>
      </c>
      <c r="D70" s="167"/>
      <c r="E70" s="167"/>
      <c r="F70" s="167"/>
      <c r="G70" s="167"/>
      <c r="H70" s="173" t="s">
        <v>96</v>
      </c>
      <c r="I70" s="167"/>
      <c r="J70" s="174" t="s">
        <v>96</v>
      </c>
      <c r="K70" s="173" t="s">
        <v>96</v>
      </c>
      <c r="L70" s="173" t="s">
        <v>96</v>
      </c>
      <c r="M70" s="167"/>
      <c r="N70" s="167"/>
      <c r="O70" s="167"/>
      <c r="P70" s="167"/>
      <c r="Q70" s="167"/>
      <c r="R70" s="167"/>
      <c r="S70" s="167"/>
    </row>
    <row r="71" spans="1:19">
      <c r="A71" s="167"/>
      <c r="B71" s="167"/>
      <c r="C71" s="170" t="s">
        <v>553</v>
      </c>
      <c r="D71" s="167"/>
      <c r="E71" s="167"/>
      <c r="F71" s="167"/>
      <c r="G71" s="167"/>
      <c r="H71" s="173" t="s">
        <v>96</v>
      </c>
      <c r="I71" s="167"/>
      <c r="J71" s="174" t="s">
        <v>96</v>
      </c>
      <c r="K71" s="173" t="s">
        <v>96</v>
      </c>
      <c r="L71" s="173" t="s">
        <v>96</v>
      </c>
      <c r="M71" s="167"/>
      <c r="N71" s="167"/>
      <c r="O71" s="167"/>
      <c r="P71" s="167"/>
      <c r="Q71" s="167"/>
      <c r="R71" s="167"/>
      <c r="S71" s="167"/>
    </row>
    <row r="72" spans="1:19">
      <c r="A72" s="167"/>
      <c r="B72" s="167"/>
      <c r="C72" s="170" t="s">
        <v>96</v>
      </c>
      <c r="D72" s="167"/>
      <c r="E72" s="167"/>
      <c r="F72" s="167"/>
      <c r="G72" s="167"/>
      <c r="H72" s="173" t="s">
        <v>96</v>
      </c>
      <c r="I72" s="167"/>
      <c r="J72" s="174" t="s">
        <v>96</v>
      </c>
      <c r="K72" s="173" t="s">
        <v>96</v>
      </c>
      <c r="L72" s="173" t="s">
        <v>96</v>
      </c>
      <c r="M72" s="167"/>
      <c r="N72" s="167"/>
      <c r="O72" s="167"/>
      <c r="P72" s="167"/>
      <c r="Q72" s="167"/>
      <c r="R72" s="167"/>
      <c r="S72" s="167"/>
    </row>
    <row r="73" spans="1:19">
      <c r="A73" s="167"/>
      <c r="B73" s="167"/>
      <c r="C73" s="170" t="s">
        <v>96</v>
      </c>
      <c r="D73" s="167"/>
      <c r="E73" s="167"/>
      <c r="F73" s="167"/>
      <c r="G73" s="167"/>
      <c r="H73" s="173" t="s">
        <v>96</v>
      </c>
      <c r="I73" s="167"/>
      <c r="J73" s="174" t="s">
        <v>96</v>
      </c>
      <c r="K73" s="173" t="s">
        <v>96</v>
      </c>
      <c r="L73" s="173" t="s">
        <v>96</v>
      </c>
      <c r="M73" s="167"/>
      <c r="N73" s="167"/>
      <c r="O73" s="167"/>
      <c r="P73" s="167"/>
      <c r="Q73" s="167"/>
      <c r="R73" s="167"/>
      <c r="S73" s="167"/>
    </row>
    <row r="74" spans="1:19">
      <c r="A74" s="167"/>
      <c r="B74" s="167"/>
      <c r="C74" s="170" t="s">
        <v>96</v>
      </c>
      <c r="D74" s="167"/>
      <c r="E74" s="167"/>
      <c r="F74" s="167"/>
      <c r="G74" s="167"/>
      <c r="H74" s="173" t="s">
        <v>96</v>
      </c>
      <c r="I74" s="167"/>
      <c r="J74" s="174" t="s">
        <v>96</v>
      </c>
      <c r="K74" s="173" t="s">
        <v>96</v>
      </c>
      <c r="L74" s="173" t="s">
        <v>96</v>
      </c>
      <c r="M74" s="167"/>
      <c r="N74" s="167"/>
      <c r="O74" s="167"/>
      <c r="P74" s="167"/>
      <c r="Q74" s="167"/>
      <c r="R74" s="167"/>
      <c r="S74" s="167"/>
    </row>
    <row r="75" spans="1:19">
      <c r="A75" s="167"/>
      <c r="B75" s="167"/>
      <c r="C75" s="170" t="s">
        <v>554</v>
      </c>
      <c r="D75" s="167"/>
      <c r="E75" s="167"/>
      <c r="F75" s="167"/>
      <c r="G75" s="167"/>
      <c r="H75" s="173" t="s">
        <v>96</v>
      </c>
      <c r="I75" s="167"/>
      <c r="J75" s="174" t="s">
        <v>96</v>
      </c>
      <c r="K75" s="173" t="s">
        <v>96</v>
      </c>
      <c r="L75" s="173" t="s">
        <v>96</v>
      </c>
      <c r="M75" s="167"/>
      <c r="N75" s="167"/>
      <c r="O75" s="167"/>
      <c r="P75" s="167"/>
      <c r="Q75" s="167"/>
      <c r="R75" s="167"/>
      <c r="S75" s="167"/>
    </row>
    <row r="76" spans="1:19">
      <c r="A76" s="167"/>
      <c r="B76" s="167"/>
      <c r="C76" s="170" t="s">
        <v>96</v>
      </c>
      <c r="D76" s="167"/>
      <c r="E76" s="167"/>
      <c r="F76" s="167"/>
      <c r="G76" s="167"/>
      <c r="H76" s="173" t="s">
        <v>96</v>
      </c>
      <c r="I76" s="167"/>
      <c r="J76" s="174" t="s">
        <v>96</v>
      </c>
      <c r="K76" s="173" t="s">
        <v>96</v>
      </c>
      <c r="L76" s="173" t="s">
        <v>96</v>
      </c>
      <c r="M76" s="167"/>
      <c r="N76" s="167"/>
      <c r="O76" s="167"/>
      <c r="P76" s="167"/>
      <c r="Q76" s="167"/>
      <c r="R76" s="167"/>
      <c r="S76" s="167"/>
    </row>
    <row r="77" spans="1:19">
      <c r="A77" s="167"/>
      <c r="B77" s="167"/>
      <c r="C77" s="170" t="s">
        <v>96</v>
      </c>
      <c r="D77" s="167"/>
      <c r="E77" s="167"/>
      <c r="F77" s="167"/>
      <c r="G77" s="167"/>
      <c r="H77" s="173" t="s">
        <v>96</v>
      </c>
      <c r="I77" s="167"/>
      <c r="J77" s="174" t="s">
        <v>96</v>
      </c>
      <c r="K77" s="173" t="s">
        <v>96</v>
      </c>
      <c r="L77" s="173" t="s">
        <v>96</v>
      </c>
      <c r="M77" s="167"/>
      <c r="N77" s="167"/>
      <c r="O77" s="167"/>
      <c r="P77" s="167"/>
      <c r="Q77" s="167"/>
      <c r="R77" s="167"/>
      <c r="S77" s="167"/>
    </row>
    <row r="78" spans="1:19">
      <c r="A78" s="167"/>
      <c r="B78" s="167"/>
      <c r="C78" s="171" t="s">
        <v>555</v>
      </c>
      <c r="D78" s="172"/>
      <c r="E78" s="167"/>
      <c r="F78" s="167"/>
      <c r="G78" s="167"/>
      <c r="H78" s="173" t="s">
        <v>96</v>
      </c>
      <c r="I78" s="167"/>
      <c r="J78" s="174" t="s">
        <v>96</v>
      </c>
      <c r="K78" s="173" t="s">
        <v>96</v>
      </c>
      <c r="L78" s="173" t="s">
        <v>96</v>
      </c>
      <c r="M78" s="167"/>
      <c r="N78" s="167"/>
      <c r="O78" s="167"/>
      <c r="P78" s="167"/>
      <c r="Q78" s="167"/>
      <c r="R78" s="167"/>
      <c r="S78" s="167"/>
    </row>
    <row r="79" spans="1:19">
      <c r="A79" s="167"/>
      <c r="B79" s="167"/>
      <c r="C79" s="171" t="s">
        <v>556</v>
      </c>
      <c r="D79" s="172"/>
      <c r="E79" s="172"/>
      <c r="F79" s="172"/>
      <c r="G79" s="167"/>
      <c r="H79" s="173" t="s">
        <v>96</v>
      </c>
      <c r="I79" s="167"/>
      <c r="J79" s="174" t="s">
        <v>96</v>
      </c>
      <c r="K79" s="173" t="s">
        <v>96</v>
      </c>
      <c r="L79" s="173" t="s">
        <v>96</v>
      </c>
      <c r="M79" s="167"/>
      <c r="N79" s="167"/>
      <c r="O79" s="167"/>
      <c r="P79" s="167"/>
      <c r="Q79" s="167"/>
      <c r="R79" s="167"/>
      <c r="S79" s="167"/>
    </row>
    <row r="80" spans="1:19">
      <c r="A80" s="167"/>
      <c r="B80" s="167"/>
      <c r="C80" s="170" t="s">
        <v>557</v>
      </c>
      <c r="D80" s="167"/>
      <c r="E80" s="167"/>
      <c r="F80" s="167"/>
      <c r="G80" s="167"/>
      <c r="H80" s="173" t="s">
        <v>96</v>
      </c>
      <c r="I80" s="167" t="s">
        <v>500</v>
      </c>
      <c r="J80" s="174">
        <v>66</v>
      </c>
      <c r="K80" s="173" t="s">
        <v>558</v>
      </c>
      <c r="L80" s="173" t="s">
        <v>559</v>
      </c>
      <c r="M80" s="167"/>
      <c r="N80" s="167"/>
      <c r="O80" s="167"/>
      <c r="P80" s="167"/>
      <c r="Q80" s="167"/>
      <c r="R80" s="167"/>
      <c r="S80" s="167"/>
    </row>
    <row r="81" spans="1:19">
      <c r="A81" s="167"/>
      <c r="B81" s="167"/>
      <c r="C81" s="170" t="s">
        <v>560</v>
      </c>
      <c r="D81" s="167"/>
      <c r="E81" s="167"/>
      <c r="F81" s="167"/>
      <c r="G81" s="167"/>
      <c r="H81" s="173" t="s">
        <v>96</v>
      </c>
      <c r="I81" s="167" t="s">
        <v>500</v>
      </c>
      <c r="J81" s="174">
        <v>146</v>
      </c>
      <c r="K81" s="173" t="s">
        <v>561</v>
      </c>
      <c r="L81" s="173" t="s">
        <v>562</v>
      </c>
      <c r="M81" s="167"/>
      <c r="N81" s="167"/>
      <c r="O81" s="167"/>
      <c r="P81" s="167"/>
      <c r="Q81" s="167"/>
      <c r="R81" s="167"/>
      <c r="S81" s="167"/>
    </row>
    <row r="82" spans="1:19">
      <c r="A82" s="167"/>
      <c r="B82" s="167"/>
      <c r="C82" s="170" t="s">
        <v>563</v>
      </c>
      <c r="D82" s="167"/>
      <c r="E82" s="167"/>
      <c r="F82" s="167"/>
      <c r="G82" s="167"/>
      <c r="H82" s="173" t="s">
        <v>96</v>
      </c>
      <c r="I82" s="167" t="s">
        <v>500</v>
      </c>
      <c r="J82" s="174">
        <v>66</v>
      </c>
      <c r="K82" s="173" t="s">
        <v>564</v>
      </c>
      <c r="L82" s="173" t="s">
        <v>565</v>
      </c>
      <c r="M82" s="167"/>
      <c r="N82" s="167"/>
      <c r="O82" s="167"/>
      <c r="P82" s="167"/>
      <c r="Q82" s="167"/>
      <c r="R82" s="167"/>
      <c r="S82" s="167"/>
    </row>
    <row r="83" spans="1:19">
      <c r="A83" s="167"/>
      <c r="B83" s="167"/>
      <c r="C83" s="170" t="s">
        <v>566</v>
      </c>
      <c r="D83" s="167"/>
      <c r="E83" s="167"/>
      <c r="F83" s="167"/>
      <c r="G83" s="167"/>
      <c r="H83" s="173" t="s">
        <v>96</v>
      </c>
      <c r="I83" s="167" t="s">
        <v>500</v>
      </c>
      <c r="J83" s="174">
        <v>60</v>
      </c>
      <c r="K83" s="173" t="s">
        <v>539</v>
      </c>
      <c r="L83" s="173" t="s">
        <v>567</v>
      </c>
      <c r="M83" s="167"/>
      <c r="N83" s="167"/>
      <c r="O83" s="167"/>
      <c r="P83" s="167"/>
      <c r="Q83" s="167"/>
      <c r="R83" s="167"/>
      <c r="S83" s="167"/>
    </row>
    <row r="84" spans="1:19">
      <c r="A84" s="167"/>
      <c r="B84" s="167"/>
      <c r="C84" s="170" t="s">
        <v>96</v>
      </c>
      <c r="D84" s="167"/>
      <c r="E84" s="167"/>
      <c r="F84" s="167"/>
      <c r="G84" s="167"/>
      <c r="H84" s="173" t="s">
        <v>96</v>
      </c>
      <c r="I84" s="167"/>
      <c r="J84" s="174" t="s">
        <v>96</v>
      </c>
      <c r="K84" s="173" t="s">
        <v>96</v>
      </c>
      <c r="L84" s="173" t="s">
        <v>96</v>
      </c>
      <c r="M84" s="167"/>
      <c r="N84" s="167"/>
      <c r="O84" s="167"/>
      <c r="P84" s="167"/>
      <c r="Q84" s="167"/>
      <c r="R84" s="167"/>
      <c r="S84" s="167"/>
    </row>
    <row r="85" spans="1:19">
      <c r="A85" s="167"/>
      <c r="B85" s="167"/>
      <c r="C85" s="170" t="s">
        <v>96</v>
      </c>
      <c r="D85" s="167"/>
      <c r="E85" s="167"/>
      <c r="F85" s="167"/>
      <c r="G85" s="167"/>
      <c r="H85" s="173" t="s">
        <v>96</v>
      </c>
      <c r="I85" s="167"/>
      <c r="J85" s="174" t="s">
        <v>96</v>
      </c>
      <c r="K85" s="173" t="s">
        <v>96</v>
      </c>
      <c r="L85" s="173" t="s">
        <v>96</v>
      </c>
      <c r="M85" s="167"/>
      <c r="N85" s="167"/>
      <c r="O85" s="167"/>
      <c r="P85" s="167"/>
      <c r="Q85" s="167"/>
      <c r="R85" s="167"/>
      <c r="S85" s="167"/>
    </row>
    <row r="86" spans="1:19">
      <c r="A86" s="167"/>
      <c r="B86" s="172" t="s">
        <v>519</v>
      </c>
      <c r="C86" s="170" t="s">
        <v>568</v>
      </c>
      <c r="D86" s="167"/>
      <c r="E86" s="167"/>
      <c r="F86" s="167"/>
      <c r="G86" s="167"/>
      <c r="H86" s="173" t="s">
        <v>96</v>
      </c>
      <c r="I86" s="167"/>
      <c r="J86" s="174" t="s">
        <v>96</v>
      </c>
      <c r="K86" s="173" t="s">
        <v>96</v>
      </c>
      <c r="L86" s="173" t="s">
        <v>96</v>
      </c>
      <c r="M86" s="167"/>
      <c r="N86" s="167"/>
      <c r="O86" s="167"/>
      <c r="P86" s="167"/>
      <c r="Q86" s="167"/>
      <c r="R86" s="167"/>
      <c r="S86" s="167"/>
    </row>
    <row r="87" spans="1:19">
      <c r="A87" s="167"/>
      <c r="B87" s="167"/>
      <c r="C87" s="170" t="s">
        <v>96</v>
      </c>
      <c r="D87" s="167"/>
      <c r="E87" s="167"/>
      <c r="F87" s="167"/>
      <c r="G87" s="167"/>
      <c r="H87" s="173" t="s">
        <v>96</v>
      </c>
      <c r="I87" s="167"/>
      <c r="J87" s="174" t="s">
        <v>96</v>
      </c>
      <c r="K87" s="173" t="s">
        <v>96</v>
      </c>
      <c r="L87" s="173" t="s">
        <v>96</v>
      </c>
      <c r="M87" s="167"/>
      <c r="N87" s="167"/>
      <c r="O87" s="167"/>
      <c r="P87" s="167"/>
      <c r="Q87" s="167"/>
      <c r="R87" s="167"/>
      <c r="S87" s="167"/>
    </row>
    <row r="88" spans="1:19">
      <c r="A88" s="167"/>
      <c r="B88" s="167"/>
      <c r="C88" s="170" t="s">
        <v>96</v>
      </c>
      <c r="D88" s="167"/>
      <c r="E88" s="167"/>
      <c r="F88" s="167"/>
      <c r="G88" s="167"/>
      <c r="H88" s="173" t="s">
        <v>96</v>
      </c>
      <c r="I88" s="167"/>
      <c r="J88" s="174" t="s">
        <v>96</v>
      </c>
      <c r="K88" s="173" t="s">
        <v>96</v>
      </c>
      <c r="L88" s="173" t="s">
        <v>96</v>
      </c>
      <c r="M88" s="167"/>
      <c r="N88" s="167"/>
      <c r="O88" s="167"/>
      <c r="P88" s="167"/>
      <c r="Q88" s="167"/>
      <c r="R88" s="167"/>
      <c r="S88" s="167"/>
    </row>
    <row r="89" spans="1:19">
      <c r="A89" s="167"/>
      <c r="B89" s="167"/>
      <c r="C89" s="170" t="s">
        <v>96</v>
      </c>
      <c r="D89" s="167"/>
      <c r="E89" s="167"/>
      <c r="F89" s="167"/>
      <c r="G89" s="167"/>
      <c r="H89" s="173" t="s">
        <v>96</v>
      </c>
      <c r="I89" s="167"/>
      <c r="J89" s="174" t="s">
        <v>96</v>
      </c>
      <c r="K89" s="173" t="s">
        <v>96</v>
      </c>
      <c r="L89" s="173" t="s">
        <v>96</v>
      </c>
      <c r="M89" s="167"/>
      <c r="N89" s="167"/>
      <c r="O89" s="167"/>
      <c r="P89" s="167"/>
      <c r="Q89" s="167"/>
      <c r="R89" s="167"/>
      <c r="S89" s="167"/>
    </row>
    <row r="90" spans="1:19">
      <c r="A90" s="167"/>
      <c r="B90" s="167"/>
      <c r="C90" s="170" t="s">
        <v>96</v>
      </c>
      <c r="D90" s="167"/>
      <c r="E90" s="167"/>
      <c r="F90" s="167"/>
      <c r="G90" s="167"/>
      <c r="H90" s="173" t="s">
        <v>96</v>
      </c>
      <c r="I90" s="167"/>
      <c r="J90" s="174" t="s">
        <v>96</v>
      </c>
      <c r="K90" s="173" t="s">
        <v>96</v>
      </c>
      <c r="L90" s="173" t="s">
        <v>96</v>
      </c>
      <c r="M90" s="167"/>
      <c r="N90" s="167"/>
      <c r="O90" s="167"/>
      <c r="P90" s="167"/>
      <c r="Q90" s="167"/>
      <c r="R90" s="167"/>
      <c r="S90" s="167"/>
    </row>
    <row r="91" spans="1:19">
      <c r="A91" s="167"/>
      <c r="B91" s="167"/>
      <c r="C91" s="170" t="s">
        <v>96</v>
      </c>
      <c r="D91" s="167"/>
      <c r="E91" s="167"/>
      <c r="F91" s="167"/>
      <c r="G91" s="167"/>
      <c r="H91" s="173" t="s">
        <v>96</v>
      </c>
      <c r="I91" s="167"/>
      <c r="J91" s="174" t="s">
        <v>96</v>
      </c>
      <c r="K91" s="173" t="s">
        <v>96</v>
      </c>
      <c r="L91" s="173" t="s">
        <v>96</v>
      </c>
      <c r="M91" s="167"/>
      <c r="N91" s="167"/>
      <c r="O91" s="167"/>
      <c r="P91" s="167"/>
      <c r="Q91" s="167"/>
      <c r="R91" s="167"/>
      <c r="S91" s="167"/>
    </row>
    <row r="92" spans="1:19">
      <c r="A92" s="167"/>
      <c r="B92" s="170" t="s">
        <v>96</v>
      </c>
      <c r="C92" s="170" t="s">
        <v>96</v>
      </c>
      <c r="D92" s="167"/>
      <c r="E92" s="167"/>
      <c r="F92" s="167"/>
      <c r="G92" s="167"/>
      <c r="H92" s="173" t="s">
        <v>96</v>
      </c>
      <c r="I92" s="167"/>
      <c r="J92" s="174" t="s">
        <v>96</v>
      </c>
      <c r="K92" s="173" t="s">
        <v>96</v>
      </c>
      <c r="L92" s="173" t="s">
        <v>96</v>
      </c>
      <c r="M92" s="167"/>
      <c r="N92" s="167"/>
      <c r="O92" s="167"/>
      <c r="P92" s="167"/>
      <c r="Q92" s="167"/>
      <c r="R92" s="167"/>
      <c r="S92" s="167"/>
    </row>
    <row r="93" spans="1:19">
      <c r="A93" s="167"/>
      <c r="B93" s="170" t="s">
        <v>96</v>
      </c>
      <c r="C93" s="170" t="s">
        <v>96</v>
      </c>
      <c r="D93" s="167"/>
      <c r="E93" s="167"/>
      <c r="F93" s="167"/>
      <c r="G93" s="167"/>
      <c r="H93" s="173" t="s">
        <v>96</v>
      </c>
      <c r="I93" s="167"/>
      <c r="J93" s="174" t="s">
        <v>96</v>
      </c>
      <c r="K93" s="173" t="s">
        <v>96</v>
      </c>
      <c r="L93" s="173" t="s">
        <v>96</v>
      </c>
      <c r="M93" s="167"/>
      <c r="N93" s="167"/>
      <c r="O93" s="167"/>
      <c r="P93" s="167"/>
      <c r="Q93" s="167"/>
      <c r="R93" s="167"/>
      <c r="S93" s="167"/>
    </row>
    <row r="94" spans="1:19">
      <c r="A94" s="167"/>
      <c r="B94" s="170" t="s">
        <v>96</v>
      </c>
      <c r="C94" s="168" t="s">
        <v>96</v>
      </c>
      <c r="D94" s="169" t="s">
        <v>96</v>
      </c>
      <c r="E94" s="169" t="s">
        <v>96</v>
      </c>
      <c r="F94" s="169" t="s">
        <v>96</v>
      </c>
      <c r="G94" s="169" t="s">
        <v>96</v>
      </c>
      <c r="H94" s="178" t="s">
        <v>96</v>
      </c>
      <c r="I94" s="169" t="s">
        <v>96</v>
      </c>
      <c r="J94" s="179" t="s">
        <v>96</v>
      </c>
      <c r="K94" s="178" t="s">
        <v>96</v>
      </c>
      <c r="L94" s="227">
        <v>880342</v>
      </c>
      <c r="M94" s="167"/>
      <c r="N94" s="167"/>
      <c r="O94" s="167"/>
      <c r="P94" s="167"/>
      <c r="Q94" s="167"/>
      <c r="R94" s="167"/>
      <c r="S94" s="167"/>
    </row>
  </sheetData>
  <mergeCells count="7">
    <mergeCell ref="B5:L5"/>
    <mergeCell ref="B6:B7"/>
    <mergeCell ref="C6:H7"/>
    <mergeCell ref="I6:I7"/>
    <mergeCell ref="J6:J7"/>
    <mergeCell ref="K6:K7"/>
    <mergeCell ref="L6:L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24"/>
  <sheetViews>
    <sheetView workbookViewId="0">
      <selection activeCell="E21" sqref="E21"/>
    </sheetView>
  </sheetViews>
  <sheetFormatPr defaultRowHeight="15"/>
  <cols>
    <col min="2" max="2" width="31.85546875" customWidth="1"/>
  </cols>
  <sheetData>
    <row r="2" spans="2:6">
      <c r="C2" t="s">
        <v>569</v>
      </c>
      <c r="D2" t="s">
        <v>570</v>
      </c>
      <c r="E2" t="s">
        <v>571</v>
      </c>
      <c r="F2" t="s">
        <v>572</v>
      </c>
    </row>
    <row r="3" spans="2:6">
      <c r="B3" t="s">
        <v>573</v>
      </c>
      <c r="C3">
        <v>0.3</v>
      </c>
      <c r="D3">
        <v>8802</v>
      </c>
    </row>
    <row r="4" spans="2:6">
      <c r="B4" t="s">
        <v>574</v>
      </c>
      <c r="C4">
        <v>3</v>
      </c>
      <c r="D4">
        <v>8802</v>
      </c>
      <c r="E4">
        <f>C4*D4</f>
        <v>26406</v>
      </c>
    </row>
    <row r="5" spans="2:6">
      <c r="B5" t="s">
        <v>575</v>
      </c>
      <c r="C5">
        <v>0.3</v>
      </c>
      <c r="D5">
        <v>7324</v>
      </c>
    </row>
    <row r="6" spans="2:6">
      <c r="B6" t="s">
        <v>576</v>
      </c>
      <c r="D6">
        <v>7324</v>
      </c>
    </row>
    <row r="8" spans="2:6">
      <c r="B8" t="s">
        <v>577</v>
      </c>
      <c r="F8">
        <f>(D13+D4)*0.085</f>
        <v>936.62675754000009</v>
      </c>
    </row>
    <row r="10" spans="2:6">
      <c r="B10" t="s">
        <v>578</v>
      </c>
      <c r="D10">
        <f>215+260+2+62+44+21+20+20+198+84+216</f>
        <v>1142</v>
      </c>
    </row>
    <row r="12" spans="2:6">
      <c r="B12" s="154" t="s">
        <v>579</v>
      </c>
    </row>
    <row r="13" spans="2:6">
      <c r="B13" s="154" t="s">
        <v>580</v>
      </c>
      <c r="D13">
        <f>SUM(D14:D17)</f>
        <v>2217.1383239999996</v>
      </c>
    </row>
    <row r="14" spans="2:6">
      <c r="B14" s="70" t="s">
        <v>581</v>
      </c>
      <c r="D14">
        <f>(50+4+4)*(17+2.4+2.5)</f>
        <v>1270.1999999999998</v>
      </c>
    </row>
    <row r="15" spans="2:6">
      <c r="B15" s="155" t="s">
        <v>582</v>
      </c>
      <c r="D15" s="153">
        <f>(18.541*7.452)</f>
        <v>138.16753199999999</v>
      </c>
    </row>
    <row r="16" spans="2:6">
      <c r="B16" s="155" t="s">
        <v>583</v>
      </c>
      <c r="D16" s="153">
        <f>(20.334*11.466)/2</f>
        <v>116.574822</v>
      </c>
    </row>
    <row r="17" spans="2:4">
      <c r="B17" s="70" t="s">
        <v>584</v>
      </c>
      <c r="D17" s="153">
        <f>((50+4-9.79)*(22.378+8.936))/2</f>
        <v>692.19596999999999</v>
      </c>
    </row>
    <row r="18" spans="2:4">
      <c r="B18" s="70"/>
      <c r="D18" s="153"/>
    </row>
    <row r="19" spans="2:4">
      <c r="B19" s="70" t="s">
        <v>585</v>
      </c>
      <c r="D19" s="153">
        <v>1286</v>
      </c>
    </row>
    <row r="20" spans="2:4">
      <c r="B20" s="70" t="s">
        <v>586</v>
      </c>
      <c r="D20" s="153">
        <v>830</v>
      </c>
    </row>
    <row r="21" spans="2:4">
      <c r="B21" s="70" t="s">
        <v>587</v>
      </c>
      <c r="D21">
        <v>800</v>
      </c>
    </row>
    <row r="23" spans="2:4">
      <c r="B23" t="s">
        <v>588</v>
      </c>
      <c r="D23">
        <v>1394</v>
      </c>
    </row>
    <row r="24" spans="2:4">
      <c r="B24" t="s">
        <v>589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40436-D4F0-449C-B0F9-D9D64BCD7B88}">
  <dimension ref="A1:G40"/>
  <sheetViews>
    <sheetView workbookViewId="0">
      <selection activeCell="N29" sqref="N29"/>
    </sheetView>
  </sheetViews>
  <sheetFormatPr defaultRowHeight="15"/>
  <sheetData>
    <row r="1" spans="1:7">
      <c r="A1" s="180">
        <v>44936</v>
      </c>
      <c r="B1" s="167"/>
      <c r="C1" s="167"/>
      <c r="D1" s="167"/>
      <c r="E1" s="167"/>
      <c r="F1" s="167"/>
      <c r="G1" s="167"/>
    </row>
    <row r="2" spans="1:7">
      <c r="A2" s="172" t="s">
        <v>590</v>
      </c>
      <c r="B2" s="172"/>
      <c r="C2" s="167"/>
      <c r="D2" s="167"/>
      <c r="E2" s="167"/>
      <c r="F2" s="167"/>
      <c r="G2" s="167"/>
    </row>
    <row r="3" spans="1:7">
      <c r="A3" s="167"/>
      <c r="B3" s="167"/>
      <c r="C3" s="167"/>
      <c r="D3" s="167"/>
      <c r="E3" s="167"/>
      <c r="F3" s="167"/>
      <c r="G3" s="167"/>
    </row>
    <row r="4" spans="1:7" ht="159">
      <c r="A4" s="167"/>
      <c r="B4" s="167" t="s">
        <v>591</v>
      </c>
      <c r="C4" s="181" t="s">
        <v>592</v>
      </c>
      <c r="D4" s="181" t="s">
        <v>593</v>
      </c>
      <c r="E4" s="167"/>
      <c r="F4" s="167"/>
      <c r="G4" s="167"/>
    </row>
    <row r="5" spans="1:7">
      <c r="A5" s="167"/>
      <c r="B5" s="167"/>
      <c r="C5" s="167"/>
      <c r="D5" s="167"/>
      <c r="E5" s="167"/>
      <c r="F5" s="167"/>
      <c r="G5" s="167"/>
    </row>
    <row r="6" spans="1:7">
      <c r="A6" s="309" t="s">
        <v>594</v>
      </c>
      <c r="B6" s="182" t="s">
        <v>595</v>
      </c>
      <c r="C6" s="183">
        <v>856.73</v>
      </c>
      <c r="D6" s="167">
        <v>137.29</v>
      </c>
      <c r="E6" s="167"/>
      <c r="F6" s="167"/>
      <c r="G6" s="167"/>
    </row>
    <row r="7" spans="1:7">
      <c r="A7" s="309"/>
      <c r="B7" s="182" t="s">
        <v>582</v>
      </c>
      <c r="C7" s="183">
        <v>142.69</v>
      </c>
      <c r="D7" s="167">
        <v>54.87</v>
      </c>
      <c r="E7" s="167"/>
      <c r="F7" s="167"/>
      <c r="G7" s="167"/>
    </row>
    <row r="8" spans="1:7">
      <c r="A8" s="309"/>
      <c r="B8" s="182" t="s">
        <v>583</v>
      </c>
      <c r="C8" s="183">
        <v>113.55</v>
      </c>
      <c r="D8" s="167">
        <v>51.68</v>
      </c>
      <c r="E8" s="167"/>
      <c r="F8" s="167"/>
      <c r="G8" s="167"/>
    </row>
    <row r="9" spans="1:7">
      <c r="A9" s="309"/>
      <c r="B9" s="182" t="s">
        <v>596</v>
      </c>
      <c r="C9" s="183">
        <v>772.04</v>
      </c>
      <c r="D9" s="167">
        <v>152.86000000000001</v>
      </c>
      <c r="E9" s="167"/>
      <c r="F9" s="167"/>
      <c r="G9" s="167"/>
    </row>
    <row r="10" spans="1:7">
      <c r="A10" s="309"/>
      <c r="B10" s="182" t="s">
        <v>597</v>
      </c>
      <c r="C10" s="183">
        <v>27.75</v>
      </c>
      <c r="D10" s="167">
        <v>21.14</v>
      </c>
      <c r="E10" s="167"/>
      <c r="F10" s="167"/>
      <c r="G10" s="167"/>
    </row>
    <row r="11" spans="1:7">
      <c r="A11" s="309"/>
      <c r="B11" s="182" t="s">
        <v>598</v>
      </c>
      <c r="C11" s="183">
        <v>24.01</v>
      </c>
      <c r="D11" s="167">
        <v>19.649999999999999</v>
      </c>
      <c r="E11" s="167"/>
      <c r="F11" s="167"/>
      <c r="G11" s="167"/>
    </row>
    <row r="12" spans="1:7">
      <c r="A12" s="309"/>
      <c r="B12" s="182" t="s">
        <v>599</v>
      </c>
      <c r="C12" s="183">
        <v>228.35</v>
      </c>
      <c r="D12" s="167">
        <v>91.12</v>
      </c>
      <c r="E12" s="167"/>
      <c r="F12" s="167"/>
      <c r="G12" s="167"/>
    </row>
    <row r="13" spans="1:7">
      <c r="A13" s="309"/>
      <c r="B13" s="182" t="s">
        <v>600</v>
      </c>
      <c r="C13" s="183">
        <v>449.52</v>
      </c>
      <c r="D13" s="167">
        <v>307.58999999999997</v>
      </c>
      <c r="E13" s="167"/>
      <c r="F13" s="167"/>
      <c r="G13" s="167"/>
    </row>
    <row r="14" spans="1:7">
      <c r="A14" s="309"/>
      <c r="B14" s="182" t="s">
        <v>597</v>
      </c>
      <c r="C14" s="183">
        <v>13.17</v>
      </c>
      <c r="D14" s="167">
        <v>14.52</v>
      </c>
      <c r="E14" s="167"/>
      <c r="F14" s="167"/>
      <c r="G14" s="167"/>
    </row>
    <row r="15" spans="1:7">
      <c r="A15" s="309"/>
      <c r="B15" s="182" t="s">
        <v>601</v>
      </c>
      <c r="C15" s="183">
        <v>5.8</v>
      </c>
      <c r="D15" s="167">
        <v>10.119999999999999</v>
      </c>
      <c r="E15" s="167"/>
      <c r="F15" s="167"/>
      <c r="G15" s="167"/>
    </row>
    <row r="16" spans="1:7">
      <c r="A16" s="309"/>
      <c r="B16" s="182" t="s">
        <v>602</v>
      </c>
      <c r="C16" s="183">
        <v>5.29</v>
      </c>
      <c r="D16" s="167">
        <v>15.35</v>
      </c>
      <c r="E16" s="167"/>
      <c r="F16" s="167"/>
      <c r="G16" s="167"/>
    </row>
    <row r="17" spans="1:7">
      <c r="A17" s="309"/>
      <c r="B17" s="182" t="s">
        <v>603</v>
      </c>
      <c r="C17" s="183">
        <v>59.93</v>
      </c>
      <c r="D17" s="167">
        <v>43.89</v>
      </c>
      <c r="E17" s="167"/>
      <c r="F17" s="167"/>
      <c r="G17" s="167"/>
    </row>
    <row r="18" spans="1:7">
      <c r="A18" s="309"/>
      <c r="B18" s="182" t="s">
        <v>604</v>
      </c>
      <c r="C18" s="183">
        <v>16.07</v>
      </c>
      <c r="D18" s="167">
        <v>17.63</v>
      </c>
      <c r="E18" s="167"/>
      <c r="F18" s="167"/>
      <c r="G18" s="167"/>
    </row>
    <row r="19" spans="1:7">
      <c r="A19" s="309"/>
      <c r="B19" s="182" t="s">
        <v>603</v>
      </c>
      <c r="C19" s="183">
        <v>6.09</v>
      </c>
      <c r="D19" s="167">
        <v>9.8699999999999992</v>
      </c>
      <c r="E19" s="167"/>
      <c r="F19" s="167"/>
      <c r="G19" s="167"/>
    </row>
    <row r="20" spans="1:7">
      <c r="A20" s="309"/>
      <c r="B20" s="184" t="s">
        <v>605</v>
      </c>
      <c r="C20" s="185">
        <v>2759.28</v>
      </c>
      <c r="D20" s="167">
        <v>233.45</v>
      </c>
      <c r="E20" s="167"/>
      <c r="F20" s="167"/>
      <c r="G20" s="167"/>
    </row>
    <row r="21" spans="1:7">
      <c r="A21" s="310" t="s">
        <v>606</v>
      </c>
      <c r="B21" s="186" t="s">
        <v>607</v>
      </c>
      <c r="C21" s="183">
        <v>125.58</v>
      </c>
      <c r="D21" s="167">
        <v>48.78</v>
      </c>
      <c r="E21" s="167"/>
      <c r="F21" s="167"/>
      <c r="G21" s="167"/>
    </row>
    <row r="22" spans="1:7">
      <c r="A22" s="310"/>
      <c r="B22" s="186" t="s">
        <v>607</v>
      </c>
      <c r="C22" s="183">
        <v>127.31</v>
      </c>
      <c r="D22" s="167">
        <v>46.86</v>
      </c>
      <c r="E22" s="167"/>
      <c r="F22" s="167"/>
      <c r="G22" s="167"/>
    </row>
    <row r="23" spans="1:7">
      <c r="A23" s="310"/>
      <c r="B23" s="186" t="s">
        <v>608</v>
      </c>
      <c r="C23" s="183">
        <v>454.79</v>
      </c>
      <c r="D23" s="167">
        <v>126.69</v>
      </c>
      <c r="E23" s="167"/>
      <c r="F23" s="167"/>
      <c r="G23" s="167"/>
    </row>
    <row r="24" spans="1:7">
      <c r="A24" s="310"/>
      <c r="B24" s="186" t="s">
        <v>609</v>
      </c>
      <c r="C24" s="183">
        <v>185.39</v>
      </c>
      <c r="D24" s="167">
        <v>77.13</v>
      </c>
      <c r="E24" s="167"/>
      <c r="F24" s="167"/>
      <c r="G24" s="167"/>
    </row>
    <row r="25" spans="1:7">
      <c r="A25" s="310"/>
      <c r="B25" s="186" t="s">
        <v>603</v>
      </c>
      <c r="C25" s="183">
        <v>99.47</v>
      </c>
      <c r="D25" s="167">
        <v>47.01</v>
      </c>
      <c r="E25" s="167"/>
      <c r="F25" s="167"/>
      <c r="G25" s="167"/>
    </row>
    <row r="26" spans="1:7">
      <c r="A26" s="310"/>
      <c r="B26" s="186" t="s">
        <v>610</v>
      </c>
      <c r="C26" s="183">
        <v>89.87</v>
      </c>
      <c r="D26" s="167">
        <v>50.12</v>
      </c>
      <c r="E26" s="167"/>
      <c r="F26" s="167"/>
      <c r="G26" s="167"/>
    </row>
    <row r="27" spans="1:7">
      <c r="A27" s="310"/>
      <c r="B27" s="186" t="s">
        <v>611</v>
      </c>
      <c r="C27" s="183">
        <v>272.19</v>
      </c>
      <c r="D27" s="167">
        <v>235.9</v>
      </c>
      <c r="E27" s="167"/>
      <c r="F27" s="167"/>
      <c r="G27" s="167"/>
    </row>
    <row r="28" spans="1:7">
      <c r="A28" s="310"/>
      <c r="B28" s="186" t="s">
        <v>612</v>
      </c>
      <c r="C28" s="183">
        <v>11.23</v>
      </c>
      <c r="D28" s="167">
        <v>13.77</v>
      </c>
      <c r="E28" s="167"/>
      <c r="F28" s="167"/>
      <c r="G28" s="167"/>
    </row>
    <row r="29" spans="1:7">
      <c r="A29" s="310"/>
      <c r="B29" s="186" t="s">
        <v>612</v>
      </c>
      <c r="C29" s="183">
        <v>14.91</v>
      </c>
      <c r="D29" s="167">
        <v>22.8</v>
      </c>
      <c r="E29" s="167"/>
      <c r="F29" s="167"/>
      <c r="G29" s="167"/>
    </row>
    <row r="30" spans="1:7">
      <c r="A30" s="310"/>
      <c r="B30" s="186" t="s">
        <v>612</v>
      </c>
      <c r="C30" s="183">
        <v>11.98</v>
      </c>
      <c r="D30" s="167">
        <v>14.14</v>
      </c>
      <c r="E30" s="167"/>
      <c r="F30" s="167"/>
      <c r="G30" s="167"/>
    </row>
    <row r="31" spans="1:7">
      <c r="A31" s="310"/>
      <c r="B31" s="186" t="s">
        <v>612</v>
      </c>
      <c r="C31" s="183">
        <v>11.04</v>
      </c>
      <c r="D31" s="167">
        <v>17.95</v>
      </c>
      <c r="E31" s="167"/>
      <c r="F31" s="167"/>
      <c r="G31" s="167"/>
    </row>
    <row r="32" spans="1:7">
      <c r="A32" s="310"/>
      <c r="B32" s="186" t="s">
        <v>612</v>
      </c>
      <c r="C32" s="183">
        <v>3.31</v>
      </c>
      <c r="D32" s="167">
        <v>9.19</v>
      </c>
      <c r="E32" s="167"/>
      <c r="F32" s="167"/>
      <c r="G32" s="167"/>
    </row>
    <row r="33" spans="1:7">
      <c r="A33" s="310"/>
      <c r="B33" s="186" t="s">
        <v>613</v>
      </c>
      <c r="C33" s="183">
        <v>18.43</v>
      </c>
      <c r="D33" s="167">
        <v>17.170000000000002</v>
      </c>
      <c r="E33" s="167"/>
      <c r="F33" s="167"/>
      <c r="G33" s="167"/>
    </row>
    <row r="34" spans="1:7">
      <c r="A34" s="310"/>
      <c r="B34" s="186" t="s">
        <v>612</v>
      </c>
      <c r="C34" s="183">
        <v>16.11</v>
      </c>
      <c r="D34" s="167">
        <v>18.64</v>
      </c>
      <c r="E34" s="167"/>
      <c r="F34" s="167"/>
      <c r="G34" s="167"/>
    </row>
    <row r="35" spans="1:7">
      <c r="A35" s="310"/>
      <c r="B35" s="186" t="s">
        <v>614</v>
      </c>
      <c r="C35" s="183">
        <v>14.99</v>
      </c>
      <c r="D35" s="167">
        <v>17.32</v>
      </c>
      <c r="E35" s="167"/>
      <c r="F35" s="167"/>
      <c r="G35" s="167"/>
    </row>
    <row r="36" spans="1:7">
      <c r="A36" s="310"/>
      <c r="B36" s="186" t="s">
        <v>615</v>
      </c>
      <c r="C36" s="183">
        <v>13.64</v>
      </c>
      <c r="D36" s="167">
        <v>17.190000000000001</v>
      </c>
      <c r="E36" s="167"/>
      <c r="F36" s="167"/>
      <c r="G36" s="167"/>
    </row>
    <row r="37" spans="1:7">
      <c r="A37" s="310"/>
      <c r="B37" s="187" t="s">
        <v>616</v>
      </c>
      <c r="C37" s="185">
        <v>1483.62</v>
      </c>
      <c r="D37" s="167">
        <v>220.58</v>
      </c>
      <c r="E37" s="167"/>
      <c r="F37" s="167"/>
      <c r="G37" s="167"/>
    </row>
    <row r="38" spans="1:7">
      <c r="A38" s="167"/>
      <c r="B38" s="167"/>
      <c r="C38" s="167"/>
      <c r="D38" s="167"/>
      <c r="E38" s="167"/>
      <c r="F38" s="167"/>
      <c r="G38" s="167"/>
    </row>
    <row r="39" spans="1:7">
      <c r="A39" s="167"/>
      <c r="B39" s="167"/>
      <c r="C39" s="167"/>
      <c r="D39" s="167"/>
      <c r="E39" s="167"/>
      <c r="F39" s="167"/>
      <c r="G39" s="167"/>
    </row>
    <row r="40" spans="1:7">
      <c r="A40" t="s">
        <v>617</v>
      </c>
      <c r="B40" t="s">
        <v>618</v>
      </c>
      <c r="D40" s="251">
        <f>C37+C20</f>
        <v>4242.8999999999996</v>
      </c>
    </row>
  </sheetData>
  <mergeCells count="2">
    <mergeCell ref="A6:A20"/>
    <mergeCell ref="A21:A3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L62"/>
  <sheetViews>
    <sheetView view="pageBreakPreview" zoomScale="70" zoomScaleNormal="40" zoomScaleSheetLayoutView="70" workbookViewId="0">
      <selection activeCell="Y21" sqref="Y21"/>
    </sheetView>
  </sheetViews>
  <sheetFormatPr defaultColWidth="9.28515625" defaultRowHeight="19.5" customHeight="1"/>
  <cols>
    <col min="1" max="1" width="3" style="28" customWidth="1"/>
    <col min="2" max="2" width="14.42578125" style="28" customWidth="1"/>
    <col min="3" max="3" width="14.42578125" style="29" customWidth="1"/>
    <col min="4" max="4" width="9.28515625" style="30"/>
    <col min="5" max="5" width="12.140625" style="28" customWidth="1"/>
    <col min="6" max="6" width="9.28515625" style="28"/>
    <col min="7" max="7" width="21.7109375" style="28" customWidth="1"/>
    <col min="8" max="8" width="9.7109375" style="28" customWidth="1"/>
    <col min="9" max="9" width="13.28515625" style="28" customWidth="1"/>
    <col min="10" max="10" width="7.85546875" style="28" customWidth="1"/>
    <col min="11" max="11" width="27.42578125" style="28" customWidth="1"/>
    <col min="12" max="12" width="11.28515625" style="28" customWidth="1"/>
    <col min="13" max="13" width="10.7109375" style="28" customWidth="1"/>
    <col min="14" max="14" width="3.7109375" style="28" customWidth="1"/>
    <col min="15" max="15" width="5.42578125" style="28" customWidth="1"/>
    <col min="16" max="16384" width="9.28515625" style="28"/>
  </cols>
  <sheetData>
    <row r="1" spans="1:38" ht="19.5" customHeight="1">
      <c r="A1" s="14" t="s">
        <v>619</v>
      </c>
    </row>
    <row r="2" spans="1:38" ht="19.5" customHeight="1">
      <c r="A2" s="14" t="s">
        <v>620</v>
      </c>
    </row>
    <row r="3" spans="1:38" s="32" customFormat="1" ht="19.5" customHeight="1" thickBot="1">
      <c r="A3" s="31"/>
      <c r="C3" s="33"/>
      <c r="D3" s="34"/>
    </row>
    <row r="4" spans="1:38" s="32" customFormat="1" ht="19.5" customHeight="1" thickBot="1">
      <c r="A4" s="28"/>
      <c r="B4" s="28"/>
      <c r="C4" s="29"/>
      <c r="D4" s="30"/>
      <c r="E4" s="28"/>
      <c r="F4" s="28"/>
      <c r="G4" s="28"/>
      <c r="H4" s="28"/>
      <c r="I4" s="28"/>
      <c r="J4" s="28"/>
      <c r="K4" s="28"/>
      <c r="L4" s="28"/>
      <c r="M4" s="28"/>
      <c r="S4" s="77" t="s">
        <v>621</v>
      </c>
      <c r="T4" s="78"/>
      <c r="U4" s="78"/>
      <c r="V4" s="78"/>
      <c r="W4" s="78"/>
      <c r="X4" s="78"/>
      <c r="Y4" s="78"/>
      <c r="Z4" s="79"/>
      <c r="AA4"/>
      <c r="AC4" s="74" t="s">
        <v>622</v>
      </c>
      <c r="AD4" s="75"/>
      <c r="AE4" s="75"/>
      <c r="AF4" s="75"/>
      <c r="AG4" s="75"/>
      <c r="AH4" s="75"/>
      <c r="AI4" s="75"/>
      <c r="AJ4" s="75"/>
      <c r="AK4" s="75"/>
      <c r="AL4" s="76"/>
    </row>
    <row r="5" spans="1:38" ht="19.5" customHeight="1" thickBot="1">
      <c r="A5" s="35"/>
      <c r="B5" s="311" t="s">
        <v>623</v>
      </c>
      <c r="C5" s="312"/>
      <c r="D5" s="312"/>
      <c r="E5" s="36"/>
      <c r="F5" s="37"/>
      <c r="G5" s="313" t="s">
        <v>624</v>
      </c>
      <c r="H5" s="314"/>
      <c r="I5" s="43"/>
      <c r="J5" s="37"/>
      <c r="K5" s="61" t="s">
        <v>625</v>
      </c>
      <c r="L5" s="62"/>
      <c r="M5" s="37"/>
      <c r="S5"/>
      <c r="T5"/>
      <c r="U5"/>
      <c r="V5"/>
      <c r="W5"/>
      <c r="X5"/>
      <c r="Y5"/>
      <c r="Z5"/>
      <c r="AA5"/>
    </row>
    <row r="6" spans="1:38" ht="19.5" customHeight="1" thickBot="1">
      <c r="A6" s="35"/>
      <c r="B6" s="32" t="s">
        <v>626</v>
      </c>
      <c r="C6" s="33"/>
      <c r="D6" s="34"/>
      <c r="E6" s="38"/>
      <c r="F6" s="37"/>
      <c r="G6" s="313" t="s">
        <v>627</v>
      </c>
      <c r="H6" s="314"/>
      <c r="I6" s="43"/>
      <c r="J6" s="37"/>
      <c r="K6" s="44" t="s">
        <v>571</v>
      </c>
      <c r="L6" s="84">
        <f>(D11*D23)*0.15</f>
        <v>124.42301999999999</v>
      </c>
      <c r="M6" s="38" t="s">
        <v>118</v>
      </c>
      <c r="N6" s="35"/>
      <c r="O6" s="35"/>
      <c r="P6" s="35"/>
      <c r="Q6" s="35"/>
      <c r="S6"/>
      <c r="T6"/>
      <c r="U6"/>
      <c r="V6"/>
      <c r="W6"/>
      <c r="X6"/>
      <c r="Y6"/>
      <c r="Z6"/>
      <c r="AA6"/>
    </row>
    <row r="7" spans="1:38" s="35" customFormat="1" ht="19.5" customHeight="1">
      <c r="A7" s="32"/>
      <c r="B7" s="32"/>
      <c r="C7" s="33">
        <v>6.3</v>
      </c>
      <c r="D7" s="34"/>
      <c r="E7" s="38"/>
      <c r="F7" s="38"/>
      <c r="G7" s="40" t="s">
        <v>626</v>
      </c>
      <c r="H7" s="38"/>
      <c r="I7" s="38"/>
      <c r="J7" s="38"/>
      <c r="K7" s="44" t="s">
        <v>570</v>
      </c>
      <c r="L7" s="84">
        <f>D11*D23</f>
        <v>829.48680000000002</v>
      </c>
      <c r="M7" s="38" t="s">
        <v>79</v>
      </c>
      <c r="N7" s="32"/>
      <c r="O7" s="32"/>
      <c r="P7" s="32"/>
      <c r="Q7" s="32"/>
      <c r="S7" s="12" t="s">
        <v>628</v>
      </c>
      <c r="T7" s="12">
        <v>5.9249999999999998</v>
      </c>
      <c r="U7"/>
      <c r="V7" s="12" t="s">
        <v>629</v>
      </c>
      <c r="W7" s="12">
        <v>5.9249999999999998</v>
      </c>
      <c r="X7"/>
      <c r="Y7" s="12" t="s">
        <v>630</v>
      </c>
      <c r="Z7" s="12">
        <v>5.0750000000000002</v>
      </c>
      <c r="AA7"/>
    </row>
    <row r="8" spans="1:38" s="32" customFormat="1" ht="19.5" customHeight="1">
      <c r="C8" s="33">
        <v>3.75</v>
      </c>
      <c r="D8" s="34"/>
      <c r="E8" s="38"/>
      <c r="F8" s="38"/>
      <c r="G8" s="38"/>
      <c r="H8" s="38">
        <v>6.3</v>
      </c>
      <c r="I8" s="38"/>
      <c r="J8" s="38"/>
      <c r="K8" s="44"/>
      <c r="L8" s="62"/>
      <c r="M8" s="38"/>
      <c r="S8" s="12" t="s">
        <v>631</v>
      </c>
      <c r="T8" s="12">
        <v>5.9249999999999998</v>
      </c>
      <c r="U8"/>
      <c r="V8" s="12" t="s">
        <v>632</v>
      </c>
      <c r="W8" s="12">
        <v>5.9249999999999998</v>
      </c>
      <c r="X8"/>
      <c r="Y8" s="12" t="s">
        <v>633</v>
      </c>
      <c r="Z8" s="12">
        <v>5.9249999999999998</v>
      </c>
      <c r="AA8"/>
    </row>
    <row r="9" spans="1:38" s="32" customFormat="1" ht="19.5" customHeight="1">
      <c r="C9" s="33">
        <v>3.75</v>
      </c>
      <c r="D9" s="34"/>
      <c r="E9" s="38"/>
      <c r="F9" s="38"/>
      <c r="G9" s="38"/>
      <c r="H9" s="38">
        <v>3.95</v>
      </c>
      <c r="I9" s="38"/>
      <c r="J9" s="38"/>
      <c r="K9" s="44" t="s">
        <v>634</v>
      </c>
      <c r="L9" s="84">
        <f>(D11+2)*(D23+2)</f>
        <v>956.22280000000012</v>
      </c>
      <c r="M9" s="38" t="s">
        <v>79</v>
      </c>
      <c r="S9" s="12" t="s">
        <v>635</v>
      </c>
      <c r="T9" s="12">
        <v>5.9249999999999998</v>
      </c>
      <c r="U9"/>
      <c r="V9" s="12" t="s">
        <v>636</v>
      </c>
      <c r="W9" s="12">
        <v>5.9249999999999998</v>
      </c>
      <c r="X9"/>
      <c r="Y9" s="12" t="s">
        <v>637</v>
      </c>
      <c r="Z9" s="12">
        <v>5.9249999999999998</v>
      </c>
      <c r="AA9"/>
    </row>
    <row r="10" spans="1:38" s="32" customFormat="1" ht="19.5" customHeight="1">
      <c r="C10" s="33">
        <v>6.3</v>
      </c>
      <c r="D10" s="34"/>
      <c r="E10" s="38"/>
      <c r="F10" s="38"/>
      <c r="G10" s="38"/>
      <c r="H10" s="38">
        <v>2.35</v>
      </c>
      <c r="I10" s="38"/>
      <c r="J10" s="38"/>
      <c r="K10" s="38"/>
      <c r="L10" s="62"/>
      <c r="M10" s="38"/>
      <c r="S10" s="12" t="s">
        <v>638</v>
      </c>
      <c r="T10" s="12">
        <v>5.9249999999999998</v>
      </c>
      <c r="U10"/>
      <c r="V10" s="12" t="s">
        <v>639</v>
      </c>
      <c r="W10" s="12">
        <v>5.9249999999999998</v>
      </c>
      <c r="X10"/>
      <c r="Y10" s="12" t="s">
        <v>640</v>
      </c>
      <c r="Z10" s="12">
        <v>5.9249999999999998</v>
      </c>
      <c r="AA10"/>
    </row>
    <row r="11" spans="1:38" s="32" customFormat="1" ht="19.5" customHeight="1" thickBot="1">
      <c r="C11" s="33"/>
      <c r="D11" s="34">
        <f>SUM(C7:C10)</f>
        <v>20.100000000000001</v>
      </c>
      <c r="E11" s="38"/>
      <c r="F11" s="38"/>
      <c r="G11" s="38"/>
      <c r="H11" s="38">
        <v>3.75</v>
      </c>
      <c r="I11" s="38"/>
      <c r="J11" s="38"/>
      <c r="L11" s="63"/>
      <c r="M11" s="38"/>
      <c r="S11" s="12" t="s">
        <v>641</v>
      </c>
      <c r="T11" s="12">
        <v>5.9249999999999998</v>
      </c>
      <c r="U11"/>
      <c r="V11" s="12" t="s">
        <v>642</v>
      </c>
      <c r="W11" s="12">
        <v>5.9249999999999998</v>
      </c>
      <c r="X11"/>
      <c r="Y11" s="12" t="s">
        <v>643</v>
      </c>
      <c r="Z11" s="12">
        <v>5.9249999999999998</v>
      </c>
      <c r="AA11"/>
    </row>
    <row r="12" spans="1:38" s="32" customFormat="1" ht="19.5" customHeight="1" thickBot="1">
      <c r="C12" s="33"/>
      <c r="D12" s="34"/>
      <c r="E12" s="38"/>
      <c r="F12" s="38"/>
      <c r="G12" s="38"/>
      <c r="H12" s="38">
        <v>3.75</v>
      </c>
      <c r="I12" s="38"/>
      <c r="J12" s="38"/>
      <c r="K12" s="61" t="s">
        <v>644</v>
      </c>
      <c r="L12" s="38"/>
      <c r="M12" s="38"/>
      <c r="S12" s="12" t="s">
        <v>645</v>
      </c>
      <c r="T12" s="12">
        <v>5.9249999999999998</v>
      </c>
      <c r="U12"/>
      <c r="V12" s="12" t="s">
        <v>646</v>
      </c>
      <c r="W12" s="12">
        <v>5.9249999999999998</v>
      </c>
      <c r="X12"/>
      <c r="Y12" s="12" t="s">
        <v>647</v>
      </c>
      <c r="Z12" s="12">
        <v>5.9249999999999998</v>
      </c>
      <c r="AA12"/>
    </row>
    <row r="13" spans="1:38" s="32" customFormat="1" ht="19.5" customHeight="1">
      <c r="C13" s="34"/>
      <c r="E13" s="38"/>
      <c r="F13" s="38"/>
      <c r="G13" s="38"/>
      <c r="H13" s="38">
        <v>3.95</v>
      </c>
      <c r="I13" s="38"/>
      <c r="J13" s="38"/>
      <c r="K13" s="44" t="s">
        <v>571</v>
      </c>
      <c r="L13" s="84">
        <f>11.5*0.2</f>
        <v>2.3000000000000003</v>
      </c>
      <c r="M13" s="38" t="s">
        <v>118</v>
      </c>
      <c r="S13" s="12" t="s">
        <v>648</v>
      </c>
      <c r="T13" s="12">
        <v>5.9249999999999998</v>
      </c>
      <c r="U13"/>
      <c r="V13" s="12" t="s">
        <v>649</v>
      </c>
      <c r="W13" s="12">
        <v>5.9249999999999998</v>
      </c>
      <c r="X13"/>
      <c r="Y13" s="12" t="s">
        <v>650</v>
      </c>
      <c r="Z13" s="12">
        <v>5.9249999999999998</v>
      </c>
      <c r="AA13"/>
    </row>
    <row r="14" spans="1:38" s="32" customFormat="1" ht="19.5" customHeight="1">
      <c r="B14" s="41" t="s">
        <v>651</v>
      </c>
      <c r="C14" s="33"/>
      <c r="D14" s="34"/>
      <c r="E14" s="38"/>
      <c r="F14" s="38"/>
      <c r="G14" s="38"/>
      <c r="H14" s="38">
        <v>2.35</v>
      </c>
      <c r="I14" s="38"/>
      <c r="J14" s="38"/>
      <c r="K14" s="44" t="s">
        <v>570</v>
      </c>
      <c r="L14" s="84">
        <v>11.5</v>
      </c>
      <c r="M14" s="38" t="s">
        <v>79</v>
      </c>
      <c r="S14" s="12" t="s">
        <v>652</v>
      </c>
      <c r="T14" s="12">
        <v>5.9249999999999998</v>
      </c>
      <c r="U14"/>
      <c r="V14" s="12" t="s">
        <v>653</v>
      </c>
      <c r="W14" s="12">
        <v>5.9249999999999998</v>
      </c>
      <c r="X14"/>
      <c r="Y14" s="12" t="s">
        <v>654</v>
      </c>
      <c r="Z14" s="12">
        <v>5.4749999999999996</v>
      </c>
      <c r="AA14"/>
    </row>
    <row r="15" spans="1:38" s="32" customFormat="1" ht="19.5" customHeight="1">
      <c r="C15" s="33">
        <v>3.95</v>
      </c>
      <c r="D15" s="34"/>
      <c r="E15" s="38"/>
      <c r="F15" s="38"/>
      <c r="G15" s="38"/>
      <c r="H15" s="38">
        <v>6.3</v>
      </c>
      <c r="I15" s="38"/>
      <c r="J15" s="38"/>
      <c r="K15" s="38"/>
      <c r="L15" s="38"/>
      <c r="M15" s="38"/>
      <c r="S15" s="12" t="s">
        <v>655</v>
      </c>
      <c r="T15" s="12">
        <v>5.9249999999999998</v>
      </c>
      <c r="U15"/>
      <c r="V15" s="12" t="s">
        <v>656</v>
      </c>
      <c r="W15" s="12">
        <v>5.9249999999999998</v>
      </c>
      <c r="X15"/>
      <c r="Y15" s="12" t="s">
        <v>657</v>
      </c>
      <c r="Z15" s="12">
        <v>5.4749999999999996</v>
      </c>
      <c r="AA15"/>
    </row>
    <row r="16" spans="1:38" s="32" customFormat="1" ht="19.5" customHeight="1" thickBot="1">
      <c r="C16" s="33">
        <v>2.35</v>
      </c>
      <c r="D16" s="34"/>
      <c r="E16" s="38"/>
      <c r="F16" s="38"/>
      <c r="G16" s="38"/>
      <c r="H16" s="38"/>
      <c r="I16" s="44">
        <f>SUM(H8:H15)</f>
        <v>32.700000000000003</v>
      </c>
      <c r="J16" s="38"/>
      <c r="K16" s="38"/>
      <c r="L16" s="38"/>
      <c r="M16" s="38"/>
      <c r="S16" s="12" t="s">
        <v>658</v>
      </c>
      <c r="T16" s="12">
        <v>5.9249999999999998</v>
      </c>
      <c r="U16"/>
      <c r="V16" s="12" t="s">
        <v>659</v>
      </c>
      <c r="W16" s="12">
        <v>5.9249999999999998</v>
      </c>
      <c r="X16"/>
      <c r="Y16" s="12" t="s">
        <v>660</v>
      </c>
      <c r="Z16" s="12">
        <v>5.4749999999999996</v>
      </c>
      <c r="AA16"/>
    </row>
    <row r="17" spans="1:27" s="32" customFormat="1" ht="19.5" customHeight="1" thickBot="1">
      <c r="C17" s="33">
        <v>3.95</v>
      </c>
      <c r="D17" s="34"/>
      <c r="E17" s="38"/>
      <c r="F17" s="38"/>
      <c r="G17" s="38"/>
      <c r="H17" s="38"/>
      <c r="I17" s="38"/>
      <c r="J17" s="38"/>
      <c r="K17" s="61" t="s">
        <v>661</v>
      </c>
      <c r="L17" s="38"/>
      <c r="M17" s="38"/>
      <c r="S17" s="12" t="s">
        <v>662</v>
      </c>
      <c r="T17" s="12">
        <v>5.9249999999999998</v>
      </c>
      <c r="U17"/>
      <c r="V17" s="12" t="s">
        <v>663</v>
      </c>
      <c r="W17" s="12">
        <v>5.9249999999999998</v>
      </c>
      <c r="X17"/>
      <c r="Y17" s="12" t="s">
        <v>664</v>
      </c>
      <c r="Z17" s="12">
        <v>5.4749999999999996</v>
      </c>
      <c r="AA17"/>
    </row>
    <row r="18" spans="1:27" s="32" customFormat="1" ht="19.5" customHeight="1">
      <c r="C18" s="33">
        <v>6.3</v>
      </c>
      <c r="D18" s="34"/>
      <c r="E18" s="38"/>
      <c r="F18" s="38"/>
      <c r="G18" s="45" t="s">
        <v>651</v>
      </c>
      <c r="H18" s="38"/>
      <c r="I18" s="38"/>
      <c r="J18" s="38"/>
      <c r="K18" s="38" t="s">
        <v>665</v>
      </c>
      <c r="L18" s="38">
        <v>7.9</v>
      </c>
      <c r="M18" s="38"/>
      <c r="S18" s="12" t="s">
        <v>666</v>
      </c>
      <c r="T18" s="12">
        <v>5.9249999999999998</v>
      </c>
      <c r="U18"/>
      <c r="V18" s="12" t="s">
        <v>667</v>
      </c>
      <c r="W18" s="12">
        <v>5.9249999999999998</v>
      </c>
      <c r="X18"/>
      <c r="Y18" s="12" t="s">
        <v>668</v>
      </c>
      <c r="Z18" s="12">
        <v>5.9249999999999998</v>
      </c>
      <c r="AA18"/>
    </row>
    <row r="19" spans="1:27" s="32" customFormat="1" ht="19.5" customHeight="1">
      <c r="C19" s="42">
        <v>6.3</v>
      </c>
      <c r="E19" s="38"/>
      <c r="F19" s="38"/>
      <c r="G19" s="38"/>
      <c r="H19" s="38">
        <v>3.95</v>
      </c>
      <c r="I19" s="38"/>
      <c r="J19" s="38"/>
      <c r="K19" s="38"/>
      <c r="L19" s="38">
        <v>6.5750000000000002</v>
      </c>
      <c r="M19" s="38"/>
      <c r="S19" s="12" t="s">
        <v>669</v>
      </c>
      <c r="T19" s="12">
        <v>5.9249999999999998</v>
      </c>
      <c r="U19"/>
      <c r="V19" s="12" t="s">
        <v>670</v>
      </c>
      <c r="W19" s="12">
        <v>5.9249999999999998</v>
      </c>
      <c r="X19"/>
      <c r="Y19"/>
      <c r="Z19" s="10">
        <f>SUM(Z7:Z18)</f>
        <v>68.45</v>
      </c>
      <c r="AA19"/>
    </row>
    <row r="20" spans="1:27" s="32" customFormat="1" ht="19.5" customHeight="1">
      <c r="C20" s="42">
        <v>6.3</v>
      </c>
      <c r="D20" s="34"/>
      <c r="E20" s="38"/>
      <c r="F20" s="38"/>
      <c r="G20" s="38"/>
      <c r="H20" s="38">
        <v>2.35</v>
      </c>
      <c r="I20" s="38"/>
      <c r="J20" s="38"/>
      <c r="L20" s="38"/>
      <c r="M20" s="44">
        <f>L19*L18</f>
        <v>51.942500000000003</v>
      </c>
      <c r="S20" s="12" t="s">
        <v>671</v>
      </c>
      <c r="T20" s="12">
        <v>5.9249999999999998</v>
      </c>
      <c r="U20"/>
      <c r="V20" s="12" t="s">
        <v>672</v>
      </c>
      <c r="W20" s="12">
        <v>5.9249999999999998</v>
      </c>
      <c r="X20"/>
      <c r="Y20"/>
      <c r="Z20"/>
      <c r="AA20"/>
    </row>
    <row r="21" spans="1:27" s="32" customFormat="1" ht="19.5" customHeight="1">
      <c r="C21" s="42">
        <v>6.3</v>
      </c>
      <c r="D21" s="34"/>
      <c r="E21" s="38"/>
      <c r="F21" s="38"/>
      <c r="G21" s="38"/>
      <c r="H21" s="38">
        <v>3.95</v>
      </c>
      <c r="I21" s="38"/>
      <c r="J21" s="38"/>
      <c r="K21" s="38" t="s">
        <v>673</v>
      </c>
      <c r="L21" s="38">
        <v>7.9</v>
      </c>
      <c r="M21" s="38"/>
      <c r="S21" s="12" t="s">
        <v>674</v>
      </c>
      <c r="T21" s="12">
        <v>5.9249999999999998</v>
      </c>
      <c r="U21"/>
      <c r="V21" s="12" t="s">
        <v>675</v>
      </c>
      <c r="W21" s="12">
        <v>5.9249999999999998</v>
      </c>
      <c r="X21"/>
      <c r="Y21"/>
      <c r="Z21"/>
      <c r="AA21"/>
    </row>
    <row r="22" spans="1:27" s="32" customFormat="1" ht="19.5" customHeight="1">
      <c r="C22" s="42">
        <v>5.8179999999999996</v>
      </c>
      <c r="D22" s="34"/>
      <c r="E22" s="38"/>
      <c r="F22" s="38"/>
      <c r="G22" s="38"/>
      <c r="H22" s="38">
        <v>6.3</v>
      </c>
      <c r="I22" s="38"/>
      <c r="J22" s="38"/>
      <c r="K22" s="38"/>
      <c r="L22" s="38">
        <v>5.5</v>
      </c>
      <c r="M22" s="38"/>
      <c r="S22" s="12" t="s">
        <v>676</v>
      </c>
      <c r="T22" s="12">
        <v>5.9249999999999998</v>
      </c>
      <c r="U22"/>
      <c r="V22" s="12" t="s">
        <v>677</v>
      </c>
      <c r="W22" s="12">
        <v>5.9249999999999998</v>
      </c>
      <c r="X22"/>
      <c r="Y22"/>
      <c r="Z22"/>
      <c r="AA22"/>
    </row>
    <row r="23" spans="1:27" s="32" customFormat="1" ht="19.5" customHeight="1">
      <c r="C23" s="34"/>
      <c r="D23" s="34">
        <f>SUM(C15:C22)</f>
        <v>41.268000000000001</v>
      </c>
      <c r="E23" s="38"/>
      <c r="F23" s="38"/>
      <c r="G23" s="38"/>
      <c r="H23" s="38">
        <v>6.3</v>
      </c>
      <c r="I23" s="38"/>
      <c r="J23" s="38"/>
      <c r="K23" s="38"/>
      <c r="M23" s="44">
        <f>L21*L22</f>
        <v>43.45</v>
      </c>
      <c r="S23" s="12" t="s">
        <v>678</v>
      </c>
      <c r="T23" s="12">
        <v>5.9249999999999998</v>
      </c>
      <c r="U23"/>
      <c r="V23" s="12" t="s">
        <v>679</v>
      </c>
      <c r="W23" s="12">
        <v>5.9249999999999998</v>
      </c>
      <c r="X23"/>
      <c r="Y23"/>
      <c r="Z23"/>
      <c r="AA23"/>
    </row>
    <row r="24" spans="1:27" s="32" customFormat="1" ht="19.5" customHeight="1">
      <c r="C24" s="34"/>
      <c r="D24" s="34"/>
      <c r="E24" s="38"/>
      <c r="F24" s="38"/>
      <c r="G24" s="38"/>
      <c r="H24" s="38">
        <v>6.3</v>
      </c>
      <c r="I24" s="38"/>
      <c r="J24" s="38"/>
      <c r="K24" s="38"/>
      <c r="L24" s="38">
        <f>2.68+0.9+1.785</f>
        <v>5.3650000000000002</v>
      </c>
      <c r="M24" s="38"/>
      <c r="S24" s="12" t="s">
        <v>680</v>
      </c>
      <c r="T24" s="12">
        <v>5.9249999999999998</v>
      </c>
      <c r="U24"/>
      <c r="V24" s="12" t="s">
        <v>681</v>
      </c>
      <c r="W24" s="12">
        <v>5.9249999999999998</v>
      </c>
      <c r="X24"/>
      <c r="Y24"/>
      <c r="Z24"/>
      <c r="AA24"/>
    </row>
    <row r="25" spans="1:27" s="32" customFormat="1" ht="19.5" customHeight="1">
      <c r="B25" s="32" t="s">
        <v>682</v>
      </c>
      <c r="C25" s="34"/>
      <c r="D25" s="34"/>
      <c r="E25" s="38"/>
      <c r="F25" s="38"/>
      <c r="G25" s="38"/>
      <c r="H25" s="38">
        <v>6.3</v>
      </c>
      <c r="I25" s="38"/>
      <c r="J25" s="38"/>
      <c r="K25" s="38"/>
      <c r="L25" s="38">
        <v>6.3</v>
      </c>
      <c r="M25" s="38"/>
      <c r="S25" s="12" t="s">
        <v>683</v>
      </c>
      <c r="T25" s="12">
        <v>5.9249999999999998</v>
      </c>
      <c r="U25"/>
      <c r="V25" s="12" t="s">
        <v>684</v>
      </c>
      <c r="W25" s="12">
        <v>5.9249999999999998</v>
      </c>
      <c r="X25"/>
      <c r="Y25"/>
      <c r="Z25">
        <f>Z19/L7</f>
        <v>8.2520903286224689E-2</v>
      </c>
      <c r="AA25"/>
    </row>
    <row r="26" spans="1:27" s="32" customFormat="1" ht="19.5" customHeight="1">
      <c r="C26" s="33">
        <v>6.3</v>
      </c>
      <c r="D26" s="34"/>
      <c r="E26" s="38"/>
      <c r="F26" s="38"/>
      <c r="G26" s="38"/>
      <c r="H26" s="38">
        <v>5.8179999999999996</v>
      </c>
      <c r="I26" s="38"/>
      <c r="J26" s="38"/>
      <c r="K26" s="38"/>
      <c r="L26" s="38"/>
      <c r="M26" s="44">
        <f>L24*L25</f>
        <v>33.799500000000002</v>
      </c>
      <c r="S26" s="12" t="s">
        <v>685</v>
      </c>
      <c r="T26" s="12">
        <v>5.9249999999999998</v>
      </c>
      <c r="U26"/>
      <c r="V26" s="12" t="s">
        <v>686</v>
      </c>
      <c r="W26" s="12">
        <v>5.9249999999999998</v>
      </c>
      <c r="X26"/>
      <c r="Y26"/>
      <c r="Z26"/>
      <c r="AA26"/>
    </row>
    <row r="27" spans="1:27" s="32" customFormat="1" ht="19.5" customHeight="1">
      <c r="C27" s="33">
        <v>3.75</v>
      </c>
      <c r="D27" s="34"/>
      <c r="E27" s="38"/>
      <c r="F27" s="38"/>
      <c r="G27" s="38"/>
      <c r="H27" s="38"/>
      <c r="I27" s="44">
        <f>SUM(H19:H26)</f>
        <v>41.268000000000001</v>
      </c>
      <c r="J27" s="38"/>
      <c r="K27" s="38"/>
      <c r="L27" s="38"/>
      <c r="M27" s="129">
        <f>SUM(M20:M26)</f>
        <v>129.19200000000001</v>
      </c>
      <c r="N27" s="32" t="s">
        <v>79</v>
      </c>
      <c r="S27" s="12" t="s">
        <v>687</v>
      </c>
      <c r="T27" s="12">
        <v>5.9249999999999998</v>
      </c>
      <c r="U27"/>
      <c r="V27" s="12" t="s">
        <v>688</v>
      </c>
      <c r="W27" s="12">
        <v>5.0750000000000002</v>
      </c>
      <c r="X27"/>
      <c r="Y27"/>
      <c r="Z27"/>
      <c r="AA27"/>
    </row>
    <row r="28" spans="1:27" s="32" customFormat="1" ht="19.5" customHeight="1">
      <c r="A28" s="28"/>
      <c r="C28" s="33">
        <v>3.75</v>
      </c>
      <c r="D28" s="34"/>
      <c r="E28" s="38"/>
      <c r="F28" s="28"/>
      <c r="G28" s="40" t="s">
        <v>682</v>
      </c>
      <c r="H28" s="28"/>
      <c r="I28" s="28"/>
      <c r="J28" s="28"/>
      <c r="K28" s="38"/>
      <c r="L28" s="38"/>
      <c r="M28" s="38"/>
      <c r="S28" s="12" t="s">
        <v>689</v>
      </c>
      <c r="T28" s="12">
        <v>5.9249999999999998</v>
      </c>
      <c r="U28"/>
      <c r="V28" s="12" t="s">
        <v>690</v>
      </c>
      <c r="W28" s="12">
        <v>5.0750000000000002</v>
      </c>
      <c r="X28"/>
      <c r="Y28"/>
      <c r="Z28"/>
      <c r="AA28"/>
    </row>
    <row r="29" spans="1:27" ht="19.5" customHeight="1">
      <c r="B29" s="32"/>
      <c r="C29" s="33">
        <v>6.3</v>
      </c>
      <c r="D29" s="34"/>
      <c r="E29" s="38"/>
      <c r="H29" s="28">
        <v>6.3</v>
      </c>
      <c r="K29" s="38"/>
      <c r="L29" s="38"/>
      <c r="M29" s="38"/>
      <c r="N29" s="32"/>
      <c r="O29" s="32"/>
      <c r="P29" s="32"/>
      <c r="Q29" s="32"/>
      <c r="S29" s="12" t="s">
        <v>691</v>
      </c>
      <c r="T29" s="12">
        <v>5.9249999999999998</v>
      </c>
      <c r="U29"/>
      <c r="V29" s="12" t="s">
        <v>692</v>
      </c>
      <c r="W29" s="12">
        <v>5.0750000000000002</v>
      </c>
      <c r="X29"/>
      <c r="Y29"/>
      <c r="Z29"/>
      <c r="AA29"/>
    </row>
    <row r="30" spans="1:27" ht="19.5" customHeight="1" thickBot="1">
      <c r="B30" s="32"/>
      <c r="C30" s="33"/>
      <c r="D30" s="34">
        <f>SUM(C26:C29)</f>
        <v>20.100000000000001</v>
      </c>
      <c r="E30" s="38"/>
      <c r="H30" s="28">
        <v>1.9810000000000001</v>
      </c>
      <c r="K30" s="38"/>
      <c r="L30" s="38"/>
      <c r="M30" s="38"/>
      <c r="N30" s="32"/>
      <c r="O30" s="32"/>
      <c r="P30" s="32"/>
      <c r="Q30" s="32"/>
      <c r="S30" s="12" t="s">
        <v>693</v>
      </c>
      <c r="T30" s="12">
        <v>5.9249999999999998</v>
      </c>
      <c r="U30"/>
      <c r="V30" s="12" t="s">
        <v>694</v>
      </c>
      <c r="W30" s="12">
        <v>5.0750000000000002</v>
      </c>
      <c r="X30"/>
      <c r="Y30"/>
      <c r="Z30"/>
      <c r="AA30"/>
    </row>
    <row r="31" spans="1:27" ht="19.5" customHeight="1" thickBot="1">
      <c r="B31" s="32"/>
      <c r="C31" s="33"/>
      <c r="D31" s="34"/>
      <c r="E31" s="38"/>
      <c r="H31" s="28">
        <v>3.6859999999999999</v>
      </c>
      <c r="K31" s="61" t="s">
        <v>695</v>
      </c>
      <c r="L31" s="38"/>
      <c r="M31" s="38"/>
      <c r="N31" s="32"/>
      <c r="O31" s="32"/>
      <c r="P31" s="32"/>
      <c r="Q31" s="32"/>
      <c r="S31" s="12" t="s">
        <v>696</v>
      </c>
      <c r="T31" s="12">
        <v>5.9249999999999998</v>
      </c>
      <c r="U31"/>
      <c r="V31" s="12" t="s">
        <v>697</v>
      </c>
      <c r="W31" s="12">
        <v>5.4749999999999996</v>
      </c>
      <c r="X31"/>
      <c r="Y31"/>
      <c r="Z31"/>
      <c r="AA31"/>
    </row>
    <row r="32" spans="1:27" ht="19.5" customHeight="1">
      <c r="B32" s="32"/>
      <c r="C32" s="33"/>
      <c r="D32" s="34"/>
      <c r="E32" s="38"/>
      <c r="H32" s="28">
        <v>3.75</v>
      </c>
      <c r="K32" s="38" t="s">
        <v>665</v>
      </c>
      <c r="L32" s="38"/>
      <c r="M32" s="38"/>
      <c r="N32" s="32"/>
      <c r="O32" s="32"/>
      <c r="P32" s="32"/>
      <c r="Q32" s="32"/>
      <c r="S32" s="12" t="s">
        <v>698</v>
      </c>
      <c r="T32" s="12">
        <v>5.9249999999999998</v>
      </c>
      <c r="U32"/>
      <c r="V32" s="12" t="s">
        <v>699</v>
      </c>
      <c r="W32" s="12">
        <v>5.4749999999999996</v>
      </c>
      <c r="X32"/>
      <c r="Y32"/>
      <c r="Z32"/>
      <c r="AA32"/>
    </row>
    <row r="33" spans="2:27" ht="19.5" customHeight="1">
      <c r="B33" s="32"/>
      <c r="C33" s="33"/>
      <c r="D33" s="34"/>
      <c r="E33" s="38"/>
      <c r="H33" s="28">
        <v>3.75</v>
      </c>
      <c r="K33" s="38"/>
      <c r="L33" s="38">
        <v>1.1719999999999999</v>
      </c>
      <c r="M33" s="38"/>
      <c r="N33" s="32"/>
      <c r="O33" s="32"/>
      <c r="P33" s="32"/>
      <c r="Q33" s="32"/>
      <c r="S33" s="12" t="s">
        <v>700</v>
      </c>
      <c r="T33" s="12">
        <v>5.9249999999999998</v>
      </c>
      <c r="U33"/>
      <c r="V33" s="12" t="s">
        <v>701</v>
      </c>
      <c r="W33" s="12">
        <v>5.4749999999999996</v>
      </c>
      <c r="X33"/>
      <c r="Y33"/>
      <c r="Z33"/>
      <c r="AA33"/>
    </row>
    <row r="34" spans="2:27" ht="19.5" customHeight="1">
      <c r="B34" s="41" t="s">
        <v>702</v>
      </c>
      <c r="C34" s="33"/>
      <c r="D34" s="34"/>
      <c r="E34" s="38"/>
      <c r="H34" s="28">
        <v>1.9810000000000001</v>
      </c>
      <c r="K34" s="38"/>
      <c r="L34" s="38">
        <v>0.42799999999999999</v>
      </c>
      <c r="M34" s="38"/>
      <c r="N34" s="32"/>
      <c r="O34" s="32"/>
      <c r="P34" s="32"/>
      <c r="Q34" s="32"/>
      <c r="S34" s="12" t="s">
        <v>703</v>
      </c>
      <c r="T34" s="12">
        <v>5.9249999999999998</v>
      </c>
      <c r="U34"/>
      <c r="V34" s="12" t="s">
        <v>704</v>
      </c>
      <c r="W34" s="12">
        <v>5.4749999999999996</v>
      </c>
      <c r="X34"/>
      <c r="Y34"/>
      <c r="Z34"/>
      <c r="AA34"/>
    </row>
    <row r="35" spans="2:27" ht="19.5" customHeight="1">
      <c r="B35" s="32"/>
      <c r="C35" s="33">
        <v>3.95</v>
      </c>
      <c r="D35" s="34"/>
      <c r="E35" s="38"/>
      <c r="H35" s="28">
        <v>3.6859999999999999</v>
      </c>
      <c r="K35" s="38"/>
      <c r="L35" s="38">
        <v>1.6</v>
      </c>
      <c r="M35" s="38"/>
      <c r="N35" s="32"/>
      <c r="O35" s="32"/>
      <c r="P35" s="32"/>
      <c r="Q35" s="32"/>
      <c r="S35" s="12" t="s">
        <v>705</v>
      </c>
      <c r="T35" s="12">
        <v>5.9249999999999998</v>
      </c>
      <c r="U35"/>
      <c r="V35" s="12" t="s">
        <v>706</v>
      </c>
      <c r="W35" s="12">
        <v>5.0750000000000002</v>
      </c>
      <c r="X35"/>
      <c r="Y35"/>
      <c r="Z35"/>
      <c r="AA35"/>
    </row>
    <row r="36" spans="2:27" ht="19.5" customHeight="1">
      <c r="B36" s="32"/>
      <c r="C36" s="33">
        <v>2.35</v>
      </c>
      <c r="D36" s="34"/>
      <c r="H36" s="28">
        <v>6.3</v>
      </c>
      <c r="K36" s="38"/>
      <c r="L36" s="38">
        <f>6.3-0.77</f>
        <v>5.5299999999999994</v>
      </c>
      <c r="M36" s="38"/>
      <c r="N36" s="32"/>
      <c r="O36" s="32"/>
      <c r="P36" s="32"/>
      <c r="Q36" s="32"/>
      <c r="S36" s="12" t="s">
        <v>707</v>
      </c>
      <c r="T36" s="12">
        <v>5.9249999999999998</v>
      </c>
      <c r="U36"/>
      <c r="V36" s="12" t="s">
        <v>708</v>
      </c>
      <c r="W36" s="12">
        <v>5.0750000000000002</v>
      </c>
      <c r="X36"/>
      <c r="Y36"/>
      <c r="Z36"/>
      <c r="AA36"/>
    </row>
    <row r="37" spans="2:27" ht="19.5" customHeight="1">
      <c r="B37" s="32"/>
      <c r="C37" s="33">
        <v>3.95</v>
      </c>
      <c r="D37" s="34"/>
      <c r="I37" s="39">
        <f>SUM(H29:H36)</f>
        <v>31.434000000000001</v>
      </c>
      <c r="K37" s="38"/>
      <c r="L37" s="28">
        <v>5.53</v>
      </c>
      <c r="M37" s="38"/>
      <c r="N37" s="32"/>
      <c r="O37" s="32"/>
      <c r="P37" s="32"/>
      <c r="Q37" s="32"/>
      <c r="S37" s="12" t="s">
        <v>709</v>
      </c>
      <c r="T37" s="12">
        <v>5.9249999999999998</v>
      </c>
      <c r="U37"/>
      <c r="V37" s="12" t="s">
        <v>710</v>
      </c>
      <c r="W37" s="12">
        <v>5.0750000000000002</v>
      </c>
      <c r="X37"/>
      <c r="Y37"/>
      <c r="Z37"/>
      <c r="AA37"/>
    </row>
    <row r="38" spans="2:27" ht="19.5" customHeight="1">
      <c r="B38" s="32"/>
      <c r="C38" s="33">
        <v>6.3</v>
      </c>
      <c r="D38" s="34"/>
      <c r="G38" s="45" t="s">
        <v>702</v>
      </c>
      <c r="H38" s="33"/>
      <c r="I38" s="34"/>
      <c r="K38" s="38"/>
      <c r="L38" s="38">
        <f>6.3-1.17</f>
        <v>5.13</v>
      </c>
      <c r="M38" s="38"/>
      <c r="N38" s="32"/>
      <c r="O38" s="32"/>
      <c r="P38" s="32"/>
      <c r="Q38" s="32"/>
      <c r="S38" s="12" t="s">
        <v>711</v>
      </c>
      <c r="T38" s="12">
        <v>5.9249999999999998</v>
      </c>
      <c r="U38"/>
      <c r="V38" s="12" t="s">
        <v>712</v>
      </c>
      <c r="W38" s="12">
        <v>5.0750000000000002</v>
      </c>
      <c r="X38"/>
      <c r="Y38"/>
      <c r="Z38"/>
      <c r="AA38"/>
    </row>
    <row r="39" spans="2:27" ht="19.5" customHeight="1">
      <c r="B39" s="32"/>
      <c r="C39" s="42">
        <v>6.3</v>
      </c>
      <c r="D39" s="32"/>
      <c r="G39" s="32"/>
      <c r="H39" s="33">
        <v>3.95</v>
      </c>
      <c r="I39" s="34"/>
      <c r="K39" s="38"/>
      <c r="L39" s="38">
        <v>6.3</v>
      </c>
      <c r="M39" s="38"/>
      <c r="N39" s="32"/>
      <c r="O39" s="32"/>
      <c r="P39" s="32"/>
      <c r="Q39" s="32"/>
      <c r="S39" s="12" t="s">
        <v>713</v>
      </c>
      <c r="T39" s="12">
        <v>5.9249999999999998</v>
      </c>
      <c r="U39"/>
      <c r="V39" s="12" t="s">
        <v>714</v>
      </c>
      <c r="W39" s="12">
        <v>5.4749999999999996</v>
      </c>
      <c r="X39"/>
      <c r="Y39"/>
      <c r="Z39"/>
      <c r="AA39"/>
    </row>
    <row r="40" spans="2:27" ht="19.5" customHeight="1">
      <c r="B40" s="32"/>
      <c r="C40" s="42">
        <v>6.3</v>
      </c>
      <c r="D40" s="34"/>
      <c r="G40" s="32"/>
      <c r="H40" s="33">
        <v>2.35</v>
      </c>
      <c r="I40" s="34"/>
      <c r="K40" s="38"/>
      <c r="L40" s="44">
        <f>SUM(L33:L39)</f>
        <v>25.69</v>
      </c>
      <c r="M40" s="38" t="s">
        <v>125</v>
      </c>
      <c r="N40" s="32"/>
      <c r="O40" s="32"/>
      <c r="P40" s="32"/>
      <c r="Q40" s="32"/>
      <c r="S40" s="12" t="s">
        <v>715</v>
      </c>
      <c r="T40" s="12">
        <v>5.9249999999999998</v>
      </c>
      <c r="U40"/>
      <c r="V40" s="12" t="s">
        <v>716</v>
      </c>
      <c r="W40" s="12">
        <v>5.4749999999999996</v>
      </c>
      <c r="X40"/>
      <c r="Y40"/>
      <c r="Z40"/>
      <c r="AA40"/>
    </row>
    <row r="41" spans="2:27" ht="19.5" customHeight="1">
      <c r="B41" s="32"/>
      <c r="C41" s="42">
        <v>6.3</v>
      </c>
      <c r="D41" s="34"/>
      <c r="G41" s="32"/>
      <c r="H41" s="33">
        <v>3.95</v>
      </c>
      <c r="I41" s="34"/>
      <c r="K41" s="38"/>
      <c r="L41" s="38"/>
      <c r="M41" s="38"/>
      <c r="N41" s="32"/>
      <c r="O41" s="32"/>
      <c r="P41" s="32"/>
      <c r="Q41" s="32"/>
      <c r="S41" s="12" t="s">
        <v>717</v>
      </c>
      <c r="T41" s="12">
        <v>5.9249999999999998</v>
      </c>
      <c r="U41"/>
      <c r="V41" s="12" t="s">
        <v>718</v>
      </c>
      <c r="W41" s="12">
        <v>5.4749999999999996</v>
      </c>
      <c r="X41"/>
      <c r="Y41"/>
      <c r="Z41"/>
      <c r="AA41"/>
    </row>
    <row r="42" spans="2:27" ht="19.5" customHeight="1">
      <c r="B42" s="32"/>
      <c r="C42" s="42">
        <v>5.8179999999999996</v>
      </c>
      <c r="D42" s="34"/>
      <c r="G42" s="32"/>
      <c r="H42" s="33">
        <v>6.3</v>
      </c>
      <c r="I42" s="34"/>
      <c r="K42" s="38" t="s">
        <v>673</v>
      </c>
      <c r="L42" s="38"/>
      <c r="M42" s="38"/>
      <c r="N42" s="32"/>
      <c r="O42" s="32"/>
      <c r="P42" s="32"/>
      <c r="Q42" s="32"/>
      <c r="S42" s="12" t="s">
        <v>719</v>
      </c>
      <c r="T42" s="12">
        <v>5.9249999999999998</v>
      </c>
      <c r="U42"/>
      <c r="V42" s="12" t="s">
        <v>720</v>
      </c>
      <c r="W42" s="12">
        <v>5.4749999999999996</v>
      </c>
      <c r="X42"/>
      <c r="Y42"/>
      <c r="Z42"/>
      <c r="AA42"/>
    </row>
    <row r="43" spans="2:27" ht="19.5" customHeight="1">
      <c r="B43" s="32"/>
      <c r="C43" s="34"/>
      <c r="D43" s="34">
        <f>SUM(C35:C42)</f>
        <v>41.268000000000001</v>
      </c>
      <c r="G43" s="32"/>
      <c r="H43" s="42">
        <v>6.3</v>
      </c>
      <c r="I43" s="32"/>
      <c r="K43" s="38"/>
      <c r="L43" s="38">
        <v>2.68</v>
      </c>
      <c r="M43" s="38"/>
      <c r="N43" s="32"/>
      <c r="O43" s="32"/>
      <c r="P43" s="32"/>
      <c r="Q43" s="32"/>
      <c r="S43" s="12" t="s">
        <v>721</v>
      </c>
      <c r="T43" s="12">
        <v>5.9249999999999998</v>
      </c>
      <c r="U43"/>
      <c r="V43" s="12" t="s">
        <v>722</v>
      </c>
      <c r="W43" s="12">
        <v>5.9249999999999998</v>
      </c>
      <c r="X43"/>
      <c r="Y43"/>
      <c r="Z43"/>
      <c r="AA43"/>
    </row>
    <row r="44" spans="2:27" ht="19.5" customHeight="1">
      <c r="G44" s="32"/>
      <c r="H44" s="42">
        <v>6.3</v>
      </c>
      <c r="I44" s="34"/>
      <c r="K44" s="38"/>
      <c r="L44" s="38">
        <v>3.58</v>
      </c>
      <c r="M44" s="38"/>
      <c r="N44" s="32"/>
      <c r="O44" s="32"/>
      <c r="P44" s="32"/>
      <c r="Q44" s="32"/>
      <c r="S44" s="12" t="s">
        <v>723</v>
      </c>
      <c r="T44" s="12">
        <v>5.9249999999999998</v>
      </c>
      <c r="U44"/>
      <c r="V44" s="12" t="s">
        <v>724</v>
      </c>
      <c r="W44" s="12">
        <v>5.9249999999999998</v>
      </c>
      <c r="X44"/>
      <c r="Y44"/>
      <c r="Z44"/>
      <c r="AA44"/>
    </row>
    <row r="45" spans="2:27" ht="19.5" customHeight="1">
      <c r="G45" s="32"/>
      <c r="H45" s="42">
        <v>6.3</v>
      </c>
      <c r="I45" s="34"/>
      <c r="K45" s="38"/>
      <c r="L45" s="38">
        <v>6.3</v>
      </c>
      <c r="M45" s="38"/>
      <c r="N45" s="32"/>
      <c r="O45" s="32"/>
      <c r="P45" s="32"/>
      <c r="Q45" s="32"/>
      <c r="S45" s="12" t="s">
        <v>725</v>
      </c>
      <c r="T45" s="12">
        <v>5.9249999999999998</v>
      </c>
      <c r="U45"/>
      <c r="V45" s="12" t="s">
        <v>726</v>
      </c>
      <c r="W45" s="12">
        <v>5.9249999999999998</v>
      </c>
      <c r="X45"/>
      <c r="Y45"/>
      <c r="Z45"/>
      <c r="AA45"/>
    </row>
    <row r="46" spans="2:27" ht="19.5" customHeight="1">
      <c r="G46" s="32"/>
      <c r="H46" s="42">
        <v>5.8179999999999996</v>
      </c>
      <c r="I46" s="34"/>
      <c r="K46" s="38"/>
      <c r="L46" s="38">
        <v>6.3</v>
      </c>
      <c r="M46" s="38"/>
      <c r="N46" s="32"/>
      <c r="O46" s="32"/>
      <c r="P46" s="32"/>
      <c r="Q46" s="32"/>
      <c r="S46" s="12" t="s">
        <v>727</v>
      </c>
      <c r="T46" s="12">
        <v>5.9249999999999998</v>
      </c>
      <c r="U46"/>
      <c r="V46" s="12" t="s">
        <v>728</v>
      </c>
      <c r="W46" s="12">
        <v>5.0750000000000002</v>
      </c>
      <c r="X46"/>
      <c r="Y46"/>
      <c r="Z46"/>
      <c r="AA46"/>
    </row>
    <row r="47" spans="2:27" ht="19.5" customHeight="1">
      <c r="G47" s="32"/>
      <c r="H47" s="34"/>
      <c r="I47" s="34">
        <f>SUM(H39:H46)</f>
        <v>41.268000000000001</v>
      </c>
      <c r="K47" s="38"/>
      <c r="L47" s="38">
        <v>0.9</v>
      </c>
      <c r="M47" s="38"/>
      <c r="N47" s="32"/>
      <c r="O47" s="32"/>
      <c r="P47" s="32"/>
      <c r="Q47" s="32"/>
      <c r="S47" s="12" t="s">
        <v>729</v>
      </c>
      <c r="T47" s="12">
        <v>5.9249999999999998</v>
      </c>
      <c r="U47"/>
      <c r="V47" s="12" t="s">
        <v>730</v>
      </c>
      <c r="W47" s="12">
        <v>5.0750000000000002</v>
      </c>
      <c r="X47"/>
      <c r="Y47"/>
      <c r="Z47"/>
      <c r="AA47"/>
    </row>
    <row r="48" spans="2:27" ht="19.5" customHeight="1">
      <c r="K48" s="38"/>
      <c r="L48" s="44">
        <f>SUM(L43:L47)</f>
        <v>19.759999999999998</v>
      </c>
      <c r="M48" s="44" t="s">
        <v>125</v>
      </c>
      <c r="N48" s="32"/>
      <c r="O48" s="32"/>
      <c r="P48" s="32"/>
      <c r="Q48" s="32"/>
      <c r="S48" s="12" t="s">
        <v>731</v>
      </c>
      <c r="T48" s="12">
        <v>5.9249999999999998</v>
      </c>
      <c r="U48"/>
      <c r="V48" s="12" t="s">
        <v>732</v>
      </c>
      <c r="W48" s="12">
        <v>5.0750000000000002</v>
      </c>
      <c r="X48"/>
      <c r="Y48"/>
      <c r="Z48"/>
      <c r="AA48"/>
    </row>
    <row r="49" spans="11:27" ht="19.5" customHeight="1">
      <c r="K49" s="38"/>
      <c r="L49" s="38"/>
      <c r="M49" s="38"/>
      <c r="N49" s="32"/>
      <c r="O49" s="32"/>
      <c r="P49" s="32"/>
      <c r="Q49" s="32"/>
      <c r="S49"/>
      <c r="T49" s="10">
        <f>SUM(T7:T48)</f>
        <v>248.85000000000019</v>
      </c>
      <c r="U49"/>
      <c r="V49"/>
      <c r="W49" s="10">
        <f>SUM(W7:W48)</f>
        <v>235.89999999999984</v>
      </c>
      <c r="X49"/>
      <c r="Y49"/>
      <c r="Z49"/>
      <c r="AA49"/>
    </row>
    <row r="50" spans="11:27" ht="19.5" customHeight="1">
      <c r="K50" s="38"/>
      <c r="L50" s="38"/>
      <c r="M50" s="38"/>
      <c r="N50" s="32"/>
      <c r="O50" s="32"/>
      <c r="P50" s="32"/>
      <c r="Q50" s="32"/>
      <c r="S50"/>
      <c r="T50"/>
      <c r="U50"/>
      <c r="V50"/>
      <c r="W50"/>
      <c r="X50"/>
      <c r="Y50"/>
      <c r="Z50"/>
      <c r="AA50"/>
    </row>
    <row r="51" spans="11:27" ht="19.5" customHeight="1" thickBot="1">
      <c r="K51" s="38"/>
      <c r="L51" s="38"/>
      <c r="M51" s="38"/>
      <c r="N51" s="32"/>
      <c r="O51" s="32"/>
      <c r="P51" s="32"/>
      <c r="Q51" s="32"/>
      <c r="S51"/>
      <c r="T51"/>
      <c r="U51"/>
      <c r="V51"/>
      <c r="W51"/>
      <c r="X51"/>
      <c r="Y51"/>
      <c r="Z51"/>
      <c r="AA51"/>
    </row>
    <row r="52" spans="11:27" ht="19.5" customHeight="1" thickBot="1">
      <c r="K52" s="80" t="s">
        <v>733</v>
      </c>
      <c r="L52" s="81"/>
      <c r="M52" s="81"/>
      <c r="N52" s="81"/>
      <c r="O52" s="81"/>
      <c r="P52" s="82"/>
    </row>
    <row r="53" spans="11:27" ht="19.5" customHeight="1" thickBot="1">
      <c r="K53" s="72" t="s">
        <v>734</v>
      </c>
      <c r="L53" s="71"/>
      <c r="M53" s="71"/>
      <c r="N53" s="71"/>
      <c r="O53" s="71"/>
      <c r="P53" s="73"/>
    </row>
    <row r="54" spans="11:27" ht="19.5" customHeight="1">
      <c r="K54" s="54"/>
      <c r="L54" s="49"/>
      <c r="M54" s="50"/>
      <c r="N54"/>
      <c r="O54"/>
      <c r="P54" s="50"/>
    </row>
    <row r="55" spans="11:27" ht="19.5" customHeight="1">
      <c r="K55" s="55" t="s">
        <v>735</v>
      </c>
      <c r="L55" s="48" t="s">
        <v>56</v>
      </c>
      <c r="M55" s="51" t="s">
        <v>736</v>
      </c>
      <c r="N55"/>
      <c r="O55"/>
      <c r="P55" s="51">
        <v>16</v>
      </c>
    </row>
    <row r="56" spans="11:27" ht="19.5" customHeight="1" thickBot="1">
      <c r="K56" s="56"/>
      <c r="L56" s="52"/>
      <c r="M56" s="53" t="s">
        <v>737</v>
      </c>
      <c r="N56"/>
      <c r="O56"/>
      <c r="P56" s="53" t="s">
        <v>737</v>
      </c>
    </row>
    <row r="57" spans="11:27" ht="19.5" customHeight="1" thickBot="1">
      <c r="K57" s="57">
        <v>16</v>
      </c>
      <c r="L57" s="58">
        <f>96*3</f>
        <v>288</v>
      </c>
      <c r="M57" s="59">
        <v>1400</v>
      </c>
      <c r="N57" s="58"/>
      <c r="O57" s="58"/>
      <c r="P57" s="83">
        <f>IF(K57=16,L57*M57*1.579/1000,0)</f>
        <v>636.65279999999996</v>
      </c>
    </row>
    <row r="58" spans="11:27" ht="19.5" customHeight="1">
      <c r="M58" s="38"/>
      <c r="N58" s="32"/>
      <c r="O58" s="32"/>
      <c r="P58" s="32"/>
    </row>
    <row r="59" spans="11:27" ht="19.5" customHeight="1">
      <c r="M59" s="38"/>
      <c r="N59" s="32"/>
      <c r="O59" s="32"/>
      <c r="P59" s="32"/>
    </row>
    <row r="60" spans="11:27" ht="19.5" customHeight="1">
      <c r="M60" s="38"/>
      <c r="N60" s="32"/>
      <c r="O60" s="32"/>
      <c r="P60" s="32"/>
    </row>
    <row r="61" spans="11:27" ht="19.5" customHeight="1">
      <c r="M61" s="38"/>
      <c r="N61" s="32"/>
      <c r="O61" s="32"/>
      <c r="P61" s="32"/>
    </row>
    <row r="62" spans="11:27" ht="19.5" customHeight="1">
      <c r="N62" s="32"/>
      <c r="O62" s="32"/>
      <c r="P62" s="32"/>
    </row>
  </sheetData>
  <mergeCells count="3">
    <mergeCell ref="B5:D5"/>
    <mergeCell ref="G5:H5"/>
    <mergeCell ref="G6:H6"/>
  </mergeCells>
  <pageMargins left="0.7" right="0.7" top="0.75" bottom="0.75" header="0.3" footer="0.3"/>
  <pageSetup scale="38" orientation="portrait" r:id="rId1"/>
  <colBreaks count="3" manualBreakCount="3">
    <brk id="10" max="1048575" man="1"/>
    <brk id="17" max="1048575" man="1"/>
    <brk id="27"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H25"/>
  <sheetViews>
    <sheetView view="pageBreakPreview" zoomScale="85" zoomScaleNormal="70" zoomScaleSheetLayoutView="85" workbookViewId="0">
      <selection activeCell="H13" sqref="H13"/>
    </sheetView>
  </sheetViews>
  <sheetFormatPr defaultRowHeight="15"/>
  <cols>
    <col min="1" max="1" width="2.85546875" customWidth="1"/>
    <col min="2" max="2" width="4.42578125" customWidth="1"/>
    <col min="3" max="3" width="60.85546875" customWidth="1"/>
    <col min="4" max="4" width="4.42578125" customWidth="1"/>
    <col min="5" max="5" width="12.7109375" customWidth="1"/>
    <col min="7" max="7" width="10.140625" customWidth="1"/>
    <col min="8" max="8" width="20.5703125" customWidth="1"/>
    <col min="9" max="9" width="9.140625" customWidth="1"/>
  </cols>
  <sheetData>
    <row r="1" spans="2:8" ht="19.5">
      <c r="B1" s="14" t="s">
        <v>619</v>
      </c>
      <c r="C1" s="10"/>
    </row>
    <row r="2" spans="2:8" ht="19.5">
      <c r="B2" s="14" t="s">
        <v>620</v>
      </c>
      <c r="C2" s="10"/>
    </row>
    <row r="3" spans="2:8" ht="19.5">
      <c r="B3" s="14"/>
    </row>
    <row r="5" spans="2:8">
      <c r="B5" s="5" t="s">
        <v>738</v>
      </c>
    </row>
    <row r="6" spans="2:8" ht="15.75" thickBot="1"/>
    <row r="7" spans="2:8" ht="16.149999999999999" customHeight="1" thickBot="1">
      <c r="C7" s="23" t="s">
        <v>739</v>
      </c>
      <c r="E7" s="23">
        <v>124</v>
      </c>
      <c r="G7" s="315" t="s">
        <v>5</v>
      </c>
      <c r="H7" s="24" t="s">
        <v>740</v>
      </c>
    </row>
    <row r="8" spans="2:8" ht="15.75" customHeight="1">
      <c r="C8" s="25" t="s">
        <v>741</v>
      </c>
      <c r="E8" s="25">
        <v>125.6</v>
      </c>
      <c r="G8" s="316"/>
      <c r="H8" s="26">
        <f>E13/E7</f>
        <v>1.0887096774193548</v>
      </c>
    </row>
    <row r="9" spans="2:8" ht="15.75" thickBot="1">
      <c r="C9" s="27" t="s">
        <v>742</v>
      </c>
      <c r="E9" s="27">
        <f>E8-E7</f>
        <v>1.5999999999999943</v>
      </c>
      <c r="G9" s="317"/>
    </row>
    <row r="10" spans="2:8">
      <c r="C10" s="23" t="s">
        <v>743</v>
      </c>
      <c r="E10" s="23">
        <v>344</v>
      </c>
      <c r="G10" s="97"/>
    </row>
    <row r="11" spans="2:8">
      <c r="C11" s="25" t="s">
        <v>744</v>
      </c>
      <c r="E11" s="25">
        <v>355</v>
      </c>
      <c r="G11" s="97"/>
    </row>
    <row r="12" spans="2:8" ht="15.75" thickBot="1">
      <c r="C12" s="27" t="s">
        <v>745</v>
      </c>
      <c r="E12" s="27">
        <f>E11-E10</f>
        <v>11</v>
      </c>
      <c r="G12" s="97"/>
    </row>
    <row r="13" spans="2:8" ht="15.75" thickBot="1">
      <c r="C13" s="98" t="s">
        <v>746</v>
      </c>
      <c r="E13" s="98">
        <f>E7+E12</f>
        <v>135</v>
      </c>
      <c r="G13" s="97"/>
    </row>
    <row r="14" spans="2:8">
      <c r="G14" s="97"/>
    </row>
    <row r="15" spans="2:8" ht="15.75" thickBot="1"/>
    <row r="16" spans="2:8" ht="29.45" customHeight="1" thickBot="1">
      <c r="C16" s="23" t="s">
        <v>747</v>
      </c>
      <c r="E16" s="23">
        <v>1</v>
      </c>
      <c r="G16" s="315" t="s">
        <v>6</v>
      </c>
      <c r="H16" s="60" t="s">
        <v>748</v>
      </c>
    </row>
    <row r="17" spans="3:8" ht="15.75" thickBot="1">
      <c r="C17" s="27" t="s">
        <v>749</v>
      </c>
      <c r="E17" s="27">
        <v>0.86</v>
      </c>
      <c r="G17" s="317"/>
      <c r="H17" s="26">
        <f>E17/E16</f>
        <v>0.86</v>
      </c>
    </row>
    <row r="21" spans="3:8" ht="15.75" thickBot="1"/>
    <row r="22" spans="3:8" ht="15.75" thickBot="1">
      <c r="C22" s="114" t="s">
        <v>750</v>
      </c>
      <c r="D22" s="115"/>
      <c r="E22" s="116" t="s">
        <v>751</v>
      </c>
    </row>
    <row r="23" spans="3:8">
      <c r="C23" s="112" t="s">
        <v>752</v>
      </c>
      <c r="D23" s="106"/>
      <c r="E23" s="113" t="s">
        <v>753</v>
      </c>
    </row>
    <row r="24" spans="3:8">
      <c r="C24" s="108" t="s">
        <v>754</v>
      </c>
      <c r="D24" s="12"/>
      <c r="E24" s="107" t="s">
        <v>755</v>
      </c>
    </row>
    <row r="25" spans="3:8" ht="15.75" thickBot="1">
      <c r="C25" s="109" t="s">
        <v>756</v>
      </c>
      <c r="D25" s="110"/>
      <c r="E25" s="111"/>
    </row>
  </sheetData>
  <mergeCells count="2">
    <mergeCell ref="G7:G9"/>
    <mergeCell ref="G16:G17"/>
  </mergeCells>
  <pageMargins left="0.7" right="0.7" top="0.75" bottom="0.75" header="0.3" footer="0.3"/>
  <pageSetup paperSize="9" scale="6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15"/>
  <sheetViews>
    <sheetView workbookViewId="0">
      <selection activeCell="F95" sqref="F95"/>
    </sheetView>
  </sheetViews>
  <sheetFormatPr defaultRowHeight="15"/>
  <sheetData>
    <row r="1" spans="1:7" ht="15.6" customHeight="1">
      <c r="A1" s="117" t="s">
        <v>757</v>
      </c>
      <c r="B1" s="318" t="s">
        <v>758</v>
      </c>
      <c r="C1" s="319"/>
      <c r="D1" s="319"/>
      <c r="E1" s="319"/>
      <c r="F1" s="319"/>
      <c r="G1" s="118"/>
    </row>
    <row r="2" spans="1:7">
      <c r="A2" s="119" t="s">
        <v>759</v>
      </c>
      <c r="B2" s="119">
        <v>101</v>
      </c>
      <c r="C2" s="118"/>
      <c r="D2" s="119" t="s">
        <v>760</v>
      </c>
      <c r="E2" s="118"/>
      <c r="F2" s="118"/>
      <c r="G2" s="118"/>
    </row>
    <row r="3" spans="1:7">
      <c r="A3" s="119" t="s">
        <v>761</v>
      </c>
      <c r="B3" s="320" t="s">
        <v>762</v>
      </c>
      <c r="C3" s="320"/>
      <c r="D3" s="320"/>
      <c r="E3" s="118"/>
      <c r="F3" s="118"/>
      <c r="G3" s="118"/>
    </row>
    <row r="4" spans="1:7">
      <c r="A4" s="119" t="s">
        <v>763</v>
      </c>
      <c r="B4" s="321">
        <v>44552</v>
      </c>
      <c r="C4" s="321"/>
      <c r="D4" s="118"/>
      <c r="E4" s="118"/>
      <c r="F4" s="118"/>
      <c r="G4" s="118"/>
    </row>
    <row r="5" spans="1:7">
      <c r="A5" s="119" t="s">
        <v>764</v>
      </c>
      <c r="B5" s="322">
        <v>44600.042361111111</v>
      </c>
      <c r="C5" s="322"/>
      <c r="D5" s="322"/>
      <c r="E5" s="322"/>
      <c r="F5" s="322"/>
      <c r="G5" s="118"/>
    </row>
    <row r="6" spans="1:7">
      <c r="A6" s="120" t="s">
        <v>765</v>
      </c>
      <c r="B6" s="120" t="s">
        <v>766</v>
      </c>
      <c r="C6" s="121" t="s">
        <v>767</v>
      </c>
      <c r="D6" s="121" t="s">
        <v>768</v>
      </c>
      <c r="E6" s="323" t="s">
        <v>769</v>
      </c>
      <c r="F6" s="323"/>
      <c r="G6" s="118"/>
    </row>
    <row r="7" spans="1:7">
      <c r="A7" s="120"/>
      <c r="B7" s="120"/>
      <c r="C7" s="121"/>
      <c r="D7" s="121"/>
      <c r="E7" s="120" t="s">
        <v>770</v>
      </c>
      <c r="F7" s="120" t="s">
        <v>771</v>
      </c>
      <c r="G7" s="118"/>
    </row>
    <row r="8" spans="1:7" hidden="1">
      <c r="A8" s="122">
        <v>36557</v>
      </c>
      <c r="B8" s="123">
        <v>158</v>
      </c>
      <c r="C8" s="118"/>
      <c r="D8" s="124">
        <v>66</v>
      </c>
      <c r="E8" s="124">
        <v>7.5</v>
      </c>
      <c r="F8" s="124">
        <v>2.6</v>
      </c>
      <c r="G8" s="118"/>
    </row>
    <row r="9" spans="1:7" hidden="1">
      <c r="A9" s="122">
        <v>36647</v>
      </c>
      <c r="B9" s="123">
        <v>158</v>
      </c>
      <c r="C9" s="118"/>
      <c r="D9" s="124">
        <v>56</v>
      </c>
      <c r="E9" s="124">
        <v>6</v>
      </c>
      <c r="F9" s="124">
        <v>0</v>
      </c>
      <c r="G9" s="118"/>
    </row>
    <row r="10" spans="1:7" hidden="1">
      <c r="A10" s="122">
        <v>36739</v>
      </c>
      <c r="B10" s="123">
        <v>162</v>
      </c>
      <c r="C10" s="118"/>
      <c r="D10" s="124">
        <v>68</v>
      </c>
      <c r="E10" s="124">
        <v>6.6</v>
      </c>
      <c r="F10" s="124">
        <v>2.5</v>
      </c>
      <c r="G10" s="118"/>
    </row>
    <row r="11" spans="1:7" hidden="1">
      <c r="A11" s="122">
        <v>36831</v>
      </c>
      <c r="B11" s="123">
        <v>167</v>
      </c>
      <c r="C11" s="118"/>
      <c r="D11" s="124">
        <v>59</v>
      </c>
      <c r="E11" s="124">
        <v>8.4</v>
      </c>
      <c r="F11" s="124">
        <v>3.1</v>
      </c>
      <c r="G11" s="118"/>
    </row>
    <row r="12" spans="1:7" hidden="1">
      <c r="A12" s="122">
        <v>36923</v>
      </c>
      <c r="B12" s="123">
        <v>170</v>
      </c>
      <c r="C12" s="118"/>
      <c r="D12" s="124">
        <v>82</v>
      </c>
      <c r="E12" s="124">
        <v>7.6</v>
      </c>
      <c r="F12" s="124">
        <v>1.8</v>
      </c>
      <c r="G12" s="118"/>
    </row>
    <row r="13" spans="1:7" hidden="1">
      <c r="A13" s="122">
        <v>37012</v>
      </c>
      <c r="B13" s="123">
        <v>171</v>
      </c>
      <c r="C13" s="118"/>
      <c r="D13" s="124">
        <v>64</v>
      </c>
      <c r="E13" s="124">
        <v>8.1999999999999993</v>
      </c>
      <c r="F13" s="124">
        <v>0.6</v>
      </c>
      <c r="G13" s="118"/>
    </row>
    <row r="14" spans="1:7" hidden="1">
      <c r="A14" s="122">
        <v>37104</v>
      </c>
      <c r="B14" s="123">
        <v>177</v>
      </c>
      <c r="C14" s="118"/>
      <c r="D14" s="124">
        <v>60</v>
      </c>
      <c r="E14" s="124">
        <v>9.3000000000000007</v>
      </c>
      <c r="F14" s="124">
        <v>3.5</v>
      </c>
      <c r="G14" s="118"/>
    </row>
    <row r="15" spans="1:7" hidden="1">
      <c r="A15" s="122">
        <v>37196</v>
      </c>
      <c r="B15" s="123">
        <v>177</v>
      </c>
      <c r="C15" s="118"/>
      <c r="D15" s="124">
        <v>73</v>
      </c>
      <c r="E15" s="124">
        <v>6</v>
      </c>
      <c r="F15" s="124">
        <v>0</v>
      </c>
      <c r="G15" s="118"/>
    </row>
    <row r="16" spans="1:7" hidden="1">
      <c r="A16" s="122">
        <v>37288</v>
      </c>
      <c r="B16" s="123">
        <v>182</v>
      </c>
      <c r="C16" s="118"/>
      <c r="D16" s="124">
        <v>56</v>
      </c>
      <c r="E16" s="124">
        <v>7.1</v>
      </c>
      <c r="F16" s="124">
        <v>2.8</v>
      </c>
      <c r="G16" s="118"/>
    </row>
    <row r="17" spans="1:7" hidden="1">
      <c r="A17" s="122">
        <v>37377</v>
      </c>
      <c r="B17" s="123">
        <v>189</v>
      </c>
      <c r="C17" s="118"/>
      <c r="D17" s="124">
        <v>59</v>
      </c>
      <c r="E17" s="124">
        <v>10.5</v>
      </c>
      <c r="F17" s="124">
        <v>3.8</v>
      </c>
      <c r="G17" s="118"/>
    </row>
    <row r="18" spans="1:7" hidden="1">
      <c r="A18" s="122">
        <v>37469</v>
      </c>
      <c r="B18" s="123">
        <v>188</v>
      </c>
      <c r="C18" s="118"/>
      <c r="D18" s="124">
        <v>51</v>
      </c>
      <c r="E18" s="124">
        <v>6.2</v>
      </c>
      <c r="F18" s="124">
        <v>-0.5</v>
      </c>
      <c r="G18" s="118"/>
    </row>
    <row r="19" spans="1:7" hidden="1">
      <c r="A19" s="122">
        <v>37561</v>
      </c>
      <c r="B19" s="123">
        <v>190</v>
      </c>
      <c r="C19" s="118"/>
      <c r="D19" s="124">
        <v>63</v>
      </c>
      <c r="E19" s="124">
        <v>7.3</v>
      </c>
      <c r="F19" s="124">
        <v>1.1000000000000001</v>
      </c>
      <c r="G19" s="118"/>
    </row>
    <row r="20" spans="1:7" hidden="1">
      <c r="A20" s="122">
        <v>37653</v>
      </c>
      <c r="B20" s="123">
        <v>196</v>
      </c>
      <c r="C20" s="118"/>
      <c r="D20" s="124">
        <v>64</v>
      </c>
      <c r="E20" s="124">
        <v>7.7</v>
      </c>
      <c r="F20" s="124">
        <v>3.2</v>
      </c>
      <c r="G20" s="118"/>
    </row>
    <row r="21" spans="1:7" hidden="1">
      <c r="A21" s="122">
        <v>37742</v>
      </c>
      <c r="B21" s="123">
        <v>198</v>
      </c>
      <c r="C21" s="118"/>
      <c r="D21" s="124">
        <v>75</v>
      </c>
      <c r="E21" s="124">
        <v>4.8</v>
      </c>
      <c r="F21" s="124">
        <v>1</v>
      </c>
      <c r="G21" s="118"/>
    </row>
    <row r="22" spans="1:7" hidden="1">
      <c r="A22" s="122">
        <v>37834</v>
      </c>
      <c r="B22" s="123">
        <v>198</v>
      </c>
      <c r="C22" s="118"/>
      <c r="D22" s="124">
        <v>65</v>
      </c>
      <c r="E22" s="124">
        <v>5.3</v>
      </c>
      <c r="F22" s="124">
        <v>0</v>
      </c>
      <c r="G22" s="118"/>
    </row>
    <row r="23" spans="1:7" hidden="1">
      <c r="A23" s="122">
        <v>37926</v>
      </c>
      <c r="B23" s="123">
        <v>195</v>
      </c>
      <c r="C23" s="118"/>
      <c r="D23" s="124">
        <v>66</v>
      </c>
      <c r="E23" s="124">
        <v>2.6</v>
      </c>
      <c r="F23" s="124">
        <v>-1.5</v>
      </c>
      <c r="G23" s="118"/>
    </row>
    <row r="24" spans="1:7" hidden="1">
      <c r="A24" s="122">
        <v>38018</v>
      </c>
      <c r="B24" s="123">
        <v>200</v>
      </c>
      <c r="C24" s="118"/>
      <c r="D24" s="124">
        <v>73</v>
      </c>
      <c r="E24" s="124">
        <v>2</v>
      </c>
      <c r="F24" s="124">
        <v>2.6</v>
      </c>
      <c r="G24" s="118"/>
    </row>
    <row r="25" spans="1:7" hidden="1">
      <c r="A25" s="122">
        <v>38108</v>
      </c>
      <c r="B25" s="123">
        <v>215</v>
      </c>
      <c r="C25" s="118"/>
      <c r="D25" s="124">
        <v>68</v>
      </c>
      <c r="E25" s="124">
        <v>8.6</v>
      </c>
      <c r="F25" s="124">
        <v>7.5</v>
      </c>
      <c r="G25" s="118"/>
    </row>
    <row r="26" spans="1:7" hidden="1">
      <c r="A26" s="122">
        <v>38200</v>
      </c>
      <c r="B26" s="123">
        <v>213</v>
      </c>
      <c r="C26" s="118"/>
      <c r="D26" s="124">
        <v>65</v>
      </c>
      <c r="E26" s="124">
        <v>7.6</v>
      </c>
      <c r="F26" s="124">
        <v>-0.9</v>
      </c>
      <c r="G26" s="118"/>
    </row>
    <row r="27" spans="1:7" hidden="1">
      <c r="A27" s="122">
        <v>38292</v>
      </c>
      <c r="B27" s="123">
        <v>225</v>
      </c>
      <c r="C27" s="118"/>
      <c r="D27" s="124">
        <v>80</v>
      </c>
      <c r="E27" s="124">
        <v>15.4</v>
      </c>
      <c r="F27" s="124">
        <v>5.6</v>
      </c>
      <c r="G27" s="118"/>
    </row>
    <row r="28" spans="1:7" hidden="1">
      <c r="A28" s="122">
        <v>38384</v>
      </c>
      <c r="B28" s="123">
        <v>221</v>
      </c>
      <c r="C28" s="118"/>
      <c r="D28" s="124">
        <v>67</v>
      </c>
      <c r="E28" s="124">
        <v>10.5</v>
      </c>
      <c r="F28" s="124">
        <v>-1.8</v>
      </c>
      <c r="G28" s="118"/>
    </row>
    <row r="29" spans="1:7" hidden="1">
      <c r="A29" s="122">
        <v>38473</v>
      </c>
      <c r="B29" s="123">
        <v>228</v>
      </c>
      <c r="C29" s="118"/>
      <c r="D29" s="124">
        <v>66</v>
      </c>
      <c r="E29" s="124">
        <v>6</v>
      </c>
      <c r="F29" s="124">
        <v>3.2</v>
      </c>
      <c r="G29" s="118"/>
    </row>
    <row r="30" spans="1:7" hidden="1">
      <c r="A30" s="122">
        <v>38565</v>
      </c>
      <c r="B30" s="123">
        <v>221</v>
      </c>
      <c r="C30" s="118"/>
      <c r="D30" s="124">
        <v>65</v>
      </c>
      <c r="E30" s="124">
        <v>3.8</v>
      </c>
      <c r="F30" s="124">
        <v>-3.1</v>
      </c>
      <c r="G30" s="118"/>
    </row>
    <row r="31" spans="1:7" hidden="1">
      <c r="A31" s="122">
        <v>38657</v>
      </c>
      <c r="B31" s="123">
        <v>226</v>
      </c>
      <c r="C31" s="118"/>
      <c r="D31" s="124">
        <v>63</v>
      </c>
      <c r="E31" s="124">
        <v>0.4</v>
      </c>
      <c r="F31" s="124">
        <v>2.2999999999999998</v>
      </c>
      <c r="G31" s="118"/>
    </row>
    <row r="32" spans="1:7" hidden="1">
      <c r="A32" s="122">
        <v>38749</v>
      </c>
      <c r="B32" s="123">
        <v>228</v>
      </c>
      <c r="C32" s="118"/>
      <c r="D32" s="124">
        <v>76</v>
      </c>
      <c r="E32" s="124">
        <v>3.2</v>
      </c>
      <c r="F32" s="124">
        <v>0.9</v>
      </c>
      <c r="G32" s="118"/>
    </row>
    <row r="33" spans="1:7" hidden="1">
      <c r="A33" s="122">
        <v>38838</v>
      </c>
      <c r="B33" s="123">
        <v>231</v>
      </c>
      <c r="C33" s="118"/>
      <c r="D33" s="124">
        <v>85</v>
      </c>
      <c r="E33" s="124">
        <v>1.3</v>
      </c>
      <c r="F33" s="124">
        <v>1.3</v>
      </c>
      <c r="G33" s="118"/>
    </row>
    <row r="34" spans="1:7" hidden="1">
      <c r="A34" s="122">
        <v>38930</v>
      </c>
      <c r="B34" s="123">
        <v>228</v>
      </c>
      <c r="C34" s="118"/>
      <c r="D34" s="124">
        <v>75</v>
      </c>
      <c r="E34" s="124">
        <v>3.2</v>
      </c>
      <c r="F34" s="124">
        <v>-1.3</v>
      </c>
      <c r="G34" s="118"/>
    </row>
    <row r="35" spans="1:7" hidden="1">
      <c r="A35" s="122">
        <v>39022</v>
      </c>
      <c r="B35" s="123">
        <v>232</v>
      </c>
      <c r="C35" s="118"/>
      <c r="D35" s="124">
        <v>61</v>
      </c>
      <c r="E35" s="124">
        <v>2.7</v>
      </c>
      <c r="F35" s="124">
        <v>1.8</v>
      </c>
      <c r="G35" s="118"/>
    </row>
    <row r="36" spans="1:7" hidden="1">
      <c r="A36" s="122">
        <v>39114</v>
      </c>
      <c r="B36" s="123">
        <v>239</v>
      </c>
      <c r="C36" s="118"/>
      <c r="D36" s="124">
        <v>73</v>
      </c>
      <c r="E36" s="124">
        <v>4.8</v>
      </c>
      <c r="F36" s="124">
        <v>3</v>
      </c>
      <c r="G36" s="118"/>
    </row>
    <row r="37" spans="1:7" hidden="1">
      <c r="A37" s="122">
        <v>39203</v>
      </c>
      <c r="B37" s="123">
        <v>241</v>
      </c>
      <c r="C37" s="118"/>
      <c r="D37" s="124">
        <v>66</v>
      </c>
      <c r="E37" s="124">
        <v>4.3</v>
      </c>
      <c r="F37" s="124">
        <v>0.8</v>
      </c>
      <c r="G37" s="118"/>
    </row>
    <row r="38" spans="1:7" hidden="1">
      <c r="A38" s="122">
        <v>39295</v>
      </c>
      <c r="B38" s="123">
        <v>248</v>
      </c>
      <c r="C38" s="118"/>
      <c r="D38" s="124">
        <v>69</v>
      </c>
      <c r="E38" s="124">
        <v>8.8000000000000007</v>
      </c>
      <c r="F38" s="124">
        <v>2.9</v>
      </c>
      <c r="G38" s="118"/>
    </row>
    <row r="39" spans="1:7" hidden="1">
      <c r="A39" s="122">
        <v>39387</v>
      </c>
      <c r="B39" s="123">
        <v>251</v>
      </c>
      <c r="C39" s="118"/>
      <c r="D39" s="124">
        <v>65</v>
      </c>
      <c r="E39" s="124">
        <v>8.1999999999999993</v>
      </c>
      <c r="F39" s="124">
        <v>1.2</v>
      </c>
      <c r="G39" s="118"/>
    </row>
    <row r="40" spans="1:7" hidden="1">
      <c r="A40" s="122">
        <v>39479</v>
      </c>
      <c r="B40" s="123">
        <v>249</v>
      </c>
      <c r="C40" s="118"/>
      <c r="D40" s="124">
        <v>66</v>
      </c>
      <c r="E40" s="124">
        <v>4.2</v>
      </c>
      <c r="F40" s="124">
        <v>-0.8</v>
      </c>
      <c r="G40" s="118"/>
    </row>
    <row r="41" spans="1:7" hidden="1">
      <c r="A41" s="122">
        <v>39569</v>
      </c>
      <c r="B41" s="123">
        <v>247</v>
      </c>
      <c r="C41" s="118"/>
      <c r="D41" s="124">
        <v>68</v>
      </c>
      <c r="E41" s="124">
        <v>2.5</v>
      </c>
      <c r="F41" s="124">
        <v>-0.8</v>
      </c>
      <c r="G41" s="118"/>
    </row>
    <row r="42" spans="1:7" hidden="1">
      <c r="A42" s="122">
        <v>39661</v>
      </c>
      <c r="B42" s="123">
        <v>246</v>
      </c>
      <c r="C42" s="118"/>
      <c r="D42" s="124">
        <v>54</v>
      </c>
      <c r="E42" s="124">
        <v>-0.8</v>
      </c>
      <c r="F42" s="124">
        <v>-0.4</v>
      </c>
      <c r="G42" s="118"/>
    </row>
    <row r="43" spans="1:7" hidden="1">
      <c r="A43" s="122">
        <v>39753</v>
      </c>
      <c r="B43" s="123">
        <v>240</v>
      </c>
      <c r="C43" s="118"/>
      <c r="D43" s="124">
        <v>50</v>
      </c>
      <c r="E43" s="124">
        <v>-4.4000000000000004</v>
      </c>
      <c r="F43" s="124">
        <v>-2.4</v>
      </c>
      <c r="G43" s="118"/>
    </row>
    <row r="44" spans="1:7" hidden="1">
      <c r="A44" s="122">
        <v>39845</v>
      </c>
      <c r="B44" s="123">
        <v>223</v>
      </c>
      <c r="C44" s="118"/>
      <c r="D44" s="124">
        <v>64</v>
      </c>
      <c r="E44" s="124">
        <v>-10.4</v>
      </c>
      <c r="F44" s="124">
        <v>-7.1</v>
      </c>
      <c r="G44" s="118"/>
    </row>
    <row r="45" spans="1:7" hidden="1">
      <c r="A45" s="122">
        <v>39934</v>
      </c>
      <c r="B45" s="123">
        <v>216</v>
      </c>
      <c r="C45" s="118"/>
      <c r="D45" s="124">
        <v>53</v>
      </c>
      <c r="E45" s="124">
        <v>-12.6</v>
      </c>
      <c r="F45" s="124">
        <v>-3.1</v>
      </c>
      <c r="G45" s="118"/>
    </row>
    <row r="46" spans="1:7" hidden="1">
      <c r="A46" s="122">
        <v>40026</v>
      </c>
      <c r="B46" s="123">
        <v>216</v>
      </c>
      <c r="C46" s="118"/>
      <c r="D46" s="124">
        <v>62</v>
      </c>
      <c r="E46" s="124">
        <v>-12.2</v>
      </c>
      <c r="F46" s="124">
        <v>0</v>
      </c>
      <c r="G46" s="118"/>
    </row>
    <row r="47" spans="1:7" hidden="1">
      <c r="A47" s="122">
        <v>40118</v>
      </c>
      <c r="B47" s="123">
        <v>212</v>
      </c>
      <c r="C47" s="118"/>
      <c r="D47" s="124">
        <v>64</v>
      </c>
      <c r="E47" s="124">
        <v>-11.7</v>
      </c>
      <c r="F47" s="124">
        <v>-1.9</v>
      </c>
      <c r="G47" s="118"/>
    </row>
    <row r="48" spans="1:7" hidden="1">
      <c r="A48" s="122">
        <v>40210</v>
      </c>
      <c r="B48" s="123">
        <v>209</v>
      </c>
      <c r="C48" s="118"/>
      <c r="D48" s="124">
        <v>63</v>
      </c>
      <c r="E48" s="124">
        <v>-6.3</v>
      </c>
      <c r="F48" s="124">
        <v>-1.4</v>
      </c>
      <c r="G48" s="118"/>
    </row>
    <row r="49" spans="1:7" hidden="1">
      <c r="A49" s="122">
        <v>40299</v>
      </c>
      <c r="B49" s="123">
        <v>218</v>
      </c>
      <c r="C49" s="118"/>
      <c r="D49" s="124">
        <v>45</v>
      </c>
      <c r="E49" s="124">
        <v>0.9</v>
      </c>
      <c r="F49" s="124">
        <v>4.3</v>
      </c>
      <c r="G49" s="118"/>
    </row>
    <row r="50" spans="1:7" hidden="1">
      <c r="A50" s="122">
        <v>40391</v>
      </c>
      <c r="B50" s="123">
        <v>219</v>
      </c>
      <c r="C50" s="118"/>
      <c r="D50" s="124">
        <v>42</v>
      </c>
      <c r="E50" s="124">
        <v>1.4</v>
      </c>
      <c r="F50" s="124">
        <v>0.5</v>
      </c>
      <c r="G50" s="118"/>
    </row>
    <row r="51" spans="1:7" hidden="1">
      <c r="A51" s="122">
        <v>40483</v>
      </c>
      <c r="B51" s="123">
        <v>220</v>
      </c>
      <c r="C51" s="118"/>
      <c r="D51" s="124">
        <v>49</v>
      </c>
      <c r="E51" s="124">
        <v>3.8</v>
      </c>
      <c r="F51" s="124">
        <v>0.5</v>
      </c>
      <c r="G51" s="118"/>
    </row>
    <row r="52" spans="1:7" hidden="1">
      <c r="A52" s="122">
        <v>40575</v>
      </c>
      <c r="B52" s="123">
        <v>219</v>
      </c>
      <c r="C52" s="118"/>
      <c r="D52" s="124">
        <v>45</v>
      </c>
      <c r="E52" s="124">
        <v>4.8</v>
      </c>
      <c r="F52" s="124">
        <v>-0.5</v>
      </c>
      <c r="G52" s="118"/>
    </row>
    <row r="53" spans="1:7" hidden="1">
      <c r="A53" s="122">
        <v>40664</v>
      </c>
      <c r="B53" s="123">
        <v>223</v>
      </c>
      <c r="C53" s="118"/>
      <c r="D53" s="124">
        <v>33</v>
      </c>
      <c r="E53" s="124">
        <v>2.2999999999999998</v>
      </c>
      <c r="F53" s="124">
        <v>1.8</v>
      </c>
      <c r="G53" s="118"/>
    </row>
    <row r="54" spans="1:7" hidden="1">
      <c r="A54" s="122">
        <v>40756</v>
      </c>
      <c r="B54" s="123">
        <v>220</v>
      </c>
      <c r="C54" s="118"/>
      <c r="D54" s="124">
        <v>33</v>
      </c>
      <c r="E54" s="124">
        <v>0.5</v>
      </c>
      <c r="F54" s="124">
        <v>-1.3</v>
      </c>
      <c r="G54" s="118"/>
    </row>
    <row r="55" spans="1:7" hidden="1">
      <c r="A55" s="122">
        <v>40848</v>
      </c>
      <c r="B55" s="123">
        <v>223</v>
      </c>
      <c r="C55" s="118"/>
      <c r="D55" s="124">
        <v>38</v>
      </c>
      <c r="E55" s="124">
        <v>1.4</v>
      </c>
      <c r="F55" s="124">
        <v>1.4</v>
      </c>
      <c r="G55" s="118"/>
    </row>
    <row r="56" spans="1:7" hidden="1">
      <c r="A56" s="122">
        <v>40940</v>
      </c>
      <c r="B56" s="123">
        <v>215</v>
      </c>
      <c r="C56" s="118"/>
      <c r="D56" s="124">
        <v>42</v>
      </c>
      <c r="E56" s="124">
        <v>-1.8</v>
      </c>
      <c r="F56" s="124">
        <v>-3.6</v>
      </c>
      <c r="G56" s="118"/>
    </row>
    <row r="57" spans="1:7" hidden="1">
      <c r="A57" s="122">
        <v>41030</v>
      </c>
      <c r="B57" s="123">
        <v>230</v>
      </c>
      <c r="C57" s="118"/>
      <c r="D57" s="124">
        <v>30</v>
      </c>
      <c r="E57" s="124">
        <v>3.1</v>
      </c>
      <c r="F57" s="124">
        <v>7</v>
      </c>
      <c r="G57" s="118"/>
    </row>
    <row r="58" spans="1:7" hidden="1">
      <c r="A58" s="122">
        <v>41122</v>
      </c>
      <c r="B58" s="123">
        <v>223</v>
      </c>
      <c r="C58" s="118"/>
      <c r="D58" s="124">
        <v>33</v>
      </c>
      <c r="E58" s="124">
        <v>1.4</v>
      </c>
      <c r="F58" s="124">
        <v>-3</v>
      </c>
      <c r="G58" s="118"/>
    </row>
    <row r="59" spans="1:7" hidden="1">
      <c r="A59" s="122">
        <v>41214</v>
      </c>
      <c r="B59" s="123">
        <v>224</v>
      </c>
      <c r="C59" s="118"/>
      <c r="D59" s="124">
        <v>36</v>
      </c>
      <c r="E59" s="124">
        <v>0.4</v>
      </c>
      <c r="F59" s="124">
        <v>0.4</v>
      </c>
      <c r="G59" s="118"/>
    </row>
    <row r="60" spans="1:7" hidden="1">
      <c r="A60" s="122">
        <v>41306</v>
      </c>
      <c r="B60" s="123">
        <v>234</v>
      </c>
      <c r="C60" s="118"/>
      <c r="D60" s="124">
        <v>36</v>
      </c>
      <c r="E60" s="124">
        <v>8.8000000000000007</v>
      </c>
      <c r="F60" s="124">
        <v>4.5</v>
      </c>
      <c r="G60" s="118"/>
    </row>
    <row r="61" spans="1:7" hidden="1">
      <c r="A61" s="122">
        <v>41395</v>
      </c>
      <c r="B61" s="123">
        <v>236</v>
      </c>
      <c r="C61" s="118"/>
      <c r="D61" s="124">
        <v>31</v>
      </c>
      <c r="E61" s="124">
        <v>2.6</v>
      </c>
      <c r="F61" s="124">
        <v>0.9</v>
      </c>
      <c r="G61" s="118"/>
    </row>
    <row r="62" spans="1:7" hidden="1">
      <c r="A62" s="122">
        <v>41487</v>
      </c>
      <c r="B62" s="123">
        <v>232</v>
      </c>
      <c r="C62" s="118"/>
      <c r="D62" s="124">
        <v>32</v>
      </c>
      <c r="E62" s="124">
        <v>4</v>
      </c>
      <c r="F62" s="124">
        <v>-1.7</v>
      </c>
      <c r="G62" s="118"/>
    </row>
    <row r="63" spans="1:7" hidden="1">
      <c r="A63" s="122">
        <v>41579</v>
      </c>
      <c r="B63" s="123">
        <v>239</v>
      </c>
      <c r="C63" s="118"/>
      <c r="D63" s="124">
        <v>37</v>
      </c>
      <c r="E63" s="124">
        <v>6.7</v>
      </c>
      <c r="F63" s="124">
        <v>3</v>
      </c>
      <c r="G63" s="118"/>
    </row>
    <row r="64" spans="1:7" hidden="1">
      <c r="A64" s="122">
        <v>41671</v>
      </c>
      <c r="B64" s="123">
        <v>247</v>
      </c>
      <c r="C64" s="118"/>
      <c r="D64" s="124">
        <v>37</v>
      </c>
      <c r="E64" s="124">
        <v>5.6</v>
      </c>
      <c r="F64" s="124">
        <v>3.3</v>
      </c>
      <c r="G64" s="118"/>
    </row>
    <row r="65" spans="1:7" hidden="1">
      <c r="A65" s="122">
        <v>41760</v>
      </c>
      <c r="B65" s="123">
        <v>259</v>
      </c>
      <c r="C65" s="118"/>
      <c r="D65" s="124">
        <v>39</v>
      </c>
      <c r="E65" s="124">
        <v>9.6999999999999993</v>
      </c>
      <c r="F65" s="124">
        <v>4.9000000000000004</v>
      </c>
      <c r="G65" s="118"/>
    </row>
    <row r="66" spans="1:7" hidden="1">
      <c r="A66" s="122">
        <v>41852</v>
      </c>
      <c r="B66" s="123">
        <v>257</v>
      </c>
      <c r="C66" s="118"/>
      <c r="D66" s="124">
        <v>32</v>
      </c>
      <c r="E66" s="124">
        <v>10.8</v>
      </c>
      <c r="F66" s="124">
        <v>-0.8</v>
      </c>
      <c r="G66" s="118"/>
    </row>
    <row r="67" spans="1:7" hidden="1">
      <c r="A67" s="122">
        <v>41944</v>
      </c>
      <c r="B67" s="123">
        <v>259</v>
      </c>
      <c r="C67" s="118"/>
      <c r="D67" s="124">
        <v>31</v>
      </c>
      <c r="E67" s="124">
        <v>8.4</v>
      </c>
      <c r="F67" s="124">
        <v>0.8</v>
      </c>
      <c r="G67" s="118"/>
    </row>
    <row r="68" spans="1:7" hidden="1">
      <c r="A68" s="122">
        <v>42036</v>
      </c>
      <c r="B68" s="123">
        <v>266</v>
      </c>
      <c r="C68" s="118"/>
      <c r="D68" s="124">
        <v>134</v>
      </c>
      <c r="E68" s="124">
        <v>7.7</v>
      </c>
      <c r="F68" s="124">
        <v>2.7</v>
      </c>
      <c r="G68" s="118"/>
    </row>
    <row r="69" spans="1:7" hidden="1">
      <c r="A69" s="122">
        <v>42125</v>
      </c>
      <c r="B69" s="123">
        <v>272</v>
      </c>
      <c r="C69" s="118"/>
      <c r="D69" s="124">
        <v>125</v>
      </c>
      <c r="E69" s="124">
        <v>5</v>
      </c>
      <c r="F69" s="124">
        <v>2.2999999999999998</v>
      </c>
      <c r="G69" s="118"/>
    </row>
    <row r="70" spans="1:7" hidden="1">
      <c r="A70" s="122">
        <v>42217</v>
      </c>
      <c r="B70" s="123">
        <v>271</v>
      </c>
      <c r="C70" s="118"/>
      <c r="D70" s="124">
        <v>125</v>
      </c>
      <c r="E70" s="124">
        <v>5.4</v>
      </c>
      <c r="F70" s="124">
        <v>-0.4</v>
      </c>
      <c r="G70" s="118"/>
    </row>
    <row r="71" spans="1:7" hidden="1">
      <c r="A71" s="122">
        <v>42309</v>
      </c>
      <c r="B71" s="123">
        <v>270</v>
      </c>
      <c r="C71" s="118"/>
      <c r="D71" s="124">
        <v>120</v>
      </c>
      <c r="E71" s="124">
        <v>4.2</v>
      </c>
      <c r="F71" s="124">
        <v>-0.4</v>
      </c>
      <c r="G71" s="118"/>
    </row>
    <row r="72" spans="1:7" hidden="1">
      <c r="A72" s="122">
        <v>42401</v>
      </c>
      <c r="B72" s="123">
        <v>275</v>
      </c>
      <c r="C72" s="118"/>
      <c r="D72" s="124">
        <v>121</v>
      </c>
      <c r="E72" s="124">
        <v>3.4</v>
      </c>
      <c r="F72" s="124">
        <v>1.9</v>
      </c>
      <c r="G72" s="118"/>
    </row>
    <row r="73" spans="1:7" hidden="1">
      <c r="A73" s="122">
        <v>42491</v>
      </c>
      <c r="B73" s="123">
        <v>282</v>
      </c>
      <c r="C73" s="118"/>
      <c r="D73" s="124">
        <v>122</v>
      </c>
      <c r="E73" s="124">
        <v>3.7</v>
      </c>
      <c r="F73" s="124">
        <v>2.5</v>
      </c>
      <c r="G73" s="118"/>
    </row>
    <row r="74" spans="1:7" hidden="1">
      <c r="A74" s="122">
        <v>42583</v>
      </c>
      <c r="B74" s="123">
        <v>281</v>
      </c>
      <c r="C74" s="118"/>
      <c r="D74" s="124">
        <v>125</v>
      </c>
      <c r="E74" s="124">
        <v>3.7</v>
      </c>
      <c r="F74" s="124">
        <v>-0.4</v>
      </c>
      <c r="G74" s="118"/>
    </row>
    <row r="75" spans="1:7" hidden="1">
      <c r="A75" s="122">
        <v>42675</v>
      </c>
      <c r="B75" s="123">
        <v>291</v>
      </c>
      <c r="C75" s="118"/>
      <c r="D75" s="124">
        <v>123</v>
      </c>
      <c r="E75" s="124">
        <v>7.8</v>
      </c>
      <c r="F75" s="124">
        <v>3.6</v>
      </c>
      <c r="G75" s="118"/>
    </row>
    <row r="76" spans="1:7" hidden="1">
      <c r="A76" s="122">
        <v>42767</v>
      </c>
      <c r="B76" s="123">
        <v>301</v>
      </c>
      <c r="C76" s="118"/>
      <c r="D76" s="124">
        <v>122</v>
      </c>
      <c r="E76" s="124">
        <v>9.5</v>
      </c>
      <c r="F76" s="124">
        <v>3.4</v>
      </c>
      <c r="G76" s="118"/>
    </row>
    <row r="77" spans="1:7" hidden="1">
      <c r="A77" s="122">
        <v>42856</v>
      </c>
      <c r="B77" s="123">
        <v>307</v>
      </c>
      <c r="C77" s="118"/>
      <c r="D77" s="124">
        <v>117</v>
      </c>
      <c r="E77" s="124">
        <v>8.9</v>
      </c>
      <c r="F77" s="124">
        <v>2</v>
      </c>
      <c r="G77" s="118"/>
    </row>
    <row r="78" spans="1:7" hidden="1">
      <c r="A78" s="122">
        <v>42948</v>
      </c>
      <c r="B78" s="123">
        <v>306</v>
      </c>
      <c r="C78" s="118"/>
      <c r="D78" s="124">
        <v>112</v>
      </c>
      <c r="E78" s="124">
        <v>8.9</v>
      </c>
      <c r="F78" s="124">
        <v>-0.3</v>
      </c>
      <c r="G78" s="118"/>
    </row>
    <row r="79" spans="1:7" hidden="1">
      <c r="A79" s="122">
        <v>43040</v>
      </c>
      <c r="B79" s="123">
        <v>317</v>
      </c>
      <c r="C79" s="118"/>
      <c r="D79" s="124">
        <v>106</v>
      </c>
      <c r="E79" s="124">
        <v>8.9</v>
      </c>
      <c r="F79" s="124">
        <v>3.6</v>
      </c>
      <c r="G79" s="118"/>
    </row>
    <row r="80" spans="1:7" hidden="1">
      <c r="A80" s="122">
        <v>43132</v>
      </c>
      <c r="B80" s="123">
        <v>326</v>
      </c>
      <c r="C80" s="118"/>
      <c r="D80" s="124">
        <v>98</v>
      </c>
      <c r="E80" s="124">
        <v>8.3000000000000007</v>
      </c>
      <c r="F80" s="124">
        <v>2.8</v>
      </c>
      <c r="G80" s="118"/>
    </row>
    <row r="81" spans="1:7" hidden="1">
      <c r="A81" s="122">
        <v>43221</v>
      </c>
      <c r="B81" s="123">
        <v>326</v>
      </c>
      <c r="C81" s="118"/>
      <c r="D81" s="124">
        <v>94</v>
      </c>
      <c r="E81" s="124">
        <v>6.2</v>
      </c>
      <c r="F81" s="124">
        <v>0</v>
      </c>
      <c r="G81" s="118"/>
    </row>
    <row r="82" spans="1:7" hidden="1">
      <c r="A82" s="122">
        <v>43313</v>
      </c>
      <c r="B82" s="123">
        <v>327</v>
      </c>
      <c r="C82" s="118"/>
      <c r="D82" s="124">
        <v>90</v>
      </c>
      <c r="E82" s="124">
        <v>6.9</v>
      </c>
      <c r="F82" s="124">
        <v>0.3</v>
      </c>
      <c r="G82" s="118"/>
    </row>
    <row r="83" spans="1:7" hidden="1">
      <c r="A83" s="122">
        <v>43405</v>
      </c>
      <c r="B83" s="123">
        <v>330</v>
      </c>
      <c r="C83" s="118"/>
      <c r="D83" s="124">
        <v>85</v>
      </c>
      <c r="E83" s="124">
        <v>4.0999999999999996</v>
      </c>
      <c r="F83" s="124">
        <v>0.9</v>
      </c>
      <c r="G83" s="118"/>
    </row>
    <row r="84" spans="1:7">
      <c r="A84" s="122">
        <v>43497</v>
      </c>
      <c r="B84" s="123">
        <v>331</v>
      </c>
      <c r="C84" s="118"/>
      <c r="D84" s="124">
        <v>74</v>
      </c>
      <c r="E84" s="124">
        <v>1.5</v>
      </c>
      <c r="F84" s="124">
        <v>0.3</v>
      </c>
      <c r="G84" s="118"/>
    </row>
    <row r="85" spans="1:7">
      <c r="A85" s="122">
        <v>43586</v>
      </c>
      <c r="B85" s="123">
        <v>335</v>
      </c>
      <c r="C85" s="118"/>
      <c r="D85" s="124">
        <v>66</v>
      </c>
      <c r="E85" s="124">
        <v>2.8</v>
      </c>
      <c r="F85" s="124">
        <v>1.2</v>
      </c>
      <c r="G85" s="118"/>
    </row>
    <row r="86" spans="1:7">
      <c r="A86" s="122">
        <v>43678</v>
      </c>
      <c r="B86" s="123">
        <v>335</v>
      </c>
      <c r="C86" s="118"/>
      <c r="D86" s="124">
        <v>62</v>
      </c>
      <c r="E86" s="124">
        <v>2.4</v>
      </c>
      <c r="F86" s="124">
        <v>0</v>
      </c>
      <c r="G86" s="118"/>
    </row>
    <row r="87" spans="1:7">
      <c r="A87" s="122">
        <v>43770</v>
      </c>
      <c r="B87" s="123">
        <v>333</v>
      </c>
      <c r="C87" s="118"/>
      <c r="D87" s="124">
        <v>56</v>
      </c>
      <c r="E87" s="124">
        <v>0.9</v>
      </c>
      <c r="F87" s="124">
        <v>-0.6</v>
      </c>
      <c r="G87" s="118"/>
    </row>
    <row r="88" spans="1:7">
      <c r="A88" s="122">
        <v>43862</v>
      </c>
      <c r="B88" s="123">
        <v>335</v>
      </c>
      <c r="C88" s="118" t="s">
        <v>772</v>
      </c>
      <c r="D88" s="124"/>
      <c r="E88" s="124">
        <v>1.2</v>
      </c>
      <c r="F88" s="124">
        <v>0.6</v>
      </c>
      <c r="G88" s="118"/>
    </row>
    <row r="89" spans="1:7">
      <c r="A89" s="122">
        <v>43952</v>
      </c>
      <c r="B89" s="123">
        <v>335</v>
      </c>
      <c r="C89" s="118" t="s">
        <v>772</v>
      </c>
      <c r="D89" s="124"/>
      <c r="E89" s="124">
        <v>0</v>
      </c>
      <c r="F89" s="124">
        <v>0</v>
      </c>
      <c r="G89" s="118"/>
    </row>
    <row r="90" spans="1:7">
      <c r="A90" s="122">
        <v>44044</v>
      </c>
      <c r="B90" s="123">
        <v>330</v>
      </c>
      <c r="C90" s="118" t="s">
        <v>772</v>
      </c>
      <c r="D90" s="124"/>
      <c r="E90" s="124">
        <v>-1.5</v>
      </c>
      <c r="F90" s="124">
        <v>-1.5</v>
      </c>
      <c r="G90" s="118"/>
    </row>
    <row r="91" spans="1:7">
      <c r="A91" s="122">
        <v>44136</v>
      </c>
      <c r="B91" s="123">
        <v>328</v>
      </c>
      <c r="C91" s="118" t="s">
        <v>772</v>
      </c>
      <c r="D91" s="124"/>
      <c r="E91" s="124">
        <v>-1.5</v>
      </c>
      <c r="F91" s="124">
        <v>-0.6</v>
      </c>
      <c r="G91" s="118"/>
    </row>
    <row r="92" spans="1:7">
      <c r="A92" s="122">
        <v>44228</v>
      </c>
      <c r="B92" s="123">
        <v>328</v>
      </c>
      <c r="C92" s="118" t="s">
        <v>772</v>
      </c>
      <c r="D92" s="124"/>
      <c r="E92" s="124">
        <v>-2.1</v>
      </c>
      <c r="F92" s="124">
        <v>0</v>
      </c>
      <c r="G92" s="118"/>
    </row>
    <row r="93" spans="1:7">
      <c r="A93" s="122">
        <v>44317</v>
      </c>
      <c r="B93" s="123">
        <v>331</v>
      </c>
      <c r="C93" s="118" t="s">
        <v>772</v>
      </c>
      <c r="D93" s="124"/>
      <c r="E93" s="124">
        <v>-1.2</v>
      </c>
      <c r="F93" s="124">
        <v>0.9</v>
      </c>
      <c r="G93" s="118"/>
    </row>
    <row r="94" spans="1:7">
      <c r="A94" s="122">
        <v>44409</v>
      </c>
      <c r="B94" s="123">
        <v>339</v>
      </c>
      <c r="C94" s="118" t="s">
        <v>772</v>
      </c>
      <c r="D94" s="124"/>
      <c r="E94" s="124">
        <v>2.7</v>
      </c>
      <c r="F94" s="124">
        <v>2.4</v>
      </c>
      <c r="G94" s="118"/>
    </row>
    <row r="95" spans="1:7">
      <c r="A95" s="122">
        <v>44501</v>
      </c>
      <c r="B95" s="123">
        <v>344</v>
      </c>
      <c r="C95" s="118" t="s">
        <v>772</v>
      </c>
      <c r="D95" s="124"/>
      <c r="E95" s="124">
        <v>4.9000000000000004</v>
      </c>
      <c r="F95" s="124">
        <v>1.5</v>
      </c>
      <c r="G95" s="118"/>
    </row>
    <row r="96" spans="1:7">
      <c r="A96" s="122">
        <v>44593</v>
      </c>
      <c r="B96" s="123">
        <v>350</v>
      </c>
      <c r="C96" s="118" t="s">
        <v>773</v>
      </c>
      <c r="D96" s="124"/>
      <c r="E96" s="124">
        <v>6.7</v>
      </c>
      <c r="F96" s="124">
        <v>1.7</v>
      </c>
      <c r="G96" s="118"/>
    </row>
    <row r="97" spans="1:7">
      <c r="A97" s="122">
        <v>44682</v>
      </c>
      <c r="B97" s="123">
        <v>355</v>
      </c>
      <c r="C97" s="118" t="s">
        <v>773</v>
      </c>
      <c r="D97" s="124"/>
      <c r="E97" s="124">
        <v>7.3</v>
      </c>
      <c r="F97" s="124">
        <v>1.4</v>
      </c>
      <c r="G97" s="118"/>
    </row>
    <row r="98" spans="1:7">
      <c r="A98" s="122">
        <v>44774</v>
      </c>
      <c r="B98" s="123">
        <v>355</v>
      </c>
      <c r="C98" s="118" t="s">
        <v>773</v>
      </c>
      <c r="D98" s="124"/>
      <c r="E98" s="124">
        <v>4.7</v>
      </c>
      <c r="F98" s="124">
        <v>0</v>
      </c>
      <c r="G98" s="118"/>
    </row>
    <row r="99" spans="1:7">
      <c r="A99" s="122">
        <v>44866</v>
      </c>
      <c r="B99" s="123">
        <v>356</v>
      </c>
      <c r="C99" s="118" t="s">
        <v>773</v>
      </c>
      <c r="D99" s="124"/>
      <c r="E99" s="124">
        <v>3.5</v>
      </c>
      <c r="F99" s="124">
        <v>0.3</v>
      </c>
      <c r="G99" s="118"/>
    </row>
    <row r="100" spans="1:7">
      <c r="A100" s="122">
        <v>44958</v>
      </c>
      <c r="B100" s="123">
        <v>362</v>
      </c>
      <c r="C100" s="118" t="s">
        <v>773</v>
      </c>
      <c r="D100" s="124"/>
      <c r="E100" s="124">
        <v>3.4</v>
      </c>
      <c r="F100" s="124">
        <v>1.7</v>
      </c>
      <c r="G100" s="118"/>
    </row>
    <row r="101" spans="1:7">
      <c r="A101" s="122">
        <v>45047</v>
      </c>
      <c r="B101" s="123">
        <v>367</v>
      </c>
      <c r="C101" s="118" t="s">
        <v>773</v>
      </c>
      <c r="D101" s="124"/>
      <c r="E101" s="124">
        <v>3.4</v>
      </c>
      <c r="F101" s="124">
        <v>1.4</v>
      </c>
      <c r="G101" s="118"/>
    </row>
    <row r="102" spans="1:7">
      <c r="A102" s="122">
        <v>45139</v>
      </c>
      <c r="B102" s="123">
        <v>367</v>
      </c>
      <c r="C102" s="118" t="s">
        <v>773</v>
      </c>
      <c r="D102" s="124"/>
      <c r="E102" s="124">
        <v>3.4</v>
      </c>
      <c r="F102" s="124">
        <v>0</v>
      </c>
      <c r="G102" s="118"/>
    </row>
    <row r="103" spans="1:7">
      <c r="A103" s="122">
        <v>45231</v>
      </c>
      <c r="B103" s="123">
        <v>370</v>
      </c>
      <c r="C103" s="118" t="s">
        <v>773</v>
      </c>
      <c r="D103" s="124"/>
      <c r="E103" s="124">
        <v>3.9</v>
      </c>
      <c r="F103" s="124">
        <v>0.8</v>
      </c>
      <c r="G103" s="118"/>
    </row>
    <row r="104" spans="1:7">
      <c r="A104" s="122">
        <v>45323</v>
      </c>
      <c r="B104" s="123">
        <v>377</v>
      </c>
      <c r="C104" s="118" t="s">
        <v>773</v>
      </c>
      <c r="D104" s="124"/>
      <c r="E104" s="124">
        <v>4.0999999999999996</v>
      </c>
      <c r="F104" s="124">
        <v>1.9</v>
      </c>
      <c r="G104" s="118"/>
    </row>
    <row r="105" spans="1:7">
      <c r="A105" s="122">
        <v>45413</v>
      </c>
      <c r="B105" s="123">
        <v>382</v>
      </c>
      <c r="C105" s="118" t="s">
        <v>773</v>
      </c>
      <c r="D105" s="124"/>
      <c r="E105" s="124">
        <v>4.0999999999999996</v>
      </c>
      <c r="F105" s="124">
        <v>1.3</v>
      </c>
      <c r="G105" s="118"/>
    </row>
    <row r="106" spans="1:7">
      <c r="A106" s="122">
        <v>45505</v>
      </c>
      <c r="B106" s="123">
        <v>382</v>
      </c>
      <c r="C106" s="118" t="s">
        <v>773</v>
      </c>
      <c r="D106" s="124"/>
      <c r="E106" s="124">
        <v>4.0999999999999996</v>
      </c>
      <c r="F106" s="124">
        <v>0</v>
      </c>
      <c r="G106" s="118"/>
    </row>
    <row r="107" spans="1:7">
      <c r="A107" s="122">
        <v>45597</v>
      </c>
      <c r="B107" s="123">
        <v>385</v>
      </c>
      <c r="C107" s="118" t="s">
        <v>773</v>
      </c>
      <c r="D107" s="124"/>
      <c r="E107" s="124">
        <v>4.0999999999999996</v>
      </c>
      <c r="F107" s="124">
        <v>0.8</v>
      </c>
      <c r="G107" s="118"/>
    </row>
    <row r="108" spans="1:7">
      <c r="A108" s="122">
        <v>45689</v>
      </c>
      <c r="B108" s="123">
        <v>392</v>
      </c>
      <c r="C108" s="118" t="s">
        <v>773</v>
      </c>
      <c r="D108" s="124"/>
      <c r="E108" s="124">
        <v>4</v>
      </c>
      <c r="F108" s="124">
        <v>1.8</v>
      </c>
      <c r="G108" s="118"/>
    </row>
    <row r="109" spans="1:7">
      <c r="A109" s="122">
        <v>45778</v>
      </c>
      <c r="B109" s="123">
        <v>397</v>
      </c>
      <c r="C109" s="118" t="s">
        <v>773</v>
      </c>
      <c r="D109" s="124"/>
      <c r="E109" s="124">
        <v>3.9</v>
      </c>
      <c r="F109" s="124">
        <v>1.3</v>
      </c>
      <c r="G109" s="118"/>
    </row>
    <row r="110" spans="1:7">
      <c r="A110" s="122">
        <v>45870</v>
      </c>
      <c r="B110" s="123">
        <v>397</v>
      </c>
      <c r="C110" s="118" t="s">
        <v>773</v>
      </c>
      <c r="D110" s="124"/>
      <c r="E110" s="124">
        <v>3.9</v>
      </c>
      <c r="F110" s="124">
        <v>0</v>
      </c>
      <c r="G110" s="118"/>
    </row>
    <row r="111" spans="1:7">
      <c r="A111" s="122">
        <v>45962</v>
      </c>
      <c r="B111" s="123">
        <v>400</v>
      </c>
      <c r="C111" s="118" t="s">
        <v>773</v>
      </c>
      <c r="D111" s="124"/>
      <c r="E111" s="124">
        <v>3.9</v>
      </c>
      <c r="F111" s="124">
        <v>0.8</v>
      </c>
      <c r="G111" s="118"/>
    </row>
    <row r="112" spans="1:7">
      <c r="A112" s="122">
        <v>46054</v>
      </c>
      <c r="B112" s="123">
        <v>407</v>
      </c>
      <c r="C112" s="118" t="s">
        <v>773</v>
      </c>
      <c r="D112" s="124"/>
      <c r="E112" s="124">
        <v>3.8</v>
      </c>
      <c r="F112" s="124">
        <v>1.8</v>
      </c>
      <c r="G112" s="118"/>
    </row>
    <row r="113" spans="1:7">
      <c r="A113" s="122">
        <v>46143</v>
      </c>
      <c r="B113" s="123">
        <v>412</v>
      </c>
      <c r="C113" s="118" t="s">
        <v>773</v>
      </c>
      <c r="D113" s="124"/>
      <c r="E113" s="124">
        <v>3.8</v>
      </c>
      <c r="F113" s="124">
        <v>1.2</v>
      </c>
      <c r="G113" s="118"/>
    </row>
    <row r="114" spans="1:7" ht="15.75" thickBot="1">
      <c r="A114" s="125">
        <v>46235</v>
      </c>
      <c r="B114" s="126">
        <v>412</v>
      </c>
      <c r="C114" s="127" t="s">
        <v>773</v>
      </c>
      <c r="D114" s="128"/>
      <c r="E114" s="128">
        <v>3.8</v>
      </c>
      <c r="F114" s="128">
        <v>0</v>
      </c>
      <c r="G114" s="118"/>
    </row>
    <row r="115" spans="1:7" ht="15.75" thickTop="1">
      <c r="A115" s="118"/>
      <c r="B115" s="118"/>
      <c r="C115" s="118"/>
      <c r="D115" s="118"/>
      <c r="E115" s="118"/>
      <c r="F115" s="118"/>
      <c r="G115" s="118"/>
    </row>
  </sheetData>
  <mergeCells count="5">
    <mergeCell ref="B1:F1"/>
    <mergeCell ref="B3:D3"/>
    <mergeCell ref="B4:C4"/>
    <mergeCell ref="B5:F5"/>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a82daf9-cb71-4c9d-adb5-8abc0229cd2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B6EE6899026C64F9DD3399F4CF96AC9" ma:contentTypeVersion="11" ma:contentTypeDescription="Create a new document." ma:contentTypeScope="" ma:versionID="07fb2f862fd44490b83c071655b168af">
  <xsd:schema xmlns:xsd="http://www.w3.org/2001/XMLSchema" xmlns:xs="http://www.w3.org/2001/XMLSchema" xmlns:p="http://schemas.microsoft.com/office/2006/metadata/properties" xmlns:ns2="3a82daf9-cb71-4c9d-adb5-8abc0229cd26" xmlns:ns3="d9003894-d35a-4253-84c2-d77051f1520d" targetNamespace="http://schemas.microsoft.com/office/2006/metadata/properties" ma:root="true" ma:fieldsID="7e6baafe36a326f47db41c5a69fc3b1e" ns2:_="" ns3:_="">
    <xsd:import namespace="3a82daf9-cb71-4c9d-adb5-8abc0229cd26"/>
    <xsd:import namespace="d9003894-d35a-4253-84c2-d77051f1520d"/>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82daf9-cb71-4c9d-adb5-8abc0229cd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003894-d35a-4253-84c2-d77051f1520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E2D51C-519A-45C2-8AB1-C85965FCA57C}">
  <ds:schemaRefs>
    <ds:schemaRef ds:uri="http://schemas.microsoft.com/office/2006/metadata/properties"/>
    <ds:schemaRef ds:uri="http://schemas.microsoft.com/office/infopath/2007/PartnerControls"/>
    <ds:schemaRef ds:uri="3a82daf9-cb71-4c9d-adb5-8abc0229cd26"/>
  </ds:schemaRefs>
</ds:datastoreItem>
</file>

<file path=customXml/itemProps2.xml><?xml version="1.0" encoding="utf-8"?>
<ds:datastoreItem xmlns:ds="http://schemas.openxmlformats.org/officeDocument/2006/customXml" ds:itemID="{65F659E6-534B-4F12-8263-296680EB0A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82daf9-cb71-4c9d-adb5-8abc0229cd26"/>
    <ds:schemaRef ds:uri="d9003894-d35a-4253-84c2-d77051f152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F5D620-D04F-45B7-B440-232535EF332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4</vt:i4>
      </vt:variant>
    </vt:vector>
  </HeadingPairs>
  <TitlesOfParts>
    <vt:vector size="17" baseType="lpstr">
      <vt:lpstr>Cover</vt:lpstr>
      <vt:lpstr>Summary</vt:lpstr>
      <vt:lpstr>Allowances &amp; Assumptions</vt:lpstr>
      <vt:lpstr>Document Register</vt:lpstr>
      <vt:lpstr>Initial Feasability</vt:lpstr>
      <vt:lpstr>Developed Feasibility</vt:lpstr>
      <vt:lpstr>Material Cost Comparison</vt:lpstr>
      <vt:lpstr>1. Preliminaries-main contract</vt:lpstr>
      <vt:lpstr>Information given by model</vt:lpstr>
      <vt:lpstr>Takeoff Quantities</vt:lpstr>
      <vt:lpstr>Take-off Quantities</vt:lpstr>
      <vt:lpstr>Index Factors</vt:lpstr>
      <vt:lpstr>BCIS Indices</vt:lpstr>
      <vt:lpstr>Cover!Print_Area</vt:lpstr>
      <vt:lpstr>'Document Register'!Print_Area</vt:lpstr>
      <vt:lpstr>'Index Factors'!Print_Area</vt:lpstr>
      <vt:lpstr>Summary!Print_Area</vt:lpstr>
    </vt:vector>
  </TitlesOfParts>
  <Manager/>
  <Company>Persimmon Homes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Tobias Adamson</dc:creator>
  <cp:keywords/>
  <dc:description/>
  <cp:lastModifiedBy>Jenny Stroud (2008886)</cp:lastModifiedBy>
  <cp:revision/>
  <dcterms:created xsi:type="dcterms:W3CDTF">2021-11-26T09:15:25Z</dcterms:created>
  <dcterms:modified xsi:type="dcterms:W3CDTF">2023-05-03T10:38:56Z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0x010100CB6EE6899026C64F9DD3399F4CF96AC9</vt:lpwstr>
  </property>
  <property fmtid="{D5CDD505-2E9C-101B-9397-08002B2CF9AE}" pid="3" name="MediaServiceImageTags">
    <vt:lpwstr/>
  </property>
</Properties>
</file>