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j\OneDrive\Documents\UWTSD\Motorcycle Technology\Assignment\"/>
    </mc:Choice>
  </mc:AlternateContent>
  <bookViews>
    <workbookView xWindow="0" yWindow="0" windowWidth="17256" windowHeight="5844"/>
  </bookViews>
  <sheets>
    <sheet name="Ducati Panigale 129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1" l="1"/>
  <c r="B40" i="1"/>
  <c r="B41" i="1" l="1"/>
  <c r="B17" i="1"/>
  <c r="F14" i="1"/>
  <c r="E33" i="1" l="1"/>
  <c r="E32" i="1"/>
  <c r="E31" i="1"/>
  <c r="E30" i="1"/>
  <c r="E29" i="1"/>
  <c r="E28" i="1"/>
  <c r="E27" i="1"/>
  <c r="E26" i="1"/>
  <c r="E25" i="1"/>
  <c r="E24" i="1"/>
  <c r="E23" i="1"/>
  <c r="S23" i="1" l="1"/>
  <c r="N23" i="1"/>
  <c r="O23" i="1"/>
  <c r="P23" i="1"/>
  <c r="Q23" i="1"/>
  <c r="R23" i="1"/>
  <c r="Q24" i="1"/>
  <c r="R24" i="1"/>
  <c r="S24" i="1"/>
  <c r="P24" i="1"/>
  <c r="N24" i="1"/>
  <c r="O24" i="1"/>
  <c r="P25" i="1"/>
  <c r="Q25" i="1"/>
  <c r="R25" i="1"/>
  <c r="S25" i="1"/>
  <c r="O25" i="1"/>
  <c r="N25" i="1"/>
  <c r="P26" i="1"/>
  <c r="Q26" i="1"/>
  <c r="R26" i="1"/>
  <c r="S26" i="1"/>
  <c r="N26" i="1"/>
  <c r="O26" i="1"/>
  <c r="O27" i="1"/>
  <c r="P27" i="1"/>
  <c r="Q27" i="1"/>
  <c r="R27" i="1"/>
  <c r="N27" i="1"/>
  <c r="S27" i="1"/>
  <c r="N28" i="1"/>
  <c r="O28" i="1"/>
  <c r="P28" i="1"/>
  <c r="Q28" i="1"/>
  <c r="S28" i="1"/>
  <c r="R28" i="1"/>
  <c r="N29" i="1"/>
  <c r="O29" i="1"/>
  <c r="P29" i="1"/>
  <c r="R29" i="1"/>
  <c r="S29" i="1"/>
  <c r="Q29" i="1"/>
  <c r="N30" i="1"/>
  <c r="O30" i="1"/>
  <c r="P30" i="1"/>
  <c r="Q30" i="1"/>
  <c r="R30" i="1"/>
  <c r="S30" i="1"/>
  <c r="N31" i="1"/>
  <c r="P31" i="1"/>
  <c r="O31" i="1"/>
  <c r="Q31" i="1"/>
  <c r="R31" i="1"/>
  <c r="S31" i="1"/>
  <c r="P32" i="1"/>
  <c r="R32" i="1"/>
  <c r="N32" i="1"/>
  <c r="O32" i="1"/>
  <c r="Q32" i="1"/>
  <c r="S32" i="1"/>
  <c r="N33" i="1"/>
  <c r="R33" i="1"/>
  <c r="S33" i="1"/>
  <c r="O33" i="1"/>
  <c r="P33" i="1"/>
  <c r="Q33" i="1"/>
  <c r="F15" i="1"/>
  <c r="C17" i="1" l="1"/>
  <c r="E9" i="1"/>
  <c r="F9" i="1" s="1"/>
  <c r="E8" i="1"/>
  <c r="F8" i="1" s="1"/>
  <c r="E7" i="1"/>
  <c r="F7" i="1" s="1"/>
  <c r="E6" i="1"/>
  <c r="F6" i="1" s="1"/>
  <c r="E5" i="1"/>
  <c r="F5" i="1" s="1"/>
  <c r="D10" i="1"/>
  <c r="D9" i="1"/>
  <c r="D8" i="1"/>
  <c r="D7" i="1"/>
  <c r="D6" i="1"/>
  <c r="D5" i="1"/>
  <c r="C10" i="1" l="1"/>
  <c r="C9" i="1"/>
  <c r="C8" i="1"/>
  <c r="C7" i="1"/>
  <c r="C6" i="1"/>
  <c r="C5" i="1"/>
</calcChain>
</file>

<file path=xl/sharedStrings.xml><?xml version="1.0" encoding="utf-8"?>
<sst xmlns="http://schemas.openxmlformats.org/spreadsheetml/2006/main" count="67" uniqueCount="55">
  <si>
    <t>Primary drive:</t>
  </si>
  <si>
    <t>Final drive:</t>
  </si>
  <si>
    <t>Rpm in following gear</t>
  </si>
  <si>
    <t>1st</t>
  </si>
  <si>
    <t>2nd</t>
  </si>
  <si>
    <t>3rd</t>
  </si>
  <si>
    <t>4th</t>
  </si>
  <si>
    <t>5th</t>
  </si>
  <si>
    <t>6th</t>
  </si>
  <si>
    <t>Max rpm</t>
  </si>
  <si>
    <t>Top Speed</t>
  </si>
  <si>
    <t>Geometry specfifiations</t>
  </si>
  <si>
    <t>Ducati Panigale 1299</t>
  </si>
  <si>
    <t>53/30</t>
  </si>
  <si>
    <t>39/15</t>
  </si>
  <si>
    <t>37/15</t>
  </si>
  <si>
    <t>30/16</t>
  </si>
  <si>
    <t>27/18</t>
  </si>
  <si>
    <t>25/20</t>
  </si>
  <si>
    <t>24/22</t>
  </si>
  <si>
    <t>23/24</t>
  </si>
  <si>
    <t>Trail (mm)</t>
  </si>
  <si>
    <t>Wheelbase (mm)</t>
  </si>
  <si>
    <t>Rake (°)</t>
  </si>
  <si>
    <t>Centre of gravity</t>
  </si>
  <si>
    <t>Load on rear wheel (kg)</t>
  </si>
  <si>
    <t>Load on rear wheel when lifted (kg)</t>
  </si>
  <si>
    <t>Angle of lifted bike (rad)</t>
  </si>
  <si>
    <t>RPM</t>
  </si>
  <si>
    <t>Power(hp)</t>
  </si>
  <si>
    <t>Torque(Nm)</t>
  </si>
  <si>
    <t>Power(Kw)</t>
  </si>
  <si>
    <t>Ducati 1299 Panigale</t>
  </si>
  <si>
    <t>Road Speed</t>
  </si>
  <si>
    <t>Driving force</t>
  </si>
  <si>
    <t>Xcog (m behind front wheel contact patch)</t>
  </si>
  <si>
    <t>Height of block (m)</t>
  </si>
  <si>
    <t>Average wheel radius (m)</t>
  </si>
  <si>
    <t>Tyre Diameter (mm)</t>
  </si>
  <si>
    <t>Tyre Circumference (mm)</t>
  </si>
  <si>
    <t>WheelBase (m)</t>
  </si>
  <si>
    <t>Ycog (m above front wheel contact patch)</t>
  </si>
  <si>
    <t>Top speed calculation</t>
  </si>
  <si>
    <t>Rolling resistance(N)</t>
  </si>
  <si>
    <t>Driving force(N)</t>
  </si>
  <si>
    <t>Top speed:</t>
  </si>
  <si>
    <t>302kph</t>
  </si>
  <si>
    <t>83.89 m/s</t>
  </si>
  <si>
    <t>Total Mass (kg)</t>
  </si>
  <si>
    <t xml:space="preserve">Density </t>
  </si>
  <si>
    <t>Frontal area(m^2)</t>
  </si>
  <si>
    <t>Aero drag (N)</t>
  </si>
  <si>
    <t>Total reistance (N)</t>
  </si>
  <si>
    <t>Total resistance is 
greater than driving 
force, therefore the 
bike will not hit its top speed of 302kph</t>
  </si>
  <si>
    <t>RPM Fall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</si>
</sst>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1" defaultTableStyle="TableStyleMedium2" defaultPivotStyle="PivotStyleLight16">
    <tableStyle name="Table Styl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workbookViewId="0">
      <selection activeCell="G10" sqref="G10"/>
    </sheetView>
  </sheetViews>
  <sheetFormatPr defaultRowHeight="14.4" x14ac:dyDescent="0.3"/>
  <cols>
    <col min="1" max="1" width="30.109375" customWidth="1"/>
    <col min="2" max="2" width="17.77734375" customWidth="1"/>
    <col min="3" max="4" width="12" customWidth="1"/>
    <col min="5" max="5" width="36.109375" bestFit="1" customWidth="1"/>
    <col min="6" max="6" width="12" customWidth="1"/>
    <col min="7" max="7" width="18.109375" customWidth="1"/>
    <col min="8" max="8" width="20.6640625" customWidth="1"/>
    <col min="9" max="12" width="13.77734375" customWidth="1"/>
    <col min="14" max="19" width="12" bestFit="1" customWidth="1"/>
  </cols>
  <sheetData>
    <row r="1" spans="1:9" x14ac:dyDescent="0.3">
      <c r="A1" s="3" t="s">
        <v>12</v>
      </c>
      <c r="H1" s="3" t="s">
        <v>11</v>
      </c>
    </row>
    <row r="2" spans="1:9" x14ac:dyDescent="0.3">
      <c r="A2" t="s">
        <v>0</v>
      </c>
      <c r="B2" t="s">
        <v>13</v>
      </c>
      <c r="H2" t="s">
        <v>22</v>
      </c>
      <c r="I2">
        <v>1437</v>
      </c>
    </row>
    <row r="3" spans="1:9" x14ac:dyDescent="0.3">
      <c r="A3" t="s">
        <v>1</v>
      </c>
      <c r="B3" t="s">
        <v>14</v>
      </c>
      <c r="H3" t="s">
        <v>23</v>
      </c>
      <c r="I3">
        <v>24</v>
      </c>
    </row>
    <row r="4" spans="1:9" x14ac:dyDescent="0.3">
      <c r="D4" t="s">
        <v>10</v>
      </c>
      <c r="E4" t="s">
        <v>2</v>
      </c>
      <c r="F4" t="s">
        <v>54</v>
      </c>
      <c r="H4" t="s">
        <v>21</v>
      </c>
      <c r="I4">
        <v>96</v>
      </c>
    </row>
    <row r="5" spans="1:9" x14ac:dyDescent="0.3">
      <c r="A5" t="s">
        <v>3</v>
      </c>
      <c r="B5" t="s">
        <v>15</v>
      </c>
      <c r="C5" s="1">
        <f>45/17</f>
        <v>2.6470588235294117</v>
      </c>
      <c r="D5" s="1">
        <f>(B11*60*(15/37)*0.64079*PI()*(30/53)/1000)*(15/39)</f>
        <v>117.26572852913733</v>
      </c>
      <c r="E5" s="1">
        <f>B11*(15/37)*(30/16)</f>
        <v>8361.4864864864867</v>
      </c>
      <c r="F5" s="1">
        <f>$B$11-E5</f>
        <v>2638.5135135135133</v>
      </c>
      <c r="H5" t="s">
        <v>38</v>
      </c>
      <c r="I5">
        <v>651.79999999999995</v>
      </c>
    </row>
    <row r="6" spans="1:9" x14ac:dyDescent="0.3">
      <c r="A6" t="s">
        <v>4</v>
      </c>
      <c r="B6" t="s">
        <v>16</v>
      </c>
      <c r="C6" s="1">
        <f>46/22</f>
        <v>2.0909090909090908</v>
      </c>
      <c r="D6" s="1">
        <f>(B11*60*(16/30)*0.64079*PI()*(30/53)/1000)*(15/39)</f>
        <v>154.26958064277622</v>
      </c>
      <c r="E6" s="1">
        <f>B11*(16/30)*(27/18)</f>
        <v>8800</v>
      </c>
      <c r="F6" s="1">
        <f>$B$11-E6</f>
        <v>2200</v>
      </c>
      <c r="H6" t="s">
        <v>39</v>
      </c>
      <c r="I6">
        <v>2047.7</v>
      </c>
    </row>
    <row r="7" spans="1:9" x14ac:dyDescent="0.3">
      <c r="A7" t="s">
        <v>5</v>
      </c>
      <c r="B7" t="s">
        <v>17</v>
      </c>
      <c r="C7" s="1">
        <f>38/22</f>
        <v>1.7272727272727273</v>
      </c>
      <c r="D7" s="1">
        <f>(B11*60*(18/27)*0.64079*PI()*(30/53)/1000)*(15/39)</f>
        <v>192.8369758034703</v>
      </c>
      <c r="E7" s="1">
        <f>B11*(18/27)*(25/20)</f>
        <v>9166.6666666666661</v>
      </c>
      <c r="F7" s="1">
        <f>$B$11-E7</f>
        <v>1833.3333333333339</v>
      </c>
      <c r="H7" t="s">
        <v>40</v>
      </c>
      <c r="I7">
        <v>1.4370000000000001</v>
      </c>
    </row>
    <row r="8" spans="1:9" x14ac:dyDescent="0.3">
      <c r="A8" t="s">
        <v>6</v>
      </c>
      <c r="B8" t="s">
        <v>18</v>
      </c>
      <c r="C8" s="1">
        <f>33/22</f>
        <v>1.5</v>
      </c>
      <c r="D8" s="1">
        <f>(B11*60*(20/25)*0.64079*PI()*(30/53)/1000)*(15/39)</f>
        <v>231.40437096416437</v>
      </c>
      <c r="E8" s="1">
        <f>B11*(20/25)*(24/22)</f>
        <v>9600</v>
      </c>
      <c r="F8" s="1">
        <f>$B$11-E8</f>
        <v>1400</v>
      </c>
    </row>
    <row r="9" spans="1:9" x14ac:dyDescent="0.3">
      <c r="A9" t="s">
        <v>7</v>
      </c>
      <c r="B9" t="s">
        <v>19</v>
      </c>
      <c r="C9" s="1">
        <f>34/25</f>
        <v>1.36</v>
      </c>
      <c r="D9" s="1">
        <f>(B11*60*(22/24)*0.64079*PI()*(30/53)/1000)*(15/39)</f>
        <v>265.15084172977163</v>
      </c>
      <c r="E9" s="1">
        <f>B11*(22/24)*(23/24)</f>
        <v>9663.1944444444434</v>
      </c>
      <c r="F9" s="1">
        <f>$B$11-E9</f>
        <v>1336.8055555555566</v>
      </c>
    </row>
    <row r="10" spans="1:9" x14ac:dyDescent="0.3">
      <c r="A10" t="s">
        <v>8</v>
      </c>
      <c r="B10" t="s">
        <v>20</v>
      </c>
      <c r="C10" s="1">
        <f>29/23</f>
        <v>1.2608695652173914</v>
      </c>
      <c r="D10" s="1">
        <f>(B11*60*(24/23)*0.64079*PI()*(30/53)/1000)*(15/39)</f>
        <v>301.83178821412741</v>
      </c>
      <c r="E10" s="1"/>
      <c r="F10" s="1"/>
    </row>
    <row r="11" spans="1:9" x14ac:dyDescent="0.3">
      <c r="A11" t="s">
        <v>9</v>
      </c>
      <c r="B11">
        <v>11000</v>
      </c>
    </row>
    <row r="13" spans="1:9" x14ac:dyDescent="0.3">
      <c r="A13" s="3" t="s">
        <v>24</v>
      </c>
    </row>
    <row r="14" spans="1:9" x14ac:dyDescent="0.3">
      <c r="A14" t="s">
        <v>48</v>
      </c>
      <c r="B14">
        <v>186.9</v>
      </c>
      <c r="E14" t="s">
        <v>35</v>
      </c>
      <c r="F14">
        <f>(B15*I7)/B14</f>
        <v>0.67429052969502412</v>
      </c>
    </row>
    <row r="15" spans="1:9" x14ac:dyDescent="0.3">
      <c r="A15" t="s">
        <v>25</v>
      </c>
      <c r="B15">
        <v>87.7</v>
      </c>
      <c r="E15" t="s">
        <v>41</v>
      </c>
      <c r="F15">
        <f>(I7*(B15-B16))/(B14*TAN(B17))+B18</f>
        <v>0.52754222366178372</v>
      </c>
    </row>
    <row r="16" spans="1:9" x14ac:dyDescent="0.3">
      <c r="A16" t="s">
        <v>26</v>
      </c>
      <c r="B16">
        <v>81</v>
      </c>
    </row>
    <row r="17" spans="1:19" x14ac:dyDescent="0.3">
      <c r="A17" t="s">
        <v>27</v>
      </c>
      <c r="B17" s="2" t="str">
        <f>IMSIN(B19/I7)</f>
        <v>0.237783739416593</v>
      </c>
      <c r="C17" s="1">
        <f>DEGREES(B17)</f>
        <v>13.624004705409336</v>
      </c>
    </row>
    <row r="18" spans="1:19" x14ac:dyDescent="0.3">
      <c r="A18" t="s">
        <v>37</v>
      </c>
      <c r="B18">
        <v>0.315</v>
      </c>
    </row>
    <row r="19" spans="1:19" x14ac:dyDescent="0.3">
      <c r="A19" t="s">
        <v>36</v>
      </c>
      <c r="B19">
        <v>0.34499999999999997</v>
      </c>
    </row>
    <row r="21" spans="1:19" x14ac:dyDescent="0.3">
      <c r="G21" t="s">
        <v>33</v>
      </c>
      <c r="N21" t="s">
        <v>34</v>
      </c>
    </row>
    <row r="22" spans="1:19" x14ac:dyDescent="0.3">
      <c r="A22" s="3" t="s">
        <v>32</v>
      </c>
      <c r="B22" t="s">
        <v>28</v>
      </c>
      <c r="C22" t="s">
        <v>29</v>
      </c>
      <c r="D22" t="s">
        <v>30</v>
      </c>
      <c r="E22" t="s">
        <v>31</v>
      </c>
      <c r="G22" t="s">
        <v>3</v>
      </c>
      <c r="H22" t="s">
        <v>4</v>
      </c>
      <c r="I22" t="s">
        <v>5</v>
      </c>
      <c r="J22" t="s">
        <v>6</v>
      </c>
      <c r="K22" t="s">
        <v>7</v>
      </c>
      <c r="L22" t="s">
        <v>8</v>
      </c>
      <c r="N22" t="s">
        <v>3</v>
      </c>
      <c r="O22" t="s">
        <v>4</v>
      </c>
      <c r="P22" t="s">
        <v>5</v>
      </c>
      <c r="Q22" t="s">
        <v>6</v>
      </c>
      <c r="R22" t="s">
        <v>7</v>
      </c>
      <c r="S22" t="s">
        <v>8</v>
      </c>
    </row>
    <row r="23" spans="1:19" x14ac:dyDescent="0.3">
      <c r="B23">
        <v>6000</v>
      </c>
      <c r="C23">
        <v>85</v>
      </c>
      <c r="D23">
        <v>99</v>
      </c>
      <c r="E23">
        <f t="shared" ref="E23:E33" si="0">0.7457*C23</f>
        <v>63.384500000000003</v>
      </c>
      <c r="G23">
        <v>64</v>
      </c>
      <c r="H23">
        <v>84</v>
      </c>
      <c r="I23">
        <v>105</v>
      </c>
      <c r="J23">
        <v>126</v>
      </c>
      <c r="K23">
        <v>144</v>
      </c>
      <c r="L23">
        <v>164</v>
      </c>
      <c r="N23" s="1">
        <f>(E23*1000)/(G23*(1000/3600))</f>
        <v>3565.3781249999997</v>
      </c>
      <c r="O23" s="1">
        <f>(E23*1000)/(H23*(1000/3600))</f>
        <v>2716.4785714285713</v>
      </c>
      <c r="P23" s="1">
        <f>(E23*1000)/(I23*(1000/3600))</f>
        <v>2173.1828571428568</v>
      </c>
      <c r="Q23" s="1">
        <f>(E23*1000)/(J23*(1000/3600))</f>
        <v>1810.9857142857143</v>
      </c>
      <c r="R23" s="1">
        <f>(E23*1000)/(K23*(1000/3600))</f>
        <v>1584.6125</v>
      </c>
      <c r="S23" s="1">
        <f>(E23*1000)/(L23*(1000/3600))</f>
        <v>1391.3670731707316</v>
      </c>
    </row>
    <row r="24" spans="1:19" x14ac:dyDescent="0.3">
      <c r="B24">
        <v>6500</v>
      </c>
      <c r="C24">
        <v>93</v>
      </c>
      <c r="D24">
        <v>102</v>
      </c>
      <c r="E24">
        <f t="shared" si="0"/>
        <v>69.350099999999998</v>
      </c>
      <c r="G24">
        <v>69</v>
      </c>
      <c r="H24">
        <v>91</v>
      </c>
      <c r="I24">
        <v>114</v>
      </c>
      <c r="J24">
        <v>137</v>
      </c>
      <c r="K24">
        <v>157</v>
      </c>
      <c r="L24">
        <v>178</v>
      </c>
      <c r="N24" s="1">
        <f t="shared" ref="N24:N33" si="1">(E24*1000)/(G24*(1000/3600))</f>
        <v>3618.2660869565211</v>
      </c>
      <c r="O24" s="1">
        <f t="shared" ref="O24:O33" si="2">(E24*1000)/(H24*(1000/3600))</f>
        <v>2743.5204395604392</v>
      </c>
      <c r="P24" s="1">
        <f t="shared" ref="P24:P33" si="3">(E24*1000)/(I24*(1000/3600))</f>
        <v>2190.0031578947364</v>
      </c>
      <c r="Q24" s="1">
        <f t="shared" ref="Q24:Q33" si="4">(E24*1000)/(J24*(1000/3600))</f>
        <v>1822.3383941605837</v>
      </c>
      <c r="R24" s="1">
        <f t="shared" ref="R24:R33" si="5">(E24*1000)/(K24*(1000/3600))</f>
        <v>1590.1933757961781</v>
      </c>
      <c r="S24" s="1">
        <f t="shared" ref="S24:S33" si="6">(E24*1000)/(L24*(1000/3600))</f>
        <v>1402.5862921348312</v>
      </c>
    </row>
    <row r="25" spans="1:19" x14ac:dyDescent="0.3">
      <c r="B25">
        <v>7000</v>
      </c>
      <c r="C25">
        <v>105</v>
      </c>
      <c r="D25">
        <v>106</v>
      </c>
      <c r="E25">
        <f t="shared" si="0"/>
        <v>78.298500000000004</v>
      </c>
      <c r="G25">
        <v>75</v>
      </c>
      <c r="H25">
        <v>98</v>
      </c>
      <c r="I25">
        <v>123</v>
      </c>
      <c r="J25">
        <v>147</v>
      </c>
      <c r="K25">
        <v>169</v>
      </c>
      <c r="L25">
        <v>192</v>
      </c>
      <c r="N25" s="1">
        <f t="shared" si="1"/>
        <v>3758.3279999999995</v>
      </c>
      <c r="O25" s="1">
        <f t="shared" si="2"/>
        <v>2876.2714285714283</v>
      </c>
      <c r="P25" s="1">
        <f t="shared" si="3"/>
        <v>2291.6634146341462</v>
      </c>
      <c r="Q25" s="1">
        <f t="shared" si="4"/>
        <v>1917.5142857142855</v>
      </c>
      <c r="R25" s="1">
        <f t="shared" si="5"/>
        <v>1667.8970414201181</v>
      </c>
      <c r="S25" s="1">
        <f t="shared" si="6"/>
        <v>1468.096875</v>
      </c>
    </row>
    <row r="26" spans="1:19" x14ac:dyDescent="0.3">
      <c r="B26">
        <v>7500</v>
      </c>
      <c r="C26">
        <v>118</v>
      </c>
      <c r="D26">
        <v>110</v>
      </c>
      <c r="E26">
        <f t="shared" si="0"/>
        <v>87.99260000000001</v>
      </c>
      <c r="G26">
        <v>80</v>
      </c>
      <c r="H26">
        <v>105</v>
      </c>
      <c r="I26">
        <v>131</v>
      </c>
      <c r="J26">
        <v>157</v>
      </c>
      <c r="K26">
        <v>180</v>
      </c>
      <c r="L26">
        <v>206</v>
      </c>
      <c r="N26" s="1">
        <f t="shared" si="1"/>
        <v>3959.6670000000004</v>
      </c>
      <c r="O26" s="1">
        <f t="shared" si="2"/>
        <v>3016.8891428571428</v>
      </c>
      <c r="P26" s="1">
        <f t="shared" si="3"/>
        <v>2418.1172519083971</v>
      </c>
      <c r="Q26" s="1">
        <f t="shared" si="4"/>
        <v>2017.6647133757961</v>
      </c>
      <c r="R26" s="1">
        <f t="shared" si="5"/>
        <v>1759.8520000000001</v>
      </c>
      <c r="S26" s="1">
        <f t="shared" si="6"/>
        <v>1537.7347572815536</v>
      </c>
    </row>
    <row r="27" spans="1:19" x14ac:dyDescent="0.3">
      <c r="B27">
        <v>8000</v>
      </c>
      <c r="C27">
        <v>137</v>
      </c>
      <c r="D27">
        <v>122</v>
      </c>
      <c r="E27">
        <f t="shared" si="0"/>
        <v>102.1609</v>
      </c>
      <c r="G27">
        <v>85</v>
      </c>
      <c r="H27">
        <v>112</v>
      </c>
      <c r="I27">
        <v>140</v>
      </c>
      <c r="J27">
        <v>168</v>
      </c>
      <c r="K27">
        <v>193</v>
      </c>
      <c r="L27">
        <v>220</v>
      </c>
      <c r="N27" s="1">
        <f t="shared" si="1"/>
        <v>4326.8145882352937</v>
      </c>
      <c r="O27" s="1">
        <f t="shared" si="2"/>
        <v>3283.7432142857137</v>
      </c>
      <c r="P27" s="1">
        <f t="shared" si="3"/>
        <v>2626.9945714285709</v>
      </c>
      <c r="Q27" s="1">
        <f t="shared" si="4"/>
        <v>2189.1621428571425</v>
      </c>
      <c r="R27" s="1">
        <f t="shared" si="5"/>
        <v>1905.5919170984453</v>
      </c>
      <c r="S27" s="1">
        <f t="shared" si="6"/>
        <v>1671.7238181818179</v>
      </c>
    </row>
    <row r="28" spans="1:19" x14ac:dyDescent="0.3">
      <c r="B28">
        <v>8500</v>
      </c>
      <c r="C28">
        <v>155</v>
      </c>
      <c r="D28">
        <v>130</v>
      </c>
      <c r="E28">
        <f t="shared" si="0"/>
        <v>115.5835</v>
      </c>
      <c r="G28">
        <v>90</v>
      </c>
      <c r="H28">
        <v>119</v>
      </c>
      <c r="I28">
        <v>149</v>
      </c>
      <c r="J28">
        <v>178</v>
      </c>
      <c r="K28">
        <v>205</v>
      </c>
      <c r="L28">
        <v>233</v>
      </c>
      <c r="N28" s="1">
        <f t="shared" si="1"/>
        <v>4623.34</v>
      </c>
      <c r="O28" s="1">
        <f t="shared" si="2"/>
        <v>3496.6436974789913</v>
      </c>
      <c r="P28" s="1">
        <f t="shared" si="3"/>
        <v>2792.6214765100667</v>
      </c>
      <c r="Q28" s="1">
        <f t="shared" si="4"/>
        <v>2337.6438202247186</v>
      </c>
      <c r="R28" s="1">
        <f t="shared" si="5"/>
        <v>2029.7590243902437</v>
      </c>
      <c r="S28" s="1">
        <f t="shared" si="6"/>
        <v>1785.8394849785407</v>
      </c>
    </row>
    <row r="29" spans="1:19" x14ac:dyDescent="0.3">
      <c r="B29">
        <v>9000</v>
      </c>
      <c r="C29">
        <v>161</v>
      </c>
      <c r="D29">
        <v>127</v>
      </c>
      <c r="E29">
        <f t="shared" si="0"/>
        <v>120.05770000000001</v>
      </c>
      <c r="G29">
        <v>96</v>
      </c>
      <c r="H29">
        <v>126</v>
      </c>
      <c r="I29">
        <v>158</v>
      </c>
      <c r="J29">
        <v>189</v>
      </c>
      <c r="K29">
        <v>217</v>
      </c>
      <c r="L29">
        <v>247</v>
      </c>
      <c r="N29" s="1">
        <f t="shared" si="1"/>
        <v>4502.1637500000006</v>
      </c>
      <c r="O29" s="1">
        <f t="shared" si="2"/>
        <v>3430.2200000000003</v>
      </c>
      <c r="P29" s="1">
        <f t="shared" si="3"/>
        <v>2735.4918987341771</v>
      </c>
      <c r="Q29" s="1">
        <f t="shared" si="4"/>
        <v>2286.8133333333335</v>
      </c>
      <c r="R29" s="1">
        <f t="shared" si="5"/>
        <v>1991.7406451612906</v>
      </c>
      <c r="S29" s="1">
        <f t="shared" si="6"/>
        <v>1749.8288259109313</v>
      </c>
    </row>
    <row r="30" spans="1:19" x14ac:dyDescent="0.3">
      <c r="B30">
        <v>9500</v>
      </c>
      <c r="C30">
        <v>168</v>
      </c>
      <c r="D30">
        <v>126</v>
      </c>
      <c r="E30">
        <f t="shared" si="0"/>
        <v>125.27760000000001</v>
      </c>
      <c r="G30">
        <v>101</v>
      </c>
      <c r="H30">
        <v>133</v>
      </c>
      <c r="I30">
        <v>167</v>
      </c>
      <c r="J30">
        <v>200</v>
      </c>
      <c r="K30">
        <v>229</v>
      </c>
      <c r="L30">
        <v>261</v>
      </c>
      <c r="N30" s="1">
        <f t="shared" si="1"/>
        <v>4465.3401980198023</v>
      </c>
      <c r="O30" s="1">
        <f t="shared" si="2"/>
        <v>3390.9726315789476</v>
      </c>
      <c r="P30" s="1">
        <f t="shared" si="3"/>
        <v>2700.5949700598803</v>
      </c>
      <c r="Q30" s="1">
        <f t="shared" si="4"/>
        <v>2254.9967999999999</v>
      </c>
      <c r="R30" s="1">
        <f t="shared" si="5"/>
        <v>1969.429519650655</v>
      </c>
      <c r="S30" s="1">
        <f t="shared" si="6"/>
        <v>1727.9668965517242</v>
      </c>
    </row>
    <row r="31" spans="1:19" x14ac:dyDescent="0.3">
      <c r="B31">
        <v>10000</v>
      </c>
      <c r="C31">
        <v>175</v>
      </c>
      <c r="D31">
        <v>125</v>
      </c>
      <c r="E31">
        <f t="shared" si="0"/>
        <v>130.4975</v>
      </c>
      <c r="G31">
        <v>107</v>
      </c>
      <c r="H31">
        <v>140</v>
      </c>
      <c r="I31">
        <v>175</v>
      </c>
      <c r="J31">
        <v>210</v>
      </c>
      <c r="K31">
        <v>241</v>
      </c>
      <c r="L31">
        <v>274</v>
      </c>
      <c r="N31" s="1">
        <f t="shared" si="1"/>
        <v>4390.5700934579436</v>
      </c>
      <c r="O31" s="1">
        <f t="shared" si="2"/>
        <v>3355.6499999999996</v>
      </c>
      <c r="P31" s="1">
        <f t="shared" si="3"/>
        <v>2684.52</v>
      </c>
      <c r="Q31" s="1">
        <f t="shared" si="4"/>
        <v>2237.1</v>
      </c>
      <c r="R31" s="1">
        <f t="shared" si="5"/>
        <v>1949.3402489626556</v>
      </c>
      <c r="S31" s="1">
        <f t="shared" si="6"/>
        <v>1714.5656934306569</v>
      </c>
    </row>
    <row r="32" spans="1:19" x14ac:dyDescent="0.3">
      <c r="B32">
        <v>10500</v>
      </c>
      <c r="C32">
        <v>181</v>
      </c>
      <c r="D32">
        <v>122</v>
      </c>
      <c r="E32">
        <f t="shared" si="0"/>
        <v>134.9717</v>
      </c>
      <c r="G32">
        <v>112</v>
      </c>
      <c r="H32">
        <v>147</v>
      </c>
      <c r="I32">
        <v>184</v>
      </c>
      <c r="J32">
        <v>221</v>
      </c>
      <c r="K32">
        <v>253</v>
      </c>
      <c r="L32">
        <v>288</v>
      </c>
      <c r="N32" s="1">
        <f t="shared" si="1"/>
        <v>4338.3760714285718</v>
      </c>
      <c r="O32" s="1">
        <f t="shared" si="2"/>
        <v>3305.4293877551022</v>
      </c>
      <c r="P32" s="1">
        <f t="shared" si="3"/>
        <v>2640.7506521739133</v>
      </c>
      <c r="Q32" s="1">
        <f t="shared" si="4"/>
        <v>2198.6340271493214</v>
      </c>
      <c r="R32" s="1">
        <f t="shared" si="5"/>
        <v>1920.545928853755</v>
      </c>
      <c r="S32" s="1">
        <f t="shared" si="6"/>
        <v>1687.1462500000002</v>
      </c>
    </row>
    <row r="33" spans="1:19" x14ac:dyDescent="0.3">
      <c r="B33">
        <v>11000</v>
      </c>
      <c r="C33">
        <v>179</v>
      </c>
      <c r="D33">
        <v>117</v>
      </c>
      <c r="E33">
        <f t="shared" si="0"/>
        <v>133.4803</v>
      </c>
      <c r="G33">
        <v>117</v>
      </c>
      <c r="H33">
        <v>154</v>
      </c>
      <c r="I33">
        <v>193</v>
      </c>
      <c r="J33">
        <v>231</v>
      </c>
      <c r="K33">
        <v>265</v>
      </c>
      <c r="L33">
        <v>302</v>
      </c>
      <c r="N33" s="1">
        <f t="shared" si="1"/>
        <v>4107.0861538461531</v>
      </c>
      <c r="O33" s="1">
        <f t="shared" si="2"/>
        <v>3120.3187012987009</v>
      </c>
      <c r="P33" s="1">
        <f t="shared" si="3"/>
        <v>2489.7879792746112</v>
      </c>
      <c r="Q33" s="1">
        <f t="shared" si="4"/>
        <v>2080.2124675324671</v>
      </c>
      <c r="R33" s="1">
        <f t="shared" si="5"/>
        <v>1813.3172830188678</v>
      </c>
      <c r="S33" s="1">
        <f t="shared" si="6"/>
        <v>1591.1558940397351</v>
      </c>
    </row>
    <row r="35" spans="1:19" x14ac:dyDescent="0.3">
      <c r="A35" s="3" t="s">
        <v>42</v>
      </c>
    </row>
    <row r="36" spans="1:19" x14ac:dyDescent="0.3">
      <c r="A36" t="s">
        <v>45</v>
      </c>
      <c r="B36" t="s">
        <v>46</v>
      </c>
      <c r="C36" t="s">
        <v>47</v>
      </c>
    </row>
    <row r="37" spans="1:19" x14ac:dyDescent="0.3">
      <c r="A37" t="s">
        <v>49</v>
      </c>
      <c r="B37">
        <v>1.167</v>
      </c>
    </row>
    <row r="38" spans="1:19" x14ac:dyDescent="0.3">
      <c r="A38" t="s">
        <v>50</v>
      </c>
      <c r="B38">
        <v>0.12485</v>
      </c>
    </row>
    <row r="39" spans="1:19" x14ac:dyDescent="0.3">
      <c r="A39" t="s">
        <v>44</v>
      </c>
      <c r="B39">
        <v>1591.16</v>
      </c>
    </row>
    <row r="40" spans="1:19" x14ac:dyDescent="0.3">
      <c r="A40" t="s">
        <v>51</v>
      </c>
      <c r="B40">
        <f>(0.5*1.167*3.103*0.12485*7037.53)</f>
        <v>1590.8580937951106</v>
      </c>
    </row>
    <row r="41" spans="1:19" x14ac:dyDescent="0.3">
      <c r="A41" t="s">
        <v>43</v>
      </c>
      <c r="B41">
        <f>0.02*B14*9.81</f>
        <v>36.669780000000003</v>
      </c>
    </row>
    <row r="42" spans="1:19" x14ac:dyDescent="0.3">
      <c r="A42" t="s">
        <v>52</v>
      </c>
      <c r="B42">
        <f>B41+B40</f>
        <v>1627.5278737951105</v>
      </c>
    </row>
    <row r="43" spans="1:19" ht="72" x14ac:dyDescent="0.3">
      <c r="B43" s="4" t="s">
        <v>53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Ducati Panigale 1299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Jones</dc:creator>
  <cp:lastModifiedBy>Alex Jones</cp:lastModifiedBy>
  <dcterms:created xsi:type="dcterms:W3CDTF">2022-12-12T17:11:59Z</dcterms:created>
  <dcterms:modified xsi:type="dcterms:W3CDTF">2022-12-18T16:25:35Z</dcterms:modified>
</cp:coreProperties>
</file>