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\OneDrive - University of Wales Trinity Saint David\Y2\Moto tech\"/>
    </mc:Choice>
  </mc:AlternateContent>
  <xr:revisionPtr revIDLastSave="466" documentId="8_{A8C7D321-9402-44C6-9151-C6AD4577C6C2}" xr6:coauthVersionLast="44" xr6:coauthVersionMax="44" xr10:uidLastSave="{27308CE9-AA93-42B4-BBA5-549E026D0E6C}"/>
  <bookViews>
    <workbookView xWindow="-108" yWindow="-108" windowWidth="23256" windowHeight="12576" activeTab="1" xr2:uid="{4EAE3712-B490-4510-AF56-B5F6A3E7DD5B}"/>
  </bookViews>
  <sheets>
    <sheet name="Task 1" sheetId="1" r:id="rId1"/>
    <sheet name="Task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2" l="1"/>
  <c r="B5" i="1" l="1"/>
  <c r="C5" i="1"/>
  <c r="E10" i="2" l="1"/>
  <c r="E9" i="2"/>
  <c r="E8" i="2"/>
  <c r="E7" i="2"/>
  <c r="E6" i="2"/>
  <c r="E5" i="2"/>
  <c r="E3" i="2"/>
  <c r="E2" i="2"/>
  <c r="B11" i="2" l="1"/>
  <c r="B9" i="2"/>
  <c r="B12" i="2" s="1"/>
  <c r="B14" i="2" s="1"/>
  <c r="B10" i="2" l="1"/>
  <c r="B13" i="2" s="1"/>
  <c r="B15" i="2" s="1"/>
  <c r="C15" i="1" l="1"/>
  <c r="B15" i="1"/>
  <c r="C11" i="1"/>
  <c r="B11" i="1"/>
  <c r="B19" i="1" l="1"/>
  <c r="C20" i="1"/>
  <c r="B20" i="1"/>
  <c r="B21" i="1" s="1"/>
  <c r="F4" i="1" l="1"/>
  <c r="G16" i="1"/>
  <c r="G17" i="1"/>
  <c r="C21" i="1"/>
  <c r="F22" i="1"/>
  <c r="F21" i="1"/>
  <c r="G3" i="1"/>
  <c r="F3" i="1"/>
  <c r="F2" i="1"/>
  <c r="G2" i="1"/>
  <c r="C19" i="1"/>
  <c r="G4" i="1" l="1"/>
  <c r="G21" i="1"/>
  <c r="G22" i="1"/>
  <c r="F17" i="1"/>
  <c r="F16" i="1"/>
</calcChain>
</file>

<file path=xl/sharedStrings.xml><?xml version="1.0" encoding="utf-8"?>
<sst xmlns="http://schemas.openxmlformats.org/spreadsheetml/2006/main" count="74" uniqueCount="67">
  <si>
    <t>2004 Honda VFR800</t>
  </si>
  <si>
    <t>2013 Suzuki SV650S</t>
  </si>
  <si>
    <r>
      <t>Rake angle (</t>
    </r>
    <r>
      <rPr>
        <sz val="11"/>
        <color theme="1"/>
        <rFont val="Calibri"/>
        <family val="2"/>
      </rPr>
      <t>°)</t>
    </r>
  </si>
  <si>
    <t>Front wheel weight (kg)</t>
  </si>
  <si>
    <t>Rear wheel weight (kg)</t>
  </si>
  <si>
    <t>Front wheel lifted (kg)</t>
  </si>
  <si>
    <t>Rear wheel lifted (kg)</t>
  </si>
  <si>
    <t>Front wheel weight w/ rider (kg)</t>
  </si>
  <si>
    <t>Rear wheel weight w/ rider (kg)</t>
  </si>
  <si>
    <t>Front wheel weight w/ rider lifted (kg)</t>
  </si>
  <si>
    <t>Rear wheel weight w/ rider lifted (kg)</t>
  </si>
  <si>
    <t>Rider weight (kg)</t>
  </si>
  <si>
    <t>Stool weight (kg)</t>
  </si>
  <si>
    <t>Offset</t>
  </si>
  <si>
    <t>Measurements</t>
  </si>
  <si>
    <t>xcog</t>
  </si>
  <si>
    <t>ycog</t>
  </si>
  <si>
    <t xml:space="preserve">Total weight </t>
  </si>
  <si>
    <t>Total weight w/ rider</t>
  </si>
  <si>
    <t>Honda</t>
  </si>
  <si>
    <t>Suzuki</t>
  </si>
  <si>
    <t>Wheelbase L (m)</t>
  </si>
  <si>
    <t>Front wheel radius (m)</t>
  </si>
  <si>
    <t>Rear wheel radius (m)</t>
  </si>
  <si>
    <t>Swing arm axle (m)</t>
  </si>
  <si>
    <t>Average Wheel Radius (m)</t>
  </si>
  <si>
    <t>Angle of lift (°)</t>
  </si>
  <si>
    <t>Stool height (m)</t>
  </si>
  <si>
    <t>Trail</t>
  </si>
  <si>
    <t>xcog with rider</t>
  </si>
  <si>
    <t>ycog with rider</t>
  </si>
  <si>
    <t>Centre of Gravity</t>
  </si>
  <si>
    <t xml:space="preserve">Area </t>
  </si>
  <si>
    <t>Area Tuck</t>
  </si>
  <si>
    <t>0.45m2</t>
  </si>
  <si>
    <t>0.56m2</t>
  </si>
  <si>
    <t>Split w/o rider</t>
  </si>
  <si>
    <t>Split w/o r</t>
  </si>
  <si>
    <t>Drag coefficient</t>
  </si>
  <si>
    <r>
      <t>Gravity g (m/s</t>
    </r>
    <r>
      <rPr>
        <sz val="11"/>
        <color theme="1"/>
        <rFont val="Calibri"/>
        <family val="2"/>
      </rPr>
      <t>²)</t>
    </r>
  </si>
  <si>
    <r>
      <t>Air Density at sea level and 15</t>
    </r>
    <r>
      <rPr>
        <sz val="11"/>
        <color theme="1"/>
        <rFont val="Calibri"/>
        <family val="2"/>
      </rPr>
      <t>°C</t>
    </r>
    <r>
      <rPr>
        <sz val="11"/>
        <color theme="1"/>
        <rFont val="Calibri"/>
        <family val="2"/>
        <scheme val="minor"/>
      </rPr>
      <t xml:space="preserve"> (kg/m</t>
    </r>
    <r>
      <rPr>
        <sz val="11"/>
        <color theme="1"/>
        <rFont val="Calibri"/>
        <family val="2"/>
      </rPr>
      <t>³)</t>
    </r>
  </si>
  <si>
    <t>Mass with rider (kg)</t>
  </si>
  <si>
    <t>Max velocity (m/s)</t>
  </si>
  <si>
    <r>
      <t>Frontal Area with rider not tucked A (m</t>
    </r>
    <r>
      <rPr>
        <sz val="11"/>
        <color theme="1"/>
        <rFont val="Calibri"/>
        <family val="2"/>
      </rPr>
      <t>²)</t>
    </r>
  </si>
  <si>
    <t>Frontal Area with rider tucked A (m²)</t>
  </si>
  <si>
    <t>Air Drag Force with rider not tucked Fa1 (N)</t>
  </si>
  <si>
    <t>Air Drag Force with rider tucked Fa2 (N)</t>
  </si>
  <si>
    <t>Rolling Resistance Fr (N)</t>
  </si>
  <si>
    <t>^</t>
  </si>
  <si>
    <t>Fa1+Fr (N)</t>
  </si>
  <si>
    <t>Fa2+Fr (N)</t>
  </si>
  <si>
    <t>Power needed with rider not tucked (W)</t>
  </si>
  <si>
    <t>Power needed with rider tucked (W)</t>
  </si>
  <si>
    <t>Column1</t>
  </si>
  <si>
    <t>Data</t>
  </si>
  <si>
    <t>Split w/r</t>
  </si>
  <si>
    <t>Front (%)</t>
  </si>
  <si>
    <t>Rear (%)</t>
  </si>
  <si>
    <t>Primary reduction</t>
  </si>
  <si>
    <t>Final Reduction</t>
  </si>
  <si>
    <t>Gear Ratio</t>
  </si>
  <si>
    <t>1st</t>
  </si>
  <si>
    <t>2nd</t>
  </si>
  <si>
    <t>3rd</t>
  </si>
  <si>
    <t>4th</t>
  </si>
  <si>
    <t>5th</t>
  </si>
  <si>
    <t>6th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</si>
</sst>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64" fontId="0" fillId="2" borderId="1" xfId="0" applyNumberFormat="1" applyFont="1" applyFill="1" applyBorder="1"/>
    <xf numFmtId="164" fontId="0" fillId="2" borderId="2" xfId="0" applyNumberFormat="1" applyFont="1" applyFill="1" applyBorder="1"/>
    <xf numFmtId="0" fontId="0" fillId="0" borderId="0" xfId="0" applyAlignment="1">
      <alignment vertical="center"/>
    </xf>
    <xf numFmtId="0" fontId="1" fillId="0" borderId="0" xfId="0" applyFont="1"/>
  </cellXfs>
  <cellStyles count="1">
    <cellStyle name="Normal" xfId="0" builtinId="0"/>
  </cellStyles>
  <dxfs count="10">
    <dxf>
      <numFmt numFmtId="2" formatCode="0.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alignment horizontal="general" vertical="center" textRotation="0" wrapText="0" indent="0" justifyLastLine="0" shrinkToFit="0" readingOrder="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3BCEF9-2042-4207-AC9A-DBF5C110116B}" name="Table1" displayName="Table1" ref="A1:C23" totalsRowShown="0">
  <autoFilter ref="A1:C23" xr:uid="{35F2470E-07BF-4F5A-B1D1-D4395A7EC3B3}"/>
  <tableColumns count="3">
    <tableColumn id="1" xr3:uid="{BBEAF6FE-1A70-4E02-9A13-A5C44833C331}" name="Measurements"/>
    <tableColumn id="2" xr3:uid="{19196520-59D2-464B-AF43-3A9EE0163BA5}" name="2004 Honda VFR800" dataDxfId="9"/>
    <tableColumn id="3" xr3:uid="{FC8A1292-FF2B-4721-A93E-30B127DA8DA4}" name="2013 Suzuki SV650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53BF16-F58E-479B-841A-0A80FBFFD187}" name="Table3" displayName="Table3" ref="E1:G5" totalsRowShown="0">
  <autoFilter ref="E1:G5" xr:uid="{1CD7DB50-46AC-42FF-89C6-A1C78BA60AD9}"/>
  <tableColumns count="3">
    <tableColumn id="1" xr3:uid="{86BC34AE-1CF5-4F9A-93F4-48F90B1330B4}" name="Centre of Gravity" dataDxfId="7"/>
    <tableColumn id="2" xr3:uid="{F3A00CD8-E9A1-4CF9-80B8-9A55831791C8}" name="Honda" dataDxfId="6"/>
    <tableColumn id="3" xr3:uid="{39FF6423-16DC-4663-9718-7539672F8B81}" name="Suzuki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40FD1F-3C8F-4489-9B22-B68B30D05CA0}" name="Table4" displayName="Table4" ref="E15:G17" totalsRowShown="0">
  <autoFilter ref="E15:G17" xr:uid="{8F4DED3C-A04E-46B1-8488-A62038E78C05}"/>
  <tableColumns count="3">
    <tableColumn id="1" xr3:uid="{A847FC0A-9761-414A-98FA-3C0B1AE145F5}" name="Honda"/>
    <tableColumn id="2" xr3:uid="{37284897-4487-472E-BC64-815588D4AAE9}" name="Split w/o rider" dataDxfId="4">
      <calculatedColumnFormula>(F1/B1)*100</calculatedColumnFormula>
    </tableColumn>
    <tableColumn id="3" xr3:uid="{CEA7A575-38E4-4E4A-9CA5-902F2893416F}" name="Split w/r" dataDxfId="3">
      <calculatedColumnFormula>B12/B20*100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1F966CD-1614-4EBE-819F-A3737CC0F215}" name="Table5" displayName="Table5" ref="E20:G22" totalsRowShown="0">
  <autoFilter ref="E20:G22" xr:uid="{98427FFC-E325-4C36-BCD2-7A79217631E1}"/>
  <tableColumns count="3">
    <tableColumn id="1" xr3:uid="{7C8E73F4-C784-4CFC-A12C-73CB33DCF01D}" name="Suzuki"/>
    <tableColumn id="2" xr3:uid="{D724E8BE-0FEF-4B85-9A3C-7455E472D325}" name="Split w/o r" dataDxfId="2">
      <calculatedColumnFormula>C8/C19*100</calculatedColumnFormula>
    </tableColumn>
    <tableColumn id="3" xr3:uid="{84817740-EB31-40BC-8EE5-34A8A864AD88}" name="Column1" dataDxfId="1">
      <calculatedColumnFormula>C12/C20*100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877797-F724-479D-86ED-56D386AC5CA8}" name="Table2" displayName="Table2" ref="A1:B15" totalsRowShown="0">
  <autoFilter ref="A1:B15" xr:uid="{0761B1A0-5EFB-42EF-9A3F-B9D531D1B385}"/>
  <tableColumns count="2">
    <tableColumn id="1" xr3:uid="{9B2F6BEB-2D2B-4CB0-B3F5-45226BEC721D}" name="Column1"/>
    <tableColumn id="2" xr3:uid="{DA33A254-BC3E-4468-BEE5-8056219B1878}" name="Data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9A332DD-A2FA-4B06-9DA1-B2A454B6AB2E}" name="Table6" displayName="Table6" ref="D1:F10" totalsRowShown="0">
  <autoFilter ref="D1:F10" xr:uid="{52BCAE0C-092E-4B9E-AA2A-E9022E504A63}"/>
  <tableColumns count="3">
    <tableColumn id="1" xr3:uid="{87B55B31-995E-4C89-AEB3-412734CB2530}" name="Gear Ratio"/>
    <tableColumn id="2" xr3:uid="{40FA92F9-D726-455F-BCD1-5ED523C60BC6}" name="Data"/>
    <tableColumn id="3" xr3:uid="{49EC1B87-258E-47D6-9E1E-110C0610C292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DCBA-8617-424E-8E0D-260E87B2E70E}">
  <dimension ref="A1:G23"/>
  <sheetViews>
    <sheetView workbookViewId="0">
      <selection activeCell="H10" sqref="H10"/>
    </sheetView>
  </sheetViews>
  <sheetFormatPr defaultRowHeight="14.4" x14ac:dyDescent="0.3"/>
  <cols>
    <col min="1" max="1" width="33" customWidth="1"/>
    <col min="2" max="2" width="19.5546875" customWidth="1"/>
    <col min="3" max="4" width="19.44140625" customWidth="1"/>
    <col min="5" max="5" width="17.5546875" customWidth="1"/>
    <col min="6" max="6" width="15.77734375" customWidth="1"/>
    <col min="7" max="7" width="14.109375" customWidth="1"/>
    <col min="8" max="9" width="8.88671875" customWidth="1"/>
  </cols>
  <sheetData>
    <row r="1" spans="1:7" x14ac:dyDescent="0.3">
      <c r="A1" t="s">
        <v>14</v>
      </c>
      <c r="B1" t="s">
        <v>0</v>
      </c>
      <c r="C1" t="s">
        <v>1</v>
      </c>
      <c r="E1" t="s">
        <v>31</v>
      </c>
      <c r="F1" t="s">
        <v>19</v>
      </c>
      <c r="G1" t="s">
        <v>20</v>
      </c>
    </row>
    <row r="2" spans="1:7" x14ac:dyDescent="0.3">
      <c r="A2" t="s">
        <v>21</v>
      </c>
      <c r="B2" s="3">
        <v>1.464</v>
      </c>
      <c r="C2" s="3">
        <v>1.4319999999999999</v>
      </c>
      <c r="D2" s="2"/>
      <c r="E2" s="6" t="s">
        <v>15</v>
      </c>
      <c r="F2" s="3">
        <f>SUM((B9*Table1[[#This Row],[2004 Honda VFR800]])/B20)</f>
        <v>0.7765728987993139</v>
      </c>
      <c r="G2" s="3">
        <f>SUM((C9*Table1[[#This Row],[2013 Suzuki SV650S]])/C20)</f>
        <v>0.74439767318878891</v>
      </c>
    </row>
    <row r="3" spans="1:7" x14ac:dyDescent="0.3">
      <c r="A3" t="s">
        <v>22</v>
      </c>
      <c r="B3" s="3">
        <v>0.28299999999999997</v>
      </c>
      <c r="C3" s="3">
        <v>0.29399999999999998</v>
      </c>
      <c r="D3" s="2"/>
      <c r="E3" s="6" t="s">
        <v>16</v>
      </c>
      <c r="F3" s="3">
        <f>SUM((B2*(B9-B11)/B20*B22)+B5)</f>
        <v>0.82866141509434055</v>
      </c>
      <c r="G3" s="3">
        <f>SUM((C2*(C9-C11)/C20*C22)+C5)</f>
        <v>1.0161815441565309</v>
      </c>
    </row>
    <row r="4" spans="1:7" x14ac:dyDescent="0.3">
      <c r="A4" t="s">
        <v>23</v>
      </c>
      <c r="B4" s="3">
        <v>0.29299999999999998</v>
      </c>
      <c r="C4" s="3">
        <v>0.30499999999999999</v>
      </c>
      <c r="D4" s="2"/>
      <c r="E4" s="6" t="s">
        <v>29</v>
      </c>
      <c r="F4" s="3">
        <f>SUM((B13*B2)/B21)</f>
        <v>0.83017620345140797</v>
      </c>
      <c r="G4" s="3">
        <f>SUM((C13*C2)/C21)</f>
        <v>0.78123856332703223</v>
      </c>
    </row>
    <row r="5" spans="1:7" x14ac:dyDescent="0.3">
      <c r="A5" t="s">
        <v>25</v>
      </c>
      <c r="B5" s="3">
        <f>(B3+B4)/2</f>
        <v>0.28799999999999998</v>
      </c>
      <c r="C5" s="3">
        <f>(C3+C4)/2</f>
        <v>0.29949999999999999</v>
      </c>
      <c r="D5" s="2"/>
      <c r="E5" s="6" t="s">
        <v>30</v>
      </c>
      <c r="F5" s="3">
        <v>0.29299999999999998</v>
      </c>
      <c r="G5" s="3">
        <v>0.29099999999999998</v>
      </c>
    </row>
    <row r="6" spans="1:7" x14ac:dyDescent="0.3">
      <c r="A6" t="s">
        <v>24</v>
      </c>
      <c r="B6" s="3">
        <v>0.36</v>
      </c>
      <c r="C6" s="3">
        <v>0.39300000000000002</v>
      </c>
      <c r="D6" s="2"/>
    </row>
    <row r="7" spans="1:7" x14ac:dyDescent="0.3">
      <c r="A7" t="s">
        <v>2</v>
      </c>
      <c r="B7" s="3">
        <v>27.02</v>
      </c>
      <c r="C7" s="3">
        <v>25.12</v>
      </c>
      <c r="D7" s="1"/>
    </row>
    <row r="8" spans="1:7" x14ac:dyDescent="0.3">
      <c r="A8" t="s">
        <v>3</v>
      </c>
      <c r="B8" s="3">
        <v>109.5</v>
      </c>
      <c r="C8" s="3">
        <v>90.8</v>
      </c>
      <c r="D8" s="1"/>
    </row>
    <row r="9" spans="1:7" x14ac:dyDescent="0.3">
      <c r="A9" t="s">
        <v>4</v>
      </c>
      <c r="B9" s="3">
        <v>123.7</v>
      </c>
      <c r="C9" s="3">
        <v>98.3</v>
      </c>
      <c r="D9" s="1"/>
    </row>
    <row r="10" spans="1:7" x14ac:dyDescent="0.3">
      <c r="A10" t="s">
        <v>5</v>
      </c>
      <c r="B10" s="3">
        <v>115.15</v>
      </c>
      <c r="C10" s="3">
        <v>96.7</v>
      </c>
      <c r="D10" s="1"/>
    </row>
    <row r="11" spans="1:7" x14ac:dyDescent="0.3">
      <c r="A11" t="s">
        <v>6</v>
      </c>
      <c r="B11" s="3">
        <f>121.6-B17</f>
        <v>117.64999999999999</v>
      </c>
      <c r="C11" s="3">
        <f>95.75-C17</f>
        <v>91.8</v>
      </c>
      <c r="D11" s="1"/>
      <c r="E11" t="s">
        <v>32</v>
      </c>
      <c r="F11" t="s">
        <v>35</v>
      </c>
    </row>
    <row r="12" spans="1:7" x14ac:dyDescent="0.3">
      <c r="A12" t="s">
        <v>7</v>
      </c>
      <c r="B12" s="3">
        <v>142.4</v>
      </c>
      <c r="C12" s="3">
        <v>117.9</v>
      </c>
      <c r="D12" s="1"/>
      <c r="E12" t="s">
        <v>33</v>
      </c>
      <c r="F12" s="3" t="s">
        <v>34</v>
      </c>
    </row>
    <row r="13" spans="1:7" x14ac:dyDescent="0.3">
      <c r="A13" t="s">
        <v>8</v>
      </c>
      <c r="B13" s="3">
        <v>187.3</v>
      </c>
      <c r="C13" s="3">
        <v>144.30000000000001</v>
      </c>
      <c r="D13" s="1"/>
      <c r="F13" s="3"/>
    </row>
    <row r="14" spans="1:7" x14ac:dyDescent="0.3">
      <c r="A14" t="s">
        <v>9</v>
      </c>
      <c r="B14" s="3">
        <v>158.5</v>
      </c>
      <c r="C14" s="3">
        <v>129.69999999999999</v>
      </c>
      <c r="D14" s="1"/>
    </row>
    <row r="15" spans="1:7" x14ac:dyDescent="0.3">
      <c r="A15" t="s">
        <v>10</v>
      </c>
      <c r="B15" s="3">
        <f>175.35-B17</f>
        <v>171.4</v>
      </c>
      <c r="C15" s="3">
        <f>136.5-C17</f>
        <v>132.55000000000001</v>
      </c>
      <c r="D15" s="1"/>
      <c r="E15" t="s">
        <v>19</v>
      </c>
      <c r="F15" t="s">
        <v>36</v>
      </c>
      <c r="G15" t="s">
        <v>55</v>
      </c>
    </row>
    <row r="16" spans="1:7" x14ac:dyDescent="0.3">
      <c r="A16" t="s">
        <v>11</v>
      </c>
      <c r="B16" s="3">
        <v>97.1</v>
      </c>
      <c r="C16" s="3">
        <v>75.400000000000006</v>
      </c>
      <c r="D16" s="1"/>
      <c r="E16" t="s">
        <v>56</v>
      </c>
      <c r="F16" s="3">
        <f>SUM(((B2-F2)/B2)*100)</f>
        <v>46.955403087478558</v>
      </c>
      <c r="G16" s="3">
        <f>B12/B21*100</f>
        <v>43.112322131395707</v>
      </c>
    </row>
    <row r="17" spans="1:7" x14ac:dyDescent="0.3">
      <c r="A17" t="s">
        <v>12</v>
      </c>
      <c r="B17" s="3">
        <v>3.95</v>
      </c>
      <c r="C17" s="3">
        <v>3.95</v>
      </c>
      <c r="D17" s="1"/>
      <c r="E17" t="s">
        <v>57</v>
      </c>
      <c r="F17" s="3">
        <f>(F2/B2)*100</f>
        <v>53.044596912521449</v>
      </c>
      <c r="G17" s="3">
        <f>B13/B21*100</f>
        <v>56.706024825915847</v>
      </c>
    </row>
    <row r="18" spans="1:7" x14ac:dyDescent="0.3">
      <c r="A18" t="s">
        <v>27</v>
      </c>
      <c r="B18" s="3">
        <v>0.36</v>
      </c>
      <c r="C18" s="3">
        <v>0.36</v>
      </c>
      <c r="D18" s="1"/>
      <c r="F18" s="3"/>
      <c r="G18" s="3"/>
    </row>
    <row r="19" spans="1:7" x14ac:dyDescent="0.3">
      <c r="A19" t="s">
        <v>13</v>
      </c>
      <c r="B19" s="3">
        <f>50+(28.9/2)-(43/2)</f>
        <v>42.95</v>
      </c>
      <c r="C19" s="3">
        <f>19+(28.6/2)-(12.03/2)</f>
        <v>27.284999999999997</v>
      </c>
      <c r="F19" s="3"/>
      <c r="G19" s="3"/>
    </row>
    <row r="20" spans="1:7" x14ac:dyDescent="0.3">
      <c r="A20" t="s">
        <v>17</v>
      </c>
      <c r="B20" s="3">
        <f>B8+B9</f>
        <v>233.2</v>
      </c>
      <c r="C20" s="3">
        <f>C8+C9</f>
        <v>189.1</v>
      </c>
      <c r="D20" s="1"/>
      <c r="E20" t="s">
        <v>20</v>
      </c>
      <c r="F20" s="3" t="s">
        <v>37</v>
      </c>
      <c r="G20" s="3" t="s">
        <v>53</v>
      </c>
    </row>
    <row r="21" spans="1:7" x14ac:dyDescent="0.3">
      <c r="A21" t="s">
        <v>18</v>
      </c>
      <c r="B21" s="3">
        <f>B20+B16</f>
        <v>330.29999999999995</v>
      </c>
      <c r="C21" s="3">
        <f>C20+C16</f>
        <v>264.5</v>
      </c>
      <c r="D21" s="1"/>
      <c r="E21" t="s">
        <v>56</v>
      </c>
      <c r="F21" s="3">
        <f>C8/C20*100</f>
        <v>48.016922263352726</v>
      </c>
      <c r="G21" s="3">
        <f>C12/Table1[[#This Row],[2013 Suzuki SV650S]]*100</f>
        <v>44.57466918714556</v>
      </c>
    </row>
    <row r="22" spans="1:7" x14ac:dyDescent="0.3">
      <c r="A22" t="s">
        <v>26</v>
      </c>
      <c r="B22" s="4">
        <v>14.234999999999999</v>
      </c>
      <c r="C22" s="5">
        <v>14.56</v>
      </c>
      <c r="E22" t="s">
        <v>57</v>
      </c>
      <c r="F22" s="3">
        <f>C9/C20*100</f>
        <v>51.983077736647274</v>
      </c>
      <c r="G22" s="3">
        <f>C13/C21*100</f>
        <v>54.555765595463143</v>
      </c>
    </row>
    <row r="23" spans="1:7" x14ac:dyDescent="0.3">
      <c r="A23" t="s">
        <v>28</v>
      </c>
      <c r="B23" s="1">
        <v>95.99</v>
      </c>
      <c r="C23" s="1">
        <v>107.71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8DED0-DFCA-459F-A34E-96410C2ECD63}">
  <dimension ref="A1:F15"/>
  <sheetViews>
    <sheetView tabSelected="1" workbookViewId="0">
      <selection activeCell="B3" sqref="B3"/>
    </sheetView>
  </sheetViews>
  <sheetFormatPr defaultRowHeight="14.4" x14ac:dyDescent="0.3"/>
  <cols>
    <col min="1" max="1" width="35.77734375" customWidth="1"/>
    <col min="2" max="2" width="12.33203125" bestFit="1" customWidth="1"/>
    <col min="4" max="4" width="17.77734375" customWidth="1"/>
    <col min="5" max="5" width="10.44140625" customWidth="1"/>
  </cols>
  <sheetData>
    <row r="1" spans="1:6" x14ac:dyDescent="0.3">
      <c r="A1" t="s">
        <v>53</v>
      </c>
      <c r="B1" s="1" t="s">
        <v>54</v>
      </c>
      <c r="D1" t="s">
        <v>60</v>
      </c>
      <c r="E1" t="s">
        <v>54</v>
      </c>
      <c r="F1" t="s">
        <v>53</v>
      </c>
    </row>
    <row r="2" spans="1:6" x14ac:dyDescent="0.3">
      <c r="A2" t="s">
        <v>42</v>
      </c>
      <c r="B2" s="1">
        <f>235.8/3.6</f>
        <v>65.5</v>
      </c>
      <c r="D2" t="s">
        <v>58</v>
      </c>
      <c r="E2">
        <f>64/33</f>
        <v>1.9393939393939394</v>
      </c>
    </row>
    <row r="3" spans="1:6" x14ac:dyDescent="0.3">
      <c r="A3" t="s">
        <v>41</v>
      </c>
      <c r="B3" s="1">
        <v>330.3</v>
      </c>
      <c r="D3" t="s">
        <v>59</v>
      </c>
      <c r="E3">
        <f>43/16</f>
        <v>2.6875</v>
      </c>
    </row>
    <row r="4" spans="1:6" x14ac:dyDescent="0.3">
      <c r="A4" t="s">
        <v>39</v>
      </c>
      <c r="B4" s="1">
        <v>9.81</v>
      </c>
    </row>
    <row r="5" spans="1:6" x14ac:dyDescent="0.3">
      <c r="A5" t="s">
        <v>40</v>
      </c>
      <c r="B5" s="3">
        <v>1.2250000000000001</v>
      </c>
      <c r="D5" t="s">
        <v>61</v>
      </c>
      <c r="E5">
        <f>37/13</f>
        <v>2.8461538461538463</v>
      </c>
    </row>
    <row r="6" spans="1:6" x14ac:dyDescent="0.3">
      <c r="A6" t="s">
        <v>38</v>
      </c>
      <c r="B6" s="1">
        <v>0.7</v>
      </c>
      <c r="D6" t="s">
        <v>62</v>
      </c>
      <c r="E6">
        <f>33/16</f>
        <v>2.0625</v>
      </c>
    </row>
    <row r="7" spans="1:6" x14ac:dyDescent="0.3">
      <c r="A7" t="s">
        <v>43</v>
      </c>
      <c r="B7" s="1">
        <v>0.56000000000000005</v>
      </c>
      <c r="D7" t="s">
        <v>63</v>
      </c>
      <c r="E7">
        <f>30/19</f>
        <v>1.5789473684210527</v>
      </c>
    </row>
    <row r="8" spans="1:6" x14ac:dyDescent="0.3">
      <c r="A8" t="s">
        <v>44</v>
      </c>
      <c r="B8" s="1">
        <v>0.45</v>
      </c>
      <c r="D8" t="s">
        <v>64</v>
      </c>
      <c r="E8">
        <f>31/24</f>
        <v>1.2916666666666667</v>
      </c>
      <c r="F8" s="7" t="s">
        <v>48</v>
      </c>
    </row>
    <row r="9" spans="1:6" x14ac:dyDescent="0.3">
      <c r="A9" t="s">
        <v>45</v>
      </c>
      <c r="B9" s="1">
        <f>0.5*B5*B6*B7*B2^2</f>
        <v>1030.0890250000002</v>
      </c>
      <c r="D9" t="s">
        <v>65</v>
      </c>
      <c r="E9">
        <f>30/27</f>
        <v>1.1111111111111112</v>
      </c>
    </row>
    <row r="10" spans="1:6" x14ac:dyDescent="0.3">
      <c r="A10" t="s">
        <v>46</v>
      </c>
      <c r="B10" s="1">
        <f>0.5*B5*B6*B8*B2^2</f>
        <v>827.75010937500008</v>
      </c>
      <c r="D10" t="s">
        <v>66</v>
      </c>
      <c r="E10">
        <f>28/29</f>
        <v>0.96551724137931039</v>
      </c>
    </row>
    <row r="11" spans="1:6" x14ac:dyDescent="0.3">
      <c r="A11" t="s">
        <v>47</v>
      </c>
      <c r="B11" s="1">
        <f>0.02*B3*B4</f>
        <v>64.804860000000005</v>
      </c>
    </row>
    <row r="12" spans="1:6" x14ac:dyDescent="0.3">
      <c r="A12" t="s">
        <v>49</v>
      </c>
      <c r="B12" s="1">
        <f>B9+B11</f>
        <v>1094.8938850000002</v>
      </c>
    </row>
    <row r="13" spans="1:6" x14ac:dyDescent="0.3">
      <c r="A13" t="s">
        <v>50</v>
      </c>
      <c r="B13" s="1">
        <f>B10+B11</f>
        <v>892.55496937500004</v>
      </c>
    </row>
    <row r="14" spans="1:6" x14ac:dyDescent="0.3">
      <c r="A14" t="s">
        <v>51</v>
      </c>
      <c r="B14" s="1">
        <f>B12*B2</f>
        <v>71715.549467500008</v>
      </c>
    </row>
    <row r="15" spans="1:6" x14ac:dyDescent="0.3">
      <c r="A15" t="s">
        <v>52</v>
      </c>
      <c r="B15" s="1">
        <f>B13*B2</f>
        <v>58462.350494062506</v>
      </c>
    </row>
  </sheetData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C77CB91DBE3047884ABBD40BFC76FC" ma:contentTypeVersion="7" ma:contentTypeDescription="Create a new document." ma:contentTypeScope="" ma:versionID="57b22144a05c3228d4018cceb354fa3b">
  <xsd:schema xmlns:xsd="http://www.w3.org/2001/XMLSchema" xmlns:xs="http://www.w3.org/2001/XMLSchema" xmlns:p="http://schemas.microsoft.com/office/2006/metadata/properties" xmlns:ns3="ed25a739-d205-4a8f-b117-2566f909cb60" xmlns:ns4="58f7e881-cc1d-4294-8008-c54da3573a5f" targetNamespace="http://schemas.microsoft.com/office/2006/metadata/properties" ma:root="true" ma:fieldsID="3d98d4a2d36218a3205133ea2967b5fe" ns3:_="" ns4:_="">
    <xsd:import namespace="ed25a739-d205-4a8f-b117-2566f909cb60"/>
    <xsd:import namespace="58f7e881-cc1d-4294-8008-c54da3573a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25a739-d205-4a8f-b117-2566f909cb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f7e881-cc1d-4294-8008-c54da3573a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73CF30-CC7F-4E24-B70A-7212428B3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02E9BC-F9D7-4871-BE9F-591D318A39FA}">
  <ds:schemaRefs>
    <ds:schemaRef ds:uri="http://schemas.microsoft.com/office/2006/documentManagement/types"/>
    <ds:schemaRef ds:uri="ed25a739-d205-4a8f-b117-2566f909cb60"/>
    <ds:schemaRef ds:uri="http://purl.org/dc/elements/1.1/"/>
    <ds:schemaRef ds:uri="http://schemas.microsoft.com/office/2006/metadata/properties"/>
    <ds:schemaRef ds:uri="58f7e881-cc1d-4294-8008-c54da3573a5f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4A82B62-84F2-448C-9346-BDA6DC2094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25a739-d205-4a8f-b117-2566f909cb60"/>
    <ds:schemaRef ds:uri="58f7e881-cc1d-4294-8008-c54da3573a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 1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 Schultze (1802180)</cp:lastModifiedBy>
  <dcterms:created xsi:type="dcterms:W3CDTF">2019-12-17T15:11:04Z</dcterms:created>
  <dcterms:modified xsi:type="dcterms:W3CDTF">2020-01-03T14:25:13Z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0x010100AFC77CB91DBE3047884ABBD40BFC76FC</vt:lpwstr>
  </property>
</Properties>
</file>