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n\Documents\"/>
    </mc:Choice>
  </mc:AlternateContent>
  <xr:revisionPtr revIDLastSave="0" documentId="13_ncr:1_{4D6EEB99-AAEB-4135-B07A-4A298A09808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Q6" sheetId="14" r:id="rId1"/>
    <sheet name="Q5" sheetId="13" r:id="rId2"/>
    <sheet name="Q4" sheetId="12" r:id="rId3"/>
    <sheet name="Q3" sheetId="11" r:id="rId4"/>
    <sheet name="Q2" sheetId="10" r:id="rId5"/>
    <sheet name="Q1" sheetId="9" r:id="rId6"/>
    <sheet name="Live calc" sheetId="7" r:id="rId7"/>
    <sheet name="Spring Rate Conversion" sheetId="2" r:id="rId8"/>
    <sheet name="Load Spliits" sheetId="8" r:id="rId9"/>
  </sheets>
  <definedNames>
    <definedName name="Left_front__corner_sprung_mass__kg" comment="FL" localSheetId="6">#REF!</definedName>
    <definedName name="Left_front__corner_sprung_mass__kg" comment="FL" localSheetId="5">#REF!</definedName>
    <definedName name="Left_front__corner_sprung_mass__kg" comment="FL" localSheetId="4">#REF!</definedName>
    <definedName name="Left_front__corner_sprung_mass__kg" comment="FL" localSheetId="3">#REF!</definedName>
    <definedName name="Left_front__corner_sprung_mass__kg" comment="FL" localSheetId="2">#REF!</definedName>
    <definedName name="Left_front__corner_sprung_mass__kg" comment="FL" localSheetId="1">#REF!</definedName>
    <definedName name="Left_front__corner_sprung_mass__kg" comment="FL" localSheetId="0">#REF!</definedName>
    <definedName name="Left_front__corner_sprung_mass__kg" comment="F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6" i="14" l="1"/>
  <c r="G16" i="14"/>
  <c r="G20" i="14" s="1"/>
  <c r="J15" i="14"/>
  <c r="G15" i="14"/>
  <c r="G19" i="14" s="1"/>
  <c r="J14" i="14"/>
  <c r="G14" i="14"/>
  <c r="G18" i="14" s="1"/>
  <c r="G13" i="14"/>
  <c r="G17" i="14" s="1"/>
  <c r="G21" i="14" s="1"/>
  <c r="J4" i="14" s="1"/>
  <c r="J6" i="14" s="1"/>
  <c r="G12" i="14"/>
  <c r="G11" i="14"/>
  <c r="J27" i="14" s="1"/>
  <c r="G7" i="14"/>
  <c r="G6" i="14"/>
  <c r="G9" i="14" s="1"/>
  <c r="J5" i="14"/>
  <c r="G5" i="14"/>
  <c r="G8" i="14" s="1"/>
  <c r="J12" i="14" s="1"/>
  <c r="G26" i="13"/>
  <c r="G16" i="13"/>
  <c r="G20" i="13" s="1"/>
  <c r="J15" i="13"/>
  <c r="G15" i="13"/>
  <c r="G19" i="13" s="1"/>
  <c r="J14" i="13"/>
  <c r="G14" i="13"/>
  <c r="G18" i="13" s="1"/>
  <c r="G13" i="13"/>
  <c r="G17" i="13" s="1"/>
  <c r="G21" i="13" s="1"/>
  <c r="J4" i="13" s="1"/>
  <c r="J6" i="13" s="1"/>
  <c r="G12" i="13"/>
  <c r="G11" i="13"/>
  <c r="J27" i="13" s="1"/>
  <c r="G8" i="13"/>
  <c r="G44" i="13" s="1"/>
  <c r="G7" i="13"/>
  <c r="G6" i="13"/>
  <c r="G9" i="13" s="1"/>
  <c r="J5" i="13"/>
  <c r="G5" i="13"/>
  <c r="G21" i="12"/>
  <c r="G26" i="12"/>
  <c r="G16" i="12"/>
  <c r="G20" i="12" s="1"/>
  <c r="J15" i="12"/>
  <c r="G15" i="12"/>
  <c r="G19" i="12" s="1"/>
  <c r="J14" i="12"/>
  <c r="G14" i="12"/>
  <c r="G18" i="12" s="1"/>
  <c r="G13" i="12"/>
  <c r="G17" i="12" s="1"/>
  <c r="J4" i="12" s="1"/>
  <c r="G12" i="12"/>
  <c r="G11" i="12"/>
  <c r="J27" i="12" s="1"/>
  <c r="G7" i="12"/>
  <c r="G9" i="12" s="1"/>
  <c r="G6" i="12"/>
  <c r="G5" i="12"/>
  <c r="G8" i="12" s="1"/>
  <c r="G26" i="11"/>
  <c r="G16" i="11"/>
  <c r="G20" i="11" s="1"/>
  <c r="J15" i="11"/>
  <c r="G15" i="11"/>
  <c r="G19" i="11" s="1"/>
  <c r="G22" i="11" s="1"/>
  <c r="J5" i="11" s="1"/>
  <c r="J14" i="11"/>
  <c r="G14" i="11"/>
  <c r="G18" i="11" s="1"/>
  <c r="G13" i="11"/>
  <c r="G17" i="11" s="1"/>
  <c r="G21" i="11" s="1"/>
  <c r="J4" i="11" s="1"/>
  <c r="G12" i="11"/>
  <c r="G11" i="11"/>
  <c r="J27" i="11" s="1"/>
  <c r="G9" i="11"/>
  <c r="J13" i="11" s="1"/>
  <c r="G7" i="11"/>
  <c r="G6" i="11"/>
  <c r="G5" i="11"/>
  <c r="G8" i="11" s="1"/>
  <c r="G26" i="10"/>
  <c r="G16" i="10"/>
  <c r="G20" i="10" s="1"/>
  <c r="J15" i="10"/>
  <c r="G15" i="10"/>
  <c r="G19" i="10" s="1"/>
  <c r="J14" i="10"/>
  <c r="G14" i="10"/>
  <c r="G18" i="10" s="1"/>
  <c r="G13" i="10"/>
  <c r="G17" i="10" s="1"/>
  <c r="G21" i="10" s="1"/>
  <c r="J4" i="10" s="1"/>
  <c r="G12" i="10"/>
  <c r="G11" i="10"/>
  <c r="J27" i="10" s="1"/>
  <c r="G7" i="10"/>
  <c r="G6" i="10"/>
  <c r="G5" i="10"/>
  <c r="G8" i="10" s="1"/>
  <c r="G26" i="9"/>
  <c r="G16" i="9"/>
  <c r="G20" i="9" s="1"/>
  <c r="J15" i="9"/>
  <c r="G15" i="9"/>
  <c r="G19" i="9" s="1"/>
  <c r="J14" i="9"/>
  <c r="G14" i="9"/>
  <c r="G18" i="9" s="1"/>
  <c r="G13" i="9"/>
  <c r="G17" i="9" s="1"/>
  <c r="G21" i="9" s="1"/>
  <c r="J4" i="9" s="1"/>
  <c r="G12" i="9"/>
  <c r="G11" i="9"/>
  <c r="J27" i="9" s="1"/>
  <c r="G7" i="9"/>
  <c r="G6" i="9"/>
  <c r="G5" i="9"/>
  <c r="G8" i="9" s="1"/>
  <c r="J13" i="14" l="1"/>
  <c r="G47" i="14"/>
  <c r="G44" i="14"/>
  <c r="G10" i="14"/>
  <c r="G23" i="14" s="1"/>
  <c r="J24" i="14"/>
  <c r="J13" i="13"/>
  <c r="G47" i="13"/>
  <c r="G10" i="13"/>
  <c r="J12" i="13"/>
  <c r="J24" i="13"/>
  <c r="J5" i="12"/>
  <c r="J6" i="12" s="1"/>
  <c r="J13" i="12"/>
  <c r="G47" i="12"/>
  <c r="G23" i="12"/>
  <c r="G44" i="12"/>
  <c r="J12" i="12"/>
  <c r="G10" i="12"/>
  <c r="J24" i="12"/>
  <c r="J6" i="11"/>
  <c r="J12" i="11"/>
  <c r="G44" i="11"/>
  <c r="G10" i="11"/>
  <c r="G47" i="11"/>
  <c r="J24" i="11"/>
  <c r="G9" i="10"/>
  <c r="J13" i="10" s="1"/>
  <c r="G22" i="10"/>
  <c r="J5" i="10" s="1"/>
  <c r="J6" i="10" s="1"/>
  <c r="J12" i="10"/>
  <c r="G44" i="10"/>
  <c r="J24" i="10"/>
  <c r="G9" i="9"/>
  <c r="G22" i="9"/>
  <c r="J5" i="9" s="1"/>
  <c r="G44" i="9"/>
  <c r="J12" i="9"/>
  <c r="G10" i="9"/>
  <c r="J6" i="9"/>
  <c r="J13" i="9"/>
  <c r="G47" i="9"/>
  <c r="G23" i="9"/>
  <c r="J24" i="9"/>
  <c r="J14" i="7"/>
  <c r="J15" i="7"/>
  <c r="D26" i="14" l="1"/>
  <c r="G27" i="14" s="1"/>
  <c r="J7" i="14" s="1"/>
  <c r="J8" i="14" s="1"/>
  <c r="D26" i="13"/>
  <c r="G27" i="13" s="1"/>
  <c r="J7" i="13" s="1"/>
  <c r="J8" i="13" s="1"/>
  <c r="G23" i="13"/>
  <c r="D26" i="12"/>
  <c r="G27" i="12" s="1"/>
  <c r="J7" i="12" s="1"/>
  <c r="J8" i="12" s="1"/>
  <c r="D26" i="11"/>
  <c r="G27" i="11" s="1"/>
  <c r="J7" i="11" s="1"/>
  <c r="J8" i="11" s="1"/>
  <c r="G23" i="11"/>
  <c r="G10" i="10"/>
  <c r="G47" i="10"/>
  <c r="G23" i="10"/>
  <c r="D26" i="10"/>
  <c r="G27" i="10" s="1"/>
  <c r="J7" i="10" s="1"/>
  <c r="J8" i="10" s="1"/>
  <c r="D26" i="9"/>
  <c r="G27" i="9" s="1"/>
  <c r="J7" i="9" s="1"/>
  <c r="J8" i="9" s="1"/>
  <c r="G13" i="7"/>
  <c r="G17" i="7" s="1"/>
  <c r="G16" i="7"/>
  <c r="G20" i="7" s="1"/>
  <c r="G15" i="7"/>
  <c r="G19" i="7" s="1"/>
  <c r="G22" i="7" s="1"/>
  <c r="G14" i="7"/>
  <c r="G18" i="7" s="1"/>
  <c r="G12" i="7"/>
  <c r="G11" i="7"/>
  <c r="G7" i="7"/>
  <c r="G6" i="7"/>
  <c r="G5" i="7"/>
  <c r="G53" i="14" l="1"/>
  <c r="G50" i="14"/>
  <c r="J10" i="14"/>
  <c r="J17" i="14" s="1"/>
  <c r="K8" i="14"/>
  <c r="J9" i="14"/>
  <c r="J16" i="14" s="1"/>
  <c r="G53" i="13"/>
  <c r="G50" i="13"/>
  <c r="J10" i="13"/>
  <c r="J17" i="13" s="1"/>
  <c r="K8" i="13"/>
  <c r="J9" i="13"/>
  <c r="J16" i="13" s="1"/>
  <c r="G53" i="12"/>
  <c r="J9" i="12"/>
  <c r="J16" i="12" s="1"/>
  <c r="J10" i="12"/>
  <c r="J17" i="12" s="1"/>
  <c r="G50" i="12"/>
  <c r="K8" i="12"/>
  <c r="G53" i="11"/>
  <c r="J9" i="11"/>
  <c r="J16" i="11" s="1"/>
  <c r="G50" i="11"/>
  <c r="J10" i="11"/>
  <c r="J17" i="11" s="1"/>
  <c r="K8" i="11"/>
  <c r="G53" i="10"/>
  <c r="J9" i="10"/>
  <c r="J16" i="10" s="1"/>
  <c r="G50" i="10"/>
  <c r="J10" i="10"/>
  <c r="J17" i="10" s="1"/>
  <c r="K8" i="10"/>
  <c r="G53" i="9"/>
  <c r="J9" i="9"/>
  <c r="J16" i="9" s="1"/>
  <c r="G50" i="9"/>
  <c r="J10" i="9"/>
  <c r="J17" i="9" s="1"/>
  <c r="D32" i="9" s="1"/>
  <c r="K8" i="9"/>
  <c r="G21" i="7"/>
  <c r="J27" i="7"/>
  <c r="J24" i="7"/>
  <c r="J5" i="7"/>
  <c r="J4" i="7"/>
  <c r="G9" i="7"/>
  <c r="G8" i="7"/>
  <c r="D32" i="14" l="1"/>
  <c r="J21" i="14"/>
  <c r="J22" i="14"/>
  <c r="J19" i="14"/>
  <c r="J20" i="14"/>
  <c r="J18" i="14"/>
  <c r="J19" i="13"/>
  <c r="J20" i="13"/>
  <c r="J18" i="13"/>
  <c r="D32" i="13"/>
  <c r="J21" i="13"/>
  <c r="D30" i="13" s="1"/>
  <c r="J22" i="13"/>
  <c r="D32" i="12"/>
  <c r="J22" i="12"/>
  <c r="J21" i="12"/>
  <c r="J20" i="12"/>
  <c r="J19" i="12"/>
  <c r="J18" i="12"/>
  <c r="D32" i="11"/>
  <c r="J21" i="11"/>
  <c r="J22" i="11"/>
  <c r="J20" i="11"/>
  <c r="J19" i="11"/>
  <c r="J18" i="11"/>
  <c r="J19" i="10"/>
  <c r="J20" i="10"/>
  <c r="J18" i="10"/>
  <c r="D32" i="10"/>
  <c r="J21" i="10"/>
  <c r="J22" i="10"/>
  <c r="J21" i="9"/>
  <c r="J22" i="9"/>
  <c r="J19" i="9"/>
  <c r="J20" i="9"/>
  <c r="J18" i="9"/>
  <c r="J6" i="7"/>
  <c r="G40" i="7"/>
  <c r="G10" i="7"/>
  <c r="J12" i="7"/>
  <c r="G43" i="7"/>
  <c r="J13" i="7"/>
  <c r="G23" i="7"/>
  <c r="G26" i="7" s="1"/>
  <c r="J23" i="14" l="1"/>
  <c r="D29" i="14"/>
  <c r="D30" i="14"/>
  <c r="J23" i="13"/>
  <c r="D29" i="13"/>
  <c r="D31" i="13" s="1"/>
  <c r="D30" i="12"/>
  <c r="J23" i="12"/>
  <c r="D29" i="12"/>
  <c r="D31" i="12" s="1"/>
  <c r="D30" i="11"/>
  <c r="J23" i="11"/>
  <c r="D29" i="11"/>
  <c r="D30" i="9"/>
  <c r="D29" i="9"/>
  <c r="D31" i="9" s="1"/>
  <c r="D30" i="10"/>
  <c r="J23" i="10"/>
  <c r="D29" i="10"/>
  <c r="J23" i="9"/>
  <c r="D26" i="7"/>
  <c r="G27" i="7" s="1"/>
  <c r="J7" i="7" s="1"/>
  <c r="J8" i="7" s="1"/>
  <c r="D31" i="14" l="1"/>
  <c r="D31" i="11"/>
  <c r="D31" i="10"/>
  <c r="K8" i="7"/>
  <c r="G49" i="7"/>
  <c r="G46" i="7"/>
  <c r="J9" i="7"/>
  <c r="J16" i="7" s="1"/>
  <c r="J10" i="7"/>
  <c r="J17" i="7" s="1"/>
  <c r="J22" i="7" l="1"/>
  <c r="J21" i="7"/>
  <c r="J20" i="7"/>
  <c r="J9" i="8" s="1"/>
  <c r="J19" i="7"/>
  <c r="J18" i="7"/>
  <c r="J13" i="8"/>
  <c r="F13" i="8"/>
  <c r="F16" i="8" s="1"/>
  <c r="J11" i="8" l="1"/>
  <c r="J14" i="8"/>
  <c r="E13" i="8"/>
  <c r="H14" i="8"/>
  <c r="F9" i="8"/>
  <c r="J23" i="7"/>
  <c r="H7" i="8" l="1"/>
  <c r="H11" i="8" s="1"/>
  <c r="F11" i="8"/>
  <c r="E9" i="8"/>
  <c r="E12" i="8" s="1"/>
  <c r="F14" i="8"/>
  <c r="E11" i="8" l="1"/>
  <c r="H5" i="8"/>
  <c r="J12" i="8"/>
  <c r="K11" i="8"/>
  <c r="J8" i="8"/>
  <c r="H16" i="8"/>
  <c r="F8" i="8"/>
  <c r="F12" i="8"/>
  <c r="F15" i="8"/>
</calcChain>
</file>

<file path=xl/sharedStrings.xml><?xml version="1.0" encoding="utf-8"?>
<sst xmlns="http://schemas.openxmlformats.org/spreadsheetml/2006/main" count="1220" uniqueCount="210">
  <si>
    <t>Ms rr</t>
  </si>
  <si>
    <t>M rr</t>
  </si>
  <si>
    <t>Front Right corner sprung mass [kg]</t>
  </si>
  <si>
    <t>Spring Rate Conversions</t>
  </si>
  <si>
    <t>kg/mm to N/m</t>
  </si>
  <si>
    <t>lb/in to N/mm</t>
  </si>
  <si>
    <t>lb/in to N/m</t>
  </si>
  <si>
    <t>lb/in to kg/mm</t>
  </si>
  <si>
    <t>N/mm to kg/mm</t>
  </si>
  <si>
    <t>N/mm to lb/in</t>
  </si>
  <si>
    <t>N/mm to N/m</t>
  </si>
  <si>
    <t>N/m to N/mm</t>
  </si>
  <si>
    <t>N/m to kg/mm</t>
  </si>
  <si>
    <t>N/m to lb/in</t>
  </si>
  <si>
    <t>N/mm</t>
  </si>
  <si>
    <t>N/m</t>
  </si>
  <si>
    <t>kg/mm</t>
  </si>
  <si>
    <t>lb/in</t>
  </si>
  <si>
    <r>
      <rPr>
        <sz val="10"/>
        <color indexed="10"/>
        <rFont val="Verdana"/>
        <family val="2"/>
      </rPr>
      <t>By Warren Rowley</t>
    </r>
    <r>
      <rPr>
        <sz val="10"/>
        <color indexed="8"/>
        <rFont val="Verdana"/>
        <family val="2"/>
      </rPr>
      <t xml:space="preserve"> </t>
    </r>
  </si>
  <si>
    <t>Total front sprung mass [kg]</t>
  </si>
  <si>
    <t>Total rear sprung mass  [kg]</t>
  </si>
  <si>
    <t>Mus rr</t>
  </si>
  <si>
    <t>Ms r</t>
  </si>
  <si>
    <t>Ms f</t>
  </si>
  <si>
    <t xml:space="preserve">Front Track </t>
  </si>
  <si>
    <t xml:space="preserve">Rear track </t>
  </si>
  <si>
    <t>Tf</t>
  </si>
  <si>
    <t>Tr</t>
  </si>
  <si>
    <t xml:space="preserve">Wheel base  </t>
  </si>
  <si>
    <t xml:space="preserve">L </t>
  </si>
  <si>
    <t>WTsf</t>
  </si>
  <si>
    <t>Measured Suspension  Data</t>
  </si>
  <si>
    <t xml:space="preserve">Calculated Suspension Data </t>
  </si>
  <si>
    <t>WTsr</t>
  </si>
  <si>
    <t xml:space="preserve">Results </t>
  </si>
  <si>
    <t xml:space="preserve">hf </t>
  </si>
  <si>
    <t xml:space="preserve">hr </t>
  </si>
  <si>
    <t>b</t>
  </si>
  <si>
    <t>hr -hf</t>
  </si>
  <si>
    <t>z</t>
  </si>
  <si>
    <t>z+hf</t>
  </si>
  <si>
    <t>Fz rr</t>
  </si>
  <si>
    <t>Kϕr</t>
  </si>
  <si>
    <t>Kϕt</t>
  </si>
  <si>
    <t>Depth  of triangle at CG [m]</t>
  </si>
  <si>
    <t>Height of roll axis at CG [m]</t>
  </si>
  <si>
    <t>Height of CG above roll axis [m]</t>
  </si>
  <si>
    <t>Rear -Front RC Height [m]</t>
  </si>
  <si>
    <t>Mot</t>
  </si>
  <si>
    <t>Overturning moment [Nm]</t>
  </si>
  <si>
    <t>Total Roll Stiffness [Nm/rad]</t>
  </si>
  <si>
    <t>Rear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</si>
  <si>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</si>
  <si>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</si>
  <si>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</si>
  <si>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</si>
  <si>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</si>
  <si>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</si>
  <si>
    <t>MR rr</t>
  </si>
  <si>
    <t>WTsrcf</t>
  </si>
  <si>
    <t>Wtusf</t>
  </si>
  <si>
    <t>Wtusr</t>
  </si>
  <si>
    <t>WTsrcr</t>
  </si>
  <si>
    <t xml:space="preserve">Hs </t>
  </si>
  <si>
    <t xml:space="preserve">Height of CG of sprung mass  above ground </t>
  </si>
  <si>
    <t xml:space="preserve">Height of CG of total mass above ground </t>
  </si>
  <si>
    <t>Kϕf</t>
  </si>
  <si>
    <t xml:space="preserve">WT </t>
  </si>
  <si>
    <t xml:space="preserve">Total WT calculated for 'solid' car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</si>
  <si>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</si>
  <si>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</si>
  <si>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</si>
  <si>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</si>
  <si>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</si>
  <si>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Front Right rspring rate [N/mm]</t>
  </si>
  <si>
    <t>Rear Left  Spring rate [N/mm]</t>
  </si>
  <si>
    <t>Rear Right  Spring Rate [N/mm]</t>
  </si>
  <si>
    <t>Front Left   wheel rate 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</si>
  <si>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</si>
  <si>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</si>
  <si>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</si>
  <si>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</si>
  <si>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</si>
  <si>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</si>
  <si>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</si>
  <si>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</si>
  <si>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</si>
  <si>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</si>
  <si>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</si>
  <si>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</si>
  <si>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</si>
  <si>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</si>
  <si>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</si>
  <si>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</si>
  <si>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</si>
  <si>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</si>
  <si>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</si>
  <si>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</si>
  <si>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rl</t>
  </si>
  <si>
    <t>Ks rr</t>
  </si>
  <si>
    <t>Kw fl</t>
  </si>
  <si>
    <t>Kw fr</t>
  </si>
  <si>
    <t>Front Right wheel rate  [N/mm]</t>
  </si>
  <si>
    <t>Fz fl</t>
  </si>
  <si>
    <t xml:space="preserve">Ks fl  </t>
  </si>
  <si>
    <t xml:space="preserve">Ks fr </t>
  </si>
  <si>
    <t>Front Left Spring rate [lb/in]</t>
  </si>
  <si>
    <t>Front Right Spring rate [lb/in]</t>
  </si>
  <si>
    <t>Rear Left   Spring rate [lb/in]</t>
  </si>
  <si>
    <t>Rear Right  Spring rate [lb/in]</t>
  </si>
  <si>
    <t>Fz rl</t>
  </si>
  <si>
    <t>Ks fl</t>
  </si>
  <si>
    <t>Ks fr</t>
  </si>
  <si>
    <t>Fz fr</t>
  </si>
  <si>
    <t xml:space="preserve">Lateral Acceleration </t>
  </si>
  <si>
    <t>Mtot</t>
  </si>
  <si>
    <t>distance of cg of sprung mass from front axle [m]</t>
  </si>
  <si>
    <t xml:space="preserve">Total  sprung mass </t>
  </si>
  <si>
    <t xml:space="preserve">Total Mass </t>
  </si>
  <si>
    <t>Mstot</t>
  </si>
  <si>
    <t>b x Mstot = Msr * L</t>
  </si>
  <si>
    <t>Front Roll Stiffness [Nm/rad]</t>
  </si>
  <si>
    <t>ϕ</t>
  </si>
  <si>
    <r>
      <rPr>
        <sz val="11"/>
        <color rgb="FF000000"/>
        <rFont val="Calibri"/>
        <family val="2"/>
      </rPr>
      <t xml:space="preserve">              </t>
    </r>
    <r>
      <rPr>
        <u/>
        <sz val="11"/>
        <color rgb="FF000000"/>
        <rFont val="Calibri"/>
        <family val="2"/>
      </rPr>
      <t xml:space="preserve"> hr-hf  </t>
    </r>
    <r>
      <rPr>
        <sz val="11"/>
        <color rgb="FF000000"/>
        <rFont val="Calibri"/>
        <family val="2"/>
      </rPr>
      <t xml:space="preserve">   =      </t>
    </r>
    <r>
      <rPr>
        <u/>
        <sz val="11"/>
        <color rgb="FF000000"/>
        <rFont val="Calibri"/>
        <family val="2"/>
      </rPr>
      <t xml:space="preserve"> Z   </t>
    </r>
    <r>
      <rPr>
        <sz val="11"/>
        <color rgb="FF000000"/>
        <rFont val="Calibri"/>
        <family val="2"/>
      </rPr>
      <t xml:space="preserve">   </t>
    </r>
  </si>
  <si>
    <t xml:space="preserve">                          L              b</t>
  </si>
  <si>
    <t xml:space="preserve">Read vertical wheel load values  into correct </t>
  </si>
  <si>
    <t xml:space="preserve">            From static +/- WT</t>
  </si>
  <si>
    <t>Use Htot and Mtot to calculate total WT</t>
  </si>
  <si>
    <t>Mustot</t>
  </si>
  <si>
    <t>Total unsprung mass</t>
  </si>
  <si>
    <t xml:space="preserve">another sheet </t>
  </si>
  <si>
    <t xml:space="preserve"> cells of  Rowley Load Split Calculator on </t>
  </si>
  <si>
    <t>deg</t>
  </si>
  <si>
    <t>Roll angle  (Radians)</t>
  </si>
  <si>
    <t xml:space="preserve">Wtf = (ϕ x Kwf x Tf)/2 </t>
  </si>
  <si>
    <t>Rrr</t>
  </si>
  <si>
    <t>Rrf</t>
  </si>
  <si>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</si>
  <si>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</si>
  <si>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</si>
  <si>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</si>
  <si>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</si>
  <si>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</si>
  <si>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</si>
  <si>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 (LR-RR) -</t>
  </si>
  <si>
    <t xml:space="preserve">(LF-RF) </t>
  </si>
  <si>
    <t xml:space="preserve">Rear Split </t>
  </si>
  <si>
    <t xml:space="preserve">LR-RR </t>
  </si>
  <si>
    <t>LR</t>
  </si>
  <si>
    <t>RR</t>
  </si>
  <si>
    <t>LR-LF Split</t>
  </si>
  <si>
    <t>RR-RF Split</t>
  </si>
  <si>
    <t>Wedge</t>
  </si>
  <si>
    <t>LR+RR</t>
  </si>
  <si>
    <t>LR-RF Split</t>
  </si>
  <si>
    <t xml:space="preserve">Wheel load distribution </t>
  </si>
  <si>
    <t>Front WT due to sprung mass at RC Height</t>
  </si>
  <si>
    <t>Rear WT due to sprung mass at RC Height</t>
  </si>
  <si>
    <t>Front WT due to Unsprung mass at wheel centre height</t>
  </si>
  <si>
    <t>Rear WT due to Unsprung mass at wheel centre height</t>
  </si>
  <si>
    <t xml:space="preserve">Total front WT </t>
  </si>
  <si>
    <t>Total Rear WT</t>
  </si>
  <si>
    <t xml:space="preserve">Total wheel loads  by individual wheel load check </t>
  </si>
  <si>
    <t xml:space="preserve">Total  wheel load  by static corner weight check </t>
  </si>
  <si>
    <t>Rear Left Wheel Rate [N/mm]</t>
  </si>
  <si>
    <t>Rear  Right wheel  rate [N/mm]</t>
  </si>
  <si>
    <t xml:space="preserve">WTsr=(ϕ x Kwr x Tr)/2 </t>
  </si>
  <si>
    <t xml:space="preserve">These may not match exactly due to different tracks </t>
  </si>
  <si>
    <t>Kw rl</t>
  </si>
  <si>
    <t>Kw rr</t>
  </si>
  <si>
    <r>
      <rPr>
        <sz val="11"/>
        <color rgb="FF000000"/>
        <rFont val="Calibri"/>
        <family val="2"/>
      </rPr>
      <t>M</t>
    </r>
    <r>
      <rPr>
        <vertAlign val="subscript"/>
        <sz val="11"/>
        <color rgb="FF000000"/>
        <rFont val="Calibri"/>
        <family val="2"/>
      </rPr>
      <t>ot</t>
    </r>
    <r>
      <rPr>
        <sz val="11"/>
        <color rgb="FF000000"/>
        <rFont val="Calibri"/>
        <family val="2"/>
      </rPr>
      <t xml:space="preserve"> = M</t>
    </r>
    <r>
      <rPr>
        <vertAlign val="subscript"/>
        <sz val="11"/>
        <color rgb="FF000000"/>
        <rFont val="Calibri"/>
        <family val="2"/>
      </rPr>
      <t>s</t>
    </r>
    <r>
      <rPr>
        <sz val="11"/>
        <color rgb="FF000000"/>
        <rFont val="Calibri"/>
        <family val="2"/>
      </rPr>
      <t xml:space="preserve"> x a</t>
    </r>
    <r>
      <rPr>
        <vertAlign val="subscript"/>
        <sz val="11"/>
        <color rgb="FF000000"/>
        <rFont val="Calibri"/>
        <family val="2"/>
      </rPr>
      <t>y</t>
    </r>
    <r>
      <rPr>
        <sz val="11"/>
        <color rgb="FF000000"/>
        <rFont val="Calibri"/>
        <family val="2"/>
      </rPr>
      <t xml:space="preserve"> x Hsra</t>
    </r>
    <r>
      <rPr>
        <sz val="28"/>
        <color rgb="FF000000"/>
        <rFont val="Calibri"/>
        <family val="2"/>
      </rPr>
      <t xml:space="preserve">      </t>
    </r>
  </si>
  <si>
    <t xml:space="preserve">Insert  the Lat acc in m/s^2 in  here  and then read it into the calculations </t>
  </si>
  <si>
    <t xml:space="preserve">Ht </t>
  </si>
  <si>
    <t xml:space="preserve">Height of Front roll centre above ground  </t>
  </si>
  <si>
    <t xml:space="preserve">Height of Rear roll centre above ground  </t>
  </si>
  <si>
    <t>Motion Ratio front left</t>
  </si>
  <si>
    <t>Motion Ratio front right</t>
  </si>
  <si>
    <t xml:space="preserve">Motion Ratio rear left </t>
  </si>
  <si>
    <t xml:space="preserve">Motion Ratio rear right </t>
  </si>
  <si>
    <t>Ht x Mt  = (Musf x Rrf) + (Musr x Rrr) + (Mstot x  Hs)</t>
  </si>
  <si>
    <t>Wheel Rate front Average</t>
  </si>
  <si>
    <t>Wheel Rate rear Average</t>
  </si>
  <si>
    <t>Kw f</t>
  </si>
  <si>
    <t>Kw r</t>
  </si>
  <si>
    <t>Rolling  Radius front, Husf</t>
  </si>
  <si>
    <t>Rolling Radius rear, Husr</t>
  </si>
  <si>
    <t>(D12*C23)+(D14*C24)+(G10*</t>
  </si>
  <si>
    <t xml:space="preserve">Total WT calculated by adding all Weight Transfers </t>
  </si>
  <si>
    <t>0,1</t>
  </si>
  <si>
    <t>FLS</t>
  </si>
  <si>
    <t>Front Load Split</t>
  </si>
  <si>
    <t>RLS</t>
  </si>
  <si>
    <t>Rear Load Split</t>
  </si>
  <si>
    <t>FRLSD</t>
  </si>
  <si>
    <t>Front rear load split diff</t>
  </si>
  <si>
    <t>WT%</t>
  </si>
  <si>
    <t>Rear WT %</t>
  </si>
  <si>
    <t>It would create a little bit more understeer</t>
  </si>
  <si>
    <t>Q3.ii</t>
  </si>
  <si>
    <t>because the spring rate is stiffer there would be less weight transfer at the front resulting in more understeer</t>
  </si>
  <si>
    <t>Q3.iii</t>
  </si>
  <si>
    <t>Q3.i</t>
  </si>
  <si>
    <t xml:space="preserve">it would create an imbalance on weight transfer with front left being affected the most </t>
  </si>
  <si>
    <t>4.ii</t>
  </si>
  <si>
    <t>wheel rate goes up roll angle &amp; weight transfer distribution go down</t>
  </si>
  <si>
    <t>4.iii</t>
  </si>
  <si>
    <t>altering the lever length will impact on level - spring ratio resulting in stiffer or softer suspension</t>
  </si>
  <si>
    <t>Q6.i</t>
  </si>
  <si>
    <t>the WT% stayed the same. The FRLSD has changed a lot in that FLS has the majority of the transfer.</t>
  </si>
  <si>
    <t>The effect on the car would be to increase understeer as the weight shifts around the front wheels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</si>
</sst>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"/>
    <numFmt numFmtId="167" formatCode="0.0%"/>
    <numFmt numFmtId="168" formatCode="0.000000"/>
  </numFmts>
  <fonts count="24" x14ac:knownFonts="1">
    <font>
      <sz val="10"/>
      <name val="Arial"/>
    </font>
    <font>
      <sz val="8"/>
      <name val="Arial"/>
      <family val="2"/>
    </font>
    <font>
      <b/>
      <sz val="14"/>
      <color indexed="10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u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24"/>
      <color rgb="FFFF0000"/>
      <name val="Arial"/>
      <family val="2"/>
    </font>
    <font>
      <sz val="11"/>
      <color rgb="FFFF0000"/>
      <name val="Arial"/>
      <family val="2"/>
    </font>
    <font>
      <sz val="13"/>
      <color rgb="FF000000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theme="0"/>
      <name val="Arial"/>
      <family val="2"/>
    </font>
    <font>
      <sz val="28"/>
      <color rgb="FF000000"/>
      <name val="Calibri"/>
      <family val="2"/>
    </font>
    <font>
      <vertAlign val="subscript"/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225">
    <xf numFmtId="0" fontId="0" fillId="0" borderId="0" xfId="0"/>
    <xf numFmtId="2" fontId="0" fillId="4" borderId="7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/>
    <xf numFmtId="0" fontId="3" fillId="0" borderId="4" xfId="0" applyFont="1" applyBorder="1" applyProtection="1"/>
    <xf numFmtId="0" fontId="0" fillId="0" borderId="0" xfId="0" applyBorder="1" applyProtection="1"/>
    <xf numFmtId="0" fontId="0" fillId="2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4" xfId="0" applyBorder="1" applyProtection="1"/>
    <xf numFmtId="0" fontId="0" fillId="0" borderId="0" xfId="0" applyFill="1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Alignment="1" applyProtection="1">
      <alignment horizontal="right"/>
    </xf>
    <xf numFmtId="0" fontId="0" fillId="0" borderId="8" xfId="0" applyBorder="1" applyAlignment="1" applyProtection="1">
      <alignment horizontal="right"/>
    </xf>
    <xf numFmtId="0" fontId="2" fillId="0" borderId="4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6" xfId="0" applyBorder="1" applyProtection="1"/>
    <xf numFmtId="2" fontId="0" fillId="5" borderId="7" xfId="0" applyNumberFormat="1" applyFill="1" applyBorder="1" applyAlignment="1" applyProtection="1">
      <alignment horizontal="center"/>
    </xf>
    <xf numFmtId="2" fontId="0" fillId="5" borderId="5" xfId="0" applyNumberFormat="1" applyFill="1" applyBorder="1" applyAlignment="1" applyProtection="1">
      <alignment horizontal="center"/>
    </xf>
    <xf numFmtId="2" fontId="0" fillId="4" borderId="9" xfId="0" applyNumberFormat="1" applyFill="1" applyBorder="1" applyAlignment="1" applyProtection="1">
      <alignment horizontal="center"/>
      <protection locked="0"/>
    </xf>
    <xf numFmtId="2" fontId="0" fillId="5" borderId="9" xfId="0" applyNumberFormat="1" applyFill="1" applyBorder="1" applyAlignment="1" applyProtection="1">
      <alignment horizontal="center"/>
    </xf>
    <xf numFmtId="2" fontId="0" fillId="5" borderId="10" xfId="0" applyNumberFormat="1" applyFill="1" applyBorder="1" applyAlignment="1" applyProtection="1">
      <alignment horizontal="center"/>
    </xf>
    <xf numFmtId="2" fontId="0" fillId="3" borderId="5" xfId="0" applyNumberForma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0" fontId="5" fillId="0" borderId="0" xfId="0" applyFont="1"/>
    <xf numFmtId="0" fontId="0" fillId="0" borderId="7" xfId="0" applyBorder="1"/>
    <xf numFmtId="0" fontId="6" fillId="0" borderId="7" xfId="0" applyFont="1" applyBorder="1"/>
    <xf numFmtId="0" fontId="9" fillId="0" borderId="7" xfId="0" applyFont="1" applyBorder="1"/>
    <xf numFmtId="0" fontId="10" fillId="6" borderId="13" xfId="0" applyFont="1" applyFill="1" applyBorder="1"/>
    <xf numFmtId="0" fontId="0" fillId="0" borderId="7" xfId="0" applyBorder="1" applyAlignment="1">
      <alignment horizontal="center" vertical="center"/>
    </xf>
    <xf numFmtId="164" fontId="0" fillId="3" borderId="5" xfId="0" applyNumberFormat="1" applyFill="1" applyBorder="1" applyAlignment="1" applyProtection="1">
      <alignment horizontal="center"/>
    </xf>
    <xf numFmtId="2" fontId="0" fillId="7" borderId="5" xfId="0" applyNumberFormat="1" applyFill="1" applyBorder="1" applyAlignment="1" applyProtection="1">
      <alignment horizontal="center"/>
    </xf>
    <xf numFmtId="2" fontId="0" fillId="0" borderId="7" xfId="0" applyNumberFormat="1" applyBorder="1" applyAlignment="1">
      <alignment horizontal="center" vertical="center"/>
    </xf>
    <xf numFmtId="0" fontId="0" fillId="0" borderId="0" xfId="0" applyBorder="1"/>
    <xf numFmtId="0" fontId="8" fillId="0" borderId="15" xfId="0" applyFont="1" applyBorder="1"/>
    <xf numFmtId="0" fontId="8" fillId="0" borderId="16" xfId="0" applyFont="1" applyBorder="1"/>
    <xf numFmtId="0" fontId="13" fillId="0" borderId="0" xfId="0" applyFont="1"/>
    <xf numFmtId="0" fontId="12" fillId="0" borderId="0" xfId="0" applyFont="1"/>
    <xf numFmtId="0" fontId="15" fillId="0" borderId="0" xfId="0" applyFont="1" applyAlignment="1">
      <alignment horizontal="left" vertical="center" indent="3" readingOrder="1"/>
    </xf>
    <xf numFmtId="0" fontId="16" fillId="0" borderId="0" xfId="0" applyFont="1" applyAlignment="1">
      <alignment horizontal="left" vertical="center" indent="3" readingOrder="1"/>
    </xf>
    <xf numFmtId="165" fontId="0" fillId="9" borderId="7" xfId="0" applyNumberFormat="1" applyFill="1" applyBorder="1" applyAlignment="1">
      <alignment horizontal="center" vertical="center"/>
    </xf>
    <xf numFmtId="0" fontId="0" fillId="8" borderId="18" xfId="0" applyFill="1" applyBorder="1"/>
    <xf numFmtId="0" fontId="9" fillId="8" borderId="17" xfId="0" applyFont="1" applyFill="1" applyBorder="1"/>
    <xf numFmtId="0" fontId="0" fillId="9" borderId="0" xfId="0" applyFill="1" applyBorder="1"/>
    <xf numFmtId="0" fontId="0" fillId="0" borderId="0" xfId="0" applyAlignment="1"/>
    <xf numFmtId="0" fontId="0" fillId="7" borderId="7" xfId="0" applyFill="1" applyBorder="1" applyAlignment="1">
      <alignment horizontal="center" vertical="center"/>
    </xf>
    <xf numFmtId="165" fontId="0" fillId="7" borderId="7" xfId="0" applyNumberFormat="1" applyFill="1" applyBorder="1" applyAlignment="1">
      <alignment horizontal="center" vertical="center"/>
    </xf>
    <xf numFmtId="0" fontId="0" fillId="7" borderId="0" xfId="0" applyFill="1" applyBorder="1"/>
    <xf numFmtId="0" fontId="10" fillId="6" borderId="13" xfId="0" applyFont="1" applyFill="1" applyBorder="1" applyAlignment="1">
      <alignment horizontal="left"/>
    </xf>
    <xf numFmtId="166" fontId="0" fillId="0" borderId="5" xfId="0" applyNumberForma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17" xfId="0" applyBorder="1"/>
    <xf numFmtId="0" fontId="9" fillId="0" borderId="18" xfId="0" applyFont="1" applyBorder="1"/>
    <xf numFmtId="166" fontId="0" fillId="9" borderId="5" xfId="0" applyNumberFormat="1" applyFill="1" applyBorder="1" applyAlignment="1">
      <alignment horizontal="center" vertical="center"/>
    </xf>
    <xf numFmtId="0" fontId="9" fillId="0" borderId="17" xfId="0" applyFont="1" applyBorder="1"/>
    <xf numFmtId="0" fontId="0" fillId="0" borderId="24" xfId="0" applyBorder="1"/>
    <xf numFmtId="1" fontId="0" fillId="9" borderId="5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0" fillId="0" borderId="25" xfId="0" applyBorder="1"/>
    <xf numFmtId="0" fontId="0" fillId="0" borderId="9" xfId="0" applyBorder="1"/>
    <xf numFmtId="0" fontId="8" fillId="0" borderId="1" xfId="0" applyFont="1" applyFill="1" applyBorder="1" applyAlignment="1">
      <alignment horizontal="left"/>
    </xf>
    <xf numFmtId="0" fontId="0" fillId="0" borderId="2" xfId="0" applyFill="1" applyBorder="1"/>
    <xf numFmtId="167" fontId="19" fillId="12" borderId="28" xfId="1" applyNumberFormat="1" applyFont="1" applyFill="1" applyBorder="1" applyAlignment="1">
      <alignment horizontal="center"/>
    </xf>
    <xf numFmtId="0" fontId="19" fillId="0" borderId="2" xfId="0" applyFont="1" applyFill="1" applyBorder="1"/>
    <xf numFmtId="0" fontId="19" fillId="0" borderId="2" xfId="0" applyFont="1" applyFill="1" applyBorder="1" applyAlignment="1">
      <alignment horizontal="center"/>
    </xf>
    <xf numFmtId="0" fontId="19" fillId="0" borderId="3" xfId="0" applyFont="1" applyFill="1" applyBorder="1"/>
    <xf numFmtId="0" fontId="19" fillId="0" borderId="4" xfId="0" applyFont="1" applyFill="1" applyBorder="1"/>
    <xf numFmtId="0" fontId="8" fillId="0" borderId="0" xfId="0" applyFont="1" applyFill="1" applyBorder="1"/>
    <xf numFmtId="0" fontId="19" fillId="0" borderId="0" xfId="0" applyFont="1" applyFill="1" applyBorder="1"/>
    <xf numFmtId="0" fontId="8" fillId="12" borderId="29" xfId="0" applyFont="1" applyFill="1" applyBorder="1" applyAlignment="1">
      <alignment horizontal="center"/>
    </xf>
    <xf numFmtId="0" fontId="19" fillId="0" borderId="6" xfId="0" applyFont="1" applyFill="1" applyBorder="1"/>
    <xf numFmtId="166" fontId="19" fillId="12" borderId="30" xfId="0" applyNumberFormat="1" applyFont="1" applyFill="1" applyBorder="1" applyAlignment="1">
      <alignment horizontal="center"/>
    </xf>
    <xf numFmtId="167" fontId="19" fillId="0" borderId="0" xfId="1" applyNumberFormat="1" applyFont="1" applyFill="1" applyBorder="1" applyAlignment="1">
      <alignment horizontal="center"/>
    </xf>
    <xf numFmtId="167" fontId="19" fillId="6" borderId="31" xfId="1" applyNumberFormat="1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166" fontId="7" fillId="13" borderId="2" xfId="0" applyNumberFormat="1" applyFont="1" applyFill="1" applyBorder="1" applyAlignment="1">
      <alignment horizontal="center"/>
    </xf>
    <xf numFmtId="0" fontId="8" fillId="13" borderId="3" xfId="0" applyFont="1" applyFill="1" applyBorder="1" applyAlignment="1">
      <alignment horizontal="center"/>
    </xf>
    <xf numFmtId="167" fontId="19" fillId="6" borderId="32" xfId="1" applyNumberFormat="1" applyFont="1" applyFill="1" applyBorder="1" applyAlignment="1">
      <alignment horizontal="center"/>
    </xf>
    <xf numFmtId="0" fontId="8" fillId="12" borderId="21" xfId="0" applyFont="1" applyFill="1" applyBorder="1"/>
    <xf numFmtId="0" fontId="8" fillId="12" borderId="11" xfId="0" applyFont="1" applyFill="1" applyBorder="1" applyAlignment="1">
      <alignment horizontal="right"/>
    </xf>
    <xf numFmtId="166" fontId="19" fillId="12" borderId="23" xfId="0" applyNumberFormat="1" applyFont="1" applyFill="1" applyBorder="1" applyAlignment="1">
      <alignment horizontal="center"/>
    </xf>
    <xf numFmtId="166" fontId="19" fillId="4" borderId="33" xfId="0" applyNumberFormat="1" applyFont="1" applyFill="1" applyBorder="1" applyAlignment="1">
      <alignment horizontal="center"/>
    </xf>
    <xf numFmtId="0" fontId="7" fillId="13" borderId="4" xfId="0" applyFont="1" applyFill="1" applyBorder="1"/>
    <xf numFmtId="0" fontId="8" fillId="13" borderId="0" xfId="0" applyFont="1" applyFill="1" applyBorder="1"/>
    <xf numFmtId="0" fontId="7" fillId="13" borderId="6" xfId="0" applyFont="1" applyFill="1" applyBorder="1"/>
    <xf numFmtId="166" fontId="19" fillId="4" borderId="3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8" fillId="13" borderId="4" xfId="0" applyFont="1" applyFill="1" applyBorder="1" applyAlignment="1">
      <alignment horizontal="center"/>
    </xf>
    <xf numFmtId="0" fontId="8" fillId="13" borderId="6" xfId="0" applyFont="1" applyFill="1" applyBorder="1" applyAlignment="1">
      <alignment horizontal="center"/>
    </xf>
    <xf numFmtId="166" fontId="19" fillId="0" borderId="0" xfId="0" applyNumberFormat="1" applyFont="1" applyFill="1" applyBorder="1" applyAlignment="1">
      <alignment horizontal="center"/>
    </xf>
    <xf numFmtId="166" fontId="8" fillId="12" borderId="35" xfId="0" applyNumberFormat="1" applyFont="1" applyFill="1" applyBorder="1" applyAlignment="1">
      <alignment horizontal="center"/>
    </xf>
    <xf numFmtId="167" fontId="19" fillId="12" borderId="11" xfId="0" applyNumberFormat="1" applyFont="1" applyFill="1" applyBorder="1" applyAlignment="1">
      <alignment horizontal="center"/>
    </xf>
    <xf numFmtId="0" fontId="19" fillId="12" borderId="12" xfId="0" applyFont="1" applyFill="1" applyBorder="1" applyAlignment="1">
      <alignment horizontal="center"/>
    </xf>
    <xf numFmtId="0" fontId="8" fillId="13" borderId="0" xfId="0" applyFont="1" applyFill="1" applyBorder="1" applyAlignment="1">
      <alignment horizontal="center"/>
    </xf>
    <xf numFmtId="166" fontId="19" fillId="0" borderId="13" xfId="0" applyNumberFormat="1" applyFont="1" applyFill="1" applyBorder="1" applyAlignment="1">
      <alignment horizontal="center"/>
    </xf>
    <xf numFmtId="166" fontId="19" fillId="12" borderId="35" xfId="0" applyNumberFormat="1" applyFont="1" applyFill="1" applyBorder="1" applyAlignment="1">
      <alignment horizontal="center"/>
    </xf>
    <xf numFmtId="167" fontId="19" fillId="12" borderId="36" xfId="0" applyNumberFormat="1" applyFont="1" applyFill="1" applyBorder="1" applyAlignment="1">
      <alignment horizontal="center"/>
    </xf>
    <xf numFmtId="0" fontId="8" fillId="12" borderId="23" xfId="0" applyFont="1" applyFill="1" applyBorder="1" applyAlignment="1">
      <alignment horizontal="left"/>
    </xf>
    <xf numFmtId="0" fontId="8" fillId="14" borderId="37" xfId="0" applyFont="1" applyFill="1" applyBorder="1" applyAlignment="1">
      <alignment horizontal="right"/>
    </xf>
    <xf numFmtId="0" fontId="8" fillId="14" borderId="20" xfId="0" applyFont="1" applyFill="1" applyBorder="1" applyAlignment="1"/>
    <xf numFmtId="166" fontId="8" fillId="14" borderId="0" xfId="0" applyNumberFormat="1" applyFont="1" applyFill="1" applyBorder="1" applyAlignment="1">
      <alignment horizontal="center"/>
    </xf>
    <xf numFmtId="167" fontId="19" fillId="6" borderId="38" xfId="1" applyNumberFormat="1" applyFont="1" applyFill="1" applyBorder="1" applyAlignment="1">
      <alignment horizontal="center"/>
    </xf>
    <xf numFmtId="167" fontId="19" fillId="6" borderId="39" xfId="1" applyNumberFormat="1" applyFont="1" applyFill="1" applyBorder="1" applyAlignment="1">
      <alignment horizontal="center"/>
    </xf>
    <xf numFmtId="0" fontId="8" fillId="12" borderId="40" xfId="0" applyFont="1" applyFill="1" applyBorder="1" applyAlignment="1">
      <alignment horizontal="center"/>
    </xf>
    <xf numFmtId="0" fontId="8" fillId="13" borderId="8" xfId="0" applyFont="1" applyFill="1" applyBorder="1" applyAlignment="1">
      <alignment horizontal="center"/>
    </xf>
    <xf numFmtId="0" fontId="8" fillId="13" borderId="27" xfId="0" applyFont="1" applyFill="1" applyBorder="1"/>
    <xf numFmtId="0" fontId="8" fillId="13" borderId="41" xfId="0" applyFont="1" applyFill="1" applyBorder="1" applyAlignment="1">
      <alignment horizontal="center"/>
    </xf>
    <xf numFmtId="166" fontId="19" fillId="4" borderId="42" xfId="0" applyNumberFormat="1" applyFont="1" applyFill="1" applyBorder="1" applyAlignment="1">
      <alignment horizontal="center"/>
    </xf>
    <xf numFmtId="0" fontId="19" fillId="0" borderId="21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right"/>
    </xf>
    <xf numFmtId="166" fontId="19" fillId="0" borderId="23" xfId="0" applyNumberFormat="1" applyFont="1" applyFill="1" applyBorder="1" applyAlignment="1">
      <alignment horizontal="center"/>
    </xf>
    <xf numFmtId="166" fontId="19" fillId="12" borderId="43" xfId="0" applyNumberFormat="1" applyFont="1" applyFill="1" applyBorder="1" applyAlignment="1">
      <alignment horizontal="center"/>
    </xf>
    <xf numFmtId="166" fontId="19" fillId="12" borderId="21" xfId="0" applyNumberFormat="1" applyFont="1" applyFill="1" applyBorder="1" applyAlignment="1">
      <alignment horizontal="center"/>
    </xf>
    <xf numFmtId="0" fontId="8" fillId="12" borderId="22" xfId="0" applyFont="1" applyFill="1" applyBorder="1" applyAlignment="1">
      <alignment horizontal="left"/>
    </xf>
    <xf numFmtId="0" fontId="8" fillId="12" borderId="4" xfId="0" applyFont="1" applyFill="1" applyBorder="1" applyAlignment="1">
      <alignment horizontal="right"/>
    </xf>
    <xf numFmtId="167" fontId="19" fillId="12" borderId="6" xfId="1" applyNumberFormat="1" applyFont="1" applyFill="1" applyBorder="1" applyAlignment="1">
      <alignment horizontal="center"/>
    </xf>
    <xf numFmtId="0" fontId="8" fillId="12" borderId="44" xfId="0" applyFont="1" applyFill="1" applyBorder="1" applyAlignment="1">
      <alignment horizontal="center"/>
    </xf>
    <xf numFmtId="0" fontId="19" fillId="0" borderId="8" xfId="0" applyFont="1" applyFill="1" applyBorder="1"/>
    <xf numFmtId="166" fontId="19" fillId="0" borderId="23" xfId="1" applyNumberFormat="1" applyFont="1" applyFill="1" applyBorder="1" applyAlignment="1">
      <alignment horizontal="center"/>
    </xf>
    <xf numFmtId="0" fontId="19" fillId="0" borderId="27" xfId="0" applyFont="1" applyFill="1" applyBorder="1"/>
    <xf numFmtId="167" fontId="19" fillId="12" borderId="45" xfId="1" applyNumberFormat="1" applyFont="1" applyFill="1" applyBorder="1" applyAlignment="1">
      <alignment horizontal="center"/>
    </xf>
    <xf numFmtId="2" fontId="8" fillId="7" borderId="27" xfId="0" applyNumberFormat="1" applyFont="1" applyFill="1" applyBorder="1"/>
    <xf numFmtId="0" fontId="7" fillId="7" borderId="41" xfId="0" applyFont="1" applyFill="1" applyBorder="1"/>
    <xf numFmtId="0" fontId="20" fillId="0" borderId="0" xfId="0" applyFont="1"/>
    <xf numFmtId="166" fontId="0" fillId="0" borderId="0" xfId="0" applyNumberFormat="1"/>
    <xf numFmtId="2" fontId="0" fillId="0" borderId="17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" fontId="0" fillId="9" borderId="47" xfId="0" applyNumberFormat="1" applyFill="1" applyBorder="1" applyAlignment="1">
      <alignment horizontal="center" vertical="center"/>
    </xf>
    <xf numFmtId="0" fontId="9" fillId="0" borderId="19" xfId="0" applyFont="1" applyFill="1" applyBorder="1"/>
    <xf numFmtId="1" fontId="0" fillId="9" borderId="46" xfId="0" applyNumberFormat="1" applyFill="1" applyBorder="1" applyAlignment="1">
      <alignment horizontal="center" vertical="center"/>
    </xf>
    <xf numFmtId="1" fontId="0" fillId="11" borderId="28" xfId="0" applyNumberFormat="1" applyFill="1" applyBorder="1" applyAlignment="1">
      <alignment horizontal="center"/>
    </xf>
    <xf numFmtId="0" fontId="0" fillId="11" borderId="30" xfId="0" applyFill="1" applyBorder="1" applyAlignment="1">
      <alignment horizontal="center" vertical="center"/>
    </xf>
    <xf numFmtId="0" fontId="21" fillId="0" borderId="0" xfId="0" applyFont="1" applyBorder="1"/>
    <xf numFmtId="0" fontId="21" fillId="7" borderId="0" xfId="0" applyFont="1" applyFill="1" applyBorder="1"/>
    <xf numFmtId="1" fontId="0" fillId="15" borderId="13" xfId="0" applyNumberFormat="1" applyFill="1" applyBorder="1" applyAlignment="1">
      <alignment horizontal="center" vertical="center"/>
    </xf>
    <xf numFmtId="0" fontId="5" fillId="0" borderId="7" xfId="0" applyFont="1" applyBorder="1"/>
    <xf numFmtId="0" fontId="9" fillId="7" borderId="0" xfId="0" applyFont="1" applyFill="1" applyBorder="1"/>
    <xf numFmtId="0" fontId="9" fillId="9" borderId="21" xfId="0" applyFont="1" applyFill="1" applyBorder="1"/>
    <xf numFmtId="0" fontId="0" fillId="9" borderId="23" xfId="0" applyFill="1" applyBorder="1"/>
    <xf numFmtId="0" fontId="9" fillId="8" borderId="21" xfId="0" applyFont="1" applyFill="1" applyBorder="1"/>
    <xf numFmtId="0" fontId="0" fillId="8" borderId="23" xfId="0" applyFill="1" applyBorder="1"/>
    <xf numFmtId="0" fontId="9" fillId="9" borderId="1" xfId="0" applyFont="1" applyFill="1" applyBorder="1" applyAlignment="1">
      <alignment horizontal="center"/>
    </xf>
    <xf numFmtId="0" fontId="0" fillId="9" borderId="2" xfId="0" applyFill="1" applyBorder="1" applyAlignment="1">
      <alignment horizontal="left"/>
    </xf>
    <xf numFmtId="0" fontId="0" fillId="9" borderId="2" xfId="0" applyFill="1" applyBorder="1"/>
    <xf numFmtId="0" fontId="0" fillId="9" borderId="3" xfId="0" applyFill="1" applyBorder="1"/>
    <xf numFmtId="0" fontId="9" fillId="9" borderId="4" xfId="0" applyFont="1" applyFill="1" applyBorder="1"/>
    <xf numFmtId="0" fontId="0" fillId="9" borderId="6" xfId="0" applyFill="1" applyBorder="1"/>
    <xf numFmtId="0" fontId="0" fillId="9" borderId="4" xfId="0" applyFill="1" applyBorder="1"/>
    <xf numFmtId="0" fontId="0" fillId="9" borderId="8" xfId="0" applyFill="1" applyBorder="1"/>
    <xf numFmtId="0" fontId="0" fillId="9" borderId="27" xfId="0" applyFill="1" applyBorder="1"/>
    <xf numFmtId="0" fontId="0" fillId="9" borderId="41" xfId="0" applyFill="1" applyBorder="1"/>
    <xf numFmtId="0" fontId="9" fillId="9" borderId="1" xfId="0" applyFont="1" applyFill="1" applyBorder="1"/>
    <xf numFmtId="0" fontId="0" fillId="9" borderId="48" xfId="0" applyFill="1" applyBorder="1"/>
    <xf numFmtId="0" fontId="9" fillId="9" borderId="8" xfId="0" applyFont="1" applyFill="1" applyBorder="1"/>
    <xf numFmtId="0" fontId="0" fillId="9" borderId="49" xfId="0" applyFill="1" applyBorder="1"/>
    <xf numFmtId="0" fontId="11" fillId="9" borderId="28" xfId="0" applyFont="1" applyFill="1" applyBorder="1" applyAlignment="1">
      <alignment horizontal="left" vertical="center" indent="4" readingOrder="1"/>
    </xf>
    <xf numFmtId="0" fontId="13" fillId="9" borderId="45" xfId="0" applyFont="1" applyFill="1" applyBorder="1"/>
    <xf numFmtId="0" fontId="17" fillId="9" borderId="13" xfId="0" applyFont="1" applyFill="1" applyBorder="1" applyAlignment="1">
      <alignment horizontal="center" vertical="center" readingOrder="1"/>
    </xf>
    <xf numFmtId="0" fontId="9" fillId="7" borderId="25" xfId="0" applyFont="1" applyFill="1" applyBorder="1"/>
    <xf numFmtId="0" fontId="9" fillId="7" borderId="7" xfId="0" applyFont="1" applyFill="1" applyBorder="1"/>
    <xf numFmtId="0" fontId="0" fillId="7" borderId="26" xfId="0" applyFont="1" applyFill="1" applyBorder="1"/>
    <xf numFmtId="0" fontId="9" fillId="7" borderId="14" xfId="0" applyFont="1" applyFill="1" applyBorder="1"/>
    <xf numFmtId="0" fontId="0" fillId="10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/>
    <xf numFmtId="0" fontId="14" fillId="7" borderId="7" xfId="0" applyFont="1" applyFill="1" applyBorder="1"/>
    <xf numFmtId="0" fontId="9" fillId="7" borderId="17" xfId="0" applyFont="1" applyFill="1" applyBorder="1"/>
    <xf numFmtId="166" fontId="0" fillId="7" borderId="5" xfId="0" applyNumberFormat="1" applyFill="1" applyBorder="1" applyAlignment="1">
      <alignment horizontal="center"/>
    </xf>
    <xf numFmtId="166" fontId="0" fillId="7" borderId="46" xfId="0" applyNumberFormat="1" applyFill="1" applyBorder="1" applyAlignment="1">
      <alignment horizontal="center"/>
    </xf>
    <xf numFmtId="0" fontId="8" fillId="0" borderId="50" xfId="0" applyFont="1" applyBorder="1"/>
    <xf numFmtId="0" fontId="0" fillId="0" borderId="51" xfId="0" applyBorder="1"/>
    <xf numFmtId="0" fontId="0" fillId="0" borderId="52" xfId="0" applyBorder="1"/>
    <xf numFmtId="0" fontId="0" fillId="10" borderId="52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9" fillId="0" borderId="52" xfId="0" applyFont="1" applyBorder="1"/>
    <xf numFmtId="166" fontId="0" fillId="0" borderId="53" xfId="0" applyNumberFormat="1" applyBorder="1" applyAlignment="1">
      <alignment horizontal="center" vertical="center"/>
    </xf>
    <xf numFmtId="0" fontId="0" fillId="0" borderId="54" xfId="0" applyBorder="1"/>
    <xf numFmtId="0" fontId="0" fillId="1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9" fillId="0" borderId="25" xfId="0" applyFont="1" applyBorder="1"/>
    <xf numFmtId="0" fontId="9" fillId="0" borderId="9" xfId="0" applyFont="1" applyBorder="1"/>
    <xf numFmtId="168" fontId="0" fillId="0" borderId="5" xfId="0" applyNumberFormat="1" applyBorder="1" applyAlignment="1">
      <alignment horizontal="center" vertical="center"/>
    </xf>
    <xf numFmtId="0" fontId="22" fillId="9" borderId="21" xfId="0" applyFont="1" applyFill="1" applyBorder="1" applyAlignment="1">
      <alignment vertical="center"/>
    </xf>
    <xf numFmtId="0" fontId="0" fillId="9" borderId="23" xfId="0" applyFill="1" applyBorder="1" applyAlignment="1">
      <alignment vertical="center"/>
    </xf>
    <xf numFmtId="168" fontId="13" fillId="0" borderId="0" xfId="0" applyNumberFormat="1" applyFont="1"/>
    <xf numFmtId="0" fontId="0" fillId="0" borderId="14" xfId="0" applyFill="1" applyBorder="1"/>
    <xf numFmtId="2" fontId="0" fillId="7" borderId="7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9" fillId="0" borderId="14" xfId="0" applyFont="1" applyFill="1" applyBorder="1"/>
    <xf numFmtId="2" fontId="0" fillId="9" borderId="7" xfId="0" applyNumberForma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6" fontId="0" fillId="0" borderId="52" xfId="0" applyNumberFormat="1" applyBorder="1" applyAlignment="1">
      <alignment horizontal="center" vertical="center"/>
    </xf>
    <xf numFmtId="1" fontId="9" fillId="15" borderId="13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9" borderId="0" xfId="0" applyFont="1" applyFill="1" applyBorder="1"/>
    <xf numFmtId="0" fontId="0" fillId="0" borderId="26" xfId="0" applyFont="1" applyFill="1" applyBorder="1"/>
    <xf numFmtId="1" fontId="0" fillId="10" borderId="0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9" fillId="0" borderId="0" xfId="0" applyFont="1" applyFill="1" applyBorder="1"/>
    <xf numFmtId="1" fontId="0" fillId="0" borderId="0" xfId="0" applyNumberFormat="1"/>
    <xf numFmtId="166" fontId="0" fillId="6" borderId="5" xfId="0" applyNumberForma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9" fillId="16" borderId="0" xfId="0" applyFont="1" applyFill="1"/>
    <xf numFmtId="0" fontId="0" fillId="16" borderId="0" xfId="0" applyFill="1"/>
    <xf numFmtId="0" fontId="9" fillId="7" borderId="0" xfId="0" applyFont="1" applyFill="1"/>
    <xf numFmtId="0" fontId="0" fillId="7" borderId="0" xfId="0" applyFill="1"/>
    <xf numFmtId="2" fontId="0" fillId="6" borderId="7" xfId="0" applyNumberFormat="1" applyFill="1" applyBorder="1" applyAlignment="1">
      <alignment horizontal="center" vertical="center"/>
    </xf>
    <xf numFmtId="2" fontId="0" fillId="6" borderId="0" xfId="0" applyNumberFormat="1" applyFill="1" applyAlignment="1">
      <alignment horizontal="center"/>
    </xf>
    <xf numFmtId="166" fontId="0" fillId="6" borderId="53" xfId="0" applyNumberFormat="1" applyFill="1" applyBorder="1" applyAlignment="1">
      <alignment horizontal="center" vertical="center"/>
    </xf>
    <xf numFmtId="0" fontId="0" fillId="6" borderId="0" xfId="0" applyFill="1"/>
    <xf numFmtId="168" fontId="0" fillId="6" borderId="5" xfId="0" applyNumberFormat="1" applyFill="1" applyBorder="1" applyAlignment="1">
      <alignment horizontal="center" vertical="center"/>
    </xf>
    <xf numFmtId="0" fontId="0" fillId="6" borderId="24" xfId="0" applyFill="1" applyBorder="1"/>
    <xf numFmtId="166" fontId="0" fillId="6" borderId="46" xfId="0" applyNumberFormat="1" applyFill="1" applyBorder="1" applyAlignment="1">
      <alignment horizontal="center"/>
    </xf>
    <xf numFmtId="1" fontId="0" fillId="6" borderId="5" xfId="0" applyNumberFormat="1" applyFill="1" applyBorder="1" applyAlignment="1">
      <alignment horizontal="center" vertical="center"/>
    </xf>
    <xf numFmtId="1" fontId="0" fillId="6" borderId="46" xfId="0" applyNumberFormat="1" applyFill="1" applyBorder="1" applyAlignment="1">
      <alignment horizontal="center" vertical="center"/>
    </xf>
    <xf numFmtId="1" fontId="0" fillId="6" borderId="0" xfId="0" applyNumberFormat="1" applyFill="1"/>
    <xf numFmtId="0" fontId="9" fillId="17" borderId="0" xfId="0" applyFont="1" applyFill="1"/>
    <xf numFmtId="0" fontId="0" fillId="17" borderId="0" xfId="0" applyFill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1533526</xdr:colOff>
      <xdr:row>23</xdr:row>
      <xdr:rowOff>138546</xdr:rowOff>
    </xdr:from>
    <xdr:to>
      <xdr:col>6</xdr:col>
      <xdr:colOff>103909</xdr:colOff>
      <xdr:row>35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8ECEAC92-35EC-4A4C-93C4-49D95008DEC4}"/>
            </a:ext>
          </a:extLst>
        </xdr:cNvPr>
        <xdr:cNvCxnSpPr/>
      </xdr:nvCxnSpPr>
      <xdr:spPr>
        <a:xfrm flipH="1">
          <a:off x="7515226" y="4200006"/>
          <a:ext cx="1427883" cy="198743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33</xdr:row>
      <xdr:rowOff>160020</xdr:rowOff>
    </xdr:from>
    <xdr:to>
      <xdr:col>10</xdr:col>
      <xdr:colOff>12928</xdr:colOff>
      <xdr:row>41</xdr:row>
      <xdr:rowOff>128762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2F307CF3-665B-42E7-AC15-F4B88EA3F732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06380" y="5935980"/>
          <a:ext cx="4488408" cy="146226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123827</xdr:colOff>
      <xdr:row>22</xdr:row>
      <xdr:rowOff>43295</xdr:rowOff>
    </xdr:from>
    <xdr:to>
      <xdr:col>6</xdr:col>
      <xdr:colOff>77932</xdr:colOff>
      <xdr:row>33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44F832CD-1848-454A-90D5-23623217264A}"/>
            </a:ext>
          </a:extLst>
        </xdr:cNvPr>
        <xdr:cNvCxnSpPr/>
      </xdr:nvCxnSpPr>
      <xdr:spPr>
        <a:xfrm flipH="1">
          <a:off x="5495927" y="3937115"/>
          <a:ext cx="3421205" cy="184837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35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B06676D8-BB2A-4F09-AC82-241590341C0C}"/>
            </a:ext>
          </a:extLst>
        </xdr:cNvPr>
        <xdr:cNvCxnSpPr/>
      </xdr:nvCxnSpPr>
      <xdr:spPr>
        <a:xfrm flipH="1">
          <a:off x="3295650" y="4488180"/>
          <a:ext cx="1558290" cy="16992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565889DF-69A7-4240-9EB8-DAB58377C390}"/>
            </a:ext>
          </a:extLst>
        </xdr:cNvPr>
        <xdr:cNvCxnSpPr/>
      </xdr:nvCxnSpPr>
      <xdr:spPr>
        <a:xfrm flipH="1">
          <a:off x="524827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C4C96D2D-7E00-40EA-9A4D-8CDFC6CD52F1}"/>
            </a:ext>
          </a:extLst>
        </xdr:cNvPr>
        <xdr:cNvCxnSpPr/>
      </xdr:nvCxnSpPr>
      <xdr:spPr>
        <a:xfrm flipV="1">
          <a:off x="14879743" y="3535682"/>
          <a:ext cx="512657" cy="1523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DBD75F6-A8FD-4BF2-BBF8-A2A6EA64F6BF}"/>
            </a:ext>
          </a:extLst>
        </xdr:cNvPr>
        <xdr:cNvCxnSpPr/>
      </xdr:nvCxnSpPr>
      <xdr:spPr>
        <a:xfrm>
          <a:off x="14641830" y="4665345"/>
          <a:ext cx="75057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BD0C9FCD-DD1E-4275-9709-2FF32F220E8B}"/>
            </a:ext>
          </a:extLst>
        </xdr:cNvPr>
        <xdr:cNvCxnSpPr/>
      </xdr:nvCxnSpPr>
      <xdr:spPr>
        <a:xfrm>
          <a:off x="14714220" y="1584960"/>
          <a:ext cx="666569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83502969-F875-4036-8CA9-10AB3E074D25}"/>
            </a:ext>
          </a:extLst>
        </xdr:cNvPr>
        <xdr:cNvCxnSpPr/>
      </xdr:nvCxnSpPr>
      <xdr:spPr>
        <a:xfrm>
          <a:off x="14733058" y="1767205"/>
          <a:ext cx="656046" cy="34507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8D17D6E-5795-47F8-BAFD-1C4C19745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40004" y="611252"/>
          <a:ext cx="2297975" cy="14822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A6A647A7-064A-4CF9-9DE5-E3462E42CE55}"/>
            </a:ext>
          </a:extLst>
        </xdr:cNvPr>
        <xdr:cNvCxnSpPr/>
      </xdr:nvCxnSpPr>
      <xdr:spPr>
        <a:xfrm flipV="1">
          <a:off x="14824825" y="736600"/>
          <a:ext cx="2030846" cy="5588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C3CB27E3-6581-47E6-9E54-1254CE00E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1969" y="1156694"/>
          <a:ext cx="444499" cy="41977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3D039B99-9D2F-4DF0-BF36-6972B0273D7B}"/>
            </a:ext>
          </a:extLst>
        </xdr:cNvPr>
        <xdr:cNvCxnSpPr/>
      </xdr:nvCxnSpPr>
      <xdr:spPr>
        <a:xfrm flipV="1">
          <a:off x="14813280" y="1060335"/>
          <a:ext cx="565035" cy="17687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040BAC28-B7B8-4C41-AE11-1661898C3474}"/>
            </a:ext>
          </a:extLst>
        </xdr:cNvPr>
        <xdr:cNvCxnSpPr>
          <a:endCxn id="13" idx="3"/>
        </xdr:cNvCxnSpPr>
      </xdr:nvCxnSpPr>
      <xdr:spPr>
        <a:xfrm flipH="1" flipV="1">
          <a:off x="13596468" y="1362580"/>
          <a:ext cx="59000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828B6F5-FD76-4956-AD2E-438EC6751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445318" y="2880995"/>
          <a:ext cx="802063" cy="23875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DAEFF59A-3255-44E6-B143-CBE724956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387654" y="2850939"/>
          <a:ext cx="858729" cy="2635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47087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7E7ED8AB-EB6B-4A57-93ED-144E90C53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71998" y="4557990"/>
          <a:ext cx="3542192" cy="92215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35</xdr:row>
      <xdr:rowOff>131609</xdr:rowOff>
    </xdr:from>
    <xdr:to>
      <xdr:col>16</xdr:col>
      <xdr:colOff>102419</xdr:colOff>
      <xdr:row>40</xdr:row>
      <xdr:rowOff>133040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C9A21516-78FE-4CFE-8F8B-0BD1B5024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347696" y="6319049"/>
          <a:ext cx="3477063" cy="91583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4E940E7E-D57B-4453-ABA8-6F978B619415}"/>
            </a:ext>
          </a:extLst>
        </xdr:cNvPr>
        <xdr:cNvCxnSpPr/>
      </xdr:nvCxnSpPr>
      <xdr:spPr>
        <a:xfrm>
          <a:off x="14829667" y="2172929"/>
          <a:ext cx="604646" cy="4560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5DB3139B-AED8-4389-B5CE-930A2FF92A88}"/>
            </a:ext>
          </a:extLst>
        </xdr:cNvPr>
        <xdr:cNvCxnSpPr>
          <a:endCxn id="16" idx="1"/>
        </xdr:cNvCxnSpPr>
      </xdr:nvCxnSpPr>
      <xdr:spPr>
        <a:xfrm>
          <a:off x="14839909" y="2540082"/>
          <a:ext cx="605409" cy="45971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35</xdr:row>
      <xdr:rowOff>142875</xdr:rowOff>
    </xdr:from>
    <xdr:to>
      <xdr:col>8</xdr:col>
      <xdr:colOff>1534583</xdr:colOff>
      <xdr:row>36</xdr:row>
      <xdr:rowOff>169333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56949E3-420C-4A2B-9F13-B16DA3E6466B}"/>
            </a:ext>
          </a:extLst>
        </xdr:cNvPr>
        <xdr:cNvSpPr txBox="1"/>
      </xdr:nvSpPr>
      <xdr:spPr>
        <a:xfrm>
          <a:off x="11502602" y="6330315"/>
          <a:ext cx="418041" cy="255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36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B0EF015-EDB9-4369-84B2-FFCC18B67895}"/>
            </a:ext>
          </a:extLst>
        </xdr:cNvPr>
        <xdr:cNvSpPr txBox="1"/>
      </xdr:nvSpPr>
      <xdr:spPr>
        <a:xfrm>
          <a:off x="12743642" y="650609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1533526</xdr:colOff>
      <xdr:row>23</xdr:row>
      <xdr:rowOff>138546</xdr:rowOff>
    </xdr:from>
    <xdr:to>
      <xdr:col>6</xdr:col>
      <xdr:colOff>103909</xdr:colOff>
      <xdr:row>35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2340834C-AA87-4775-8471-B0E200220F25}"/>
            </a:ext>
          </a:extLst>
        </xdr:cNvPr>
        <xdr:cNvCxnSpPr/>
      </xdr:nvCxnSpPr>
      <xdr:spPr>
        <a:xfrm flipH="1">
          <a:off x="7515226" y="4200006"/>
          <a:ext cx="1427883" cy="198743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33</xdr:row>
      <xdr:rowOff>160020</xdr:rowOff>
    </xdr:from>
    <xdr:to>
      <xdr:col>10</xdr:col>
      <xdr:colOff>12928</xdr:colOff>
      <xdr:row>41</xdr:row>
      <xdr:rowOff>128762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436A3B64-1F34-49D2-89B9-FAA06A6AD783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06380" y="5935980"/>
          <a:ext cx="4488408" cy="146226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123827</xdr:colOff>
      <xdr:row>22</xdr:row>
      <xdr:rowOff>43295</xdr:rowOff>
    </xdr:from>
    <xdr:to>
      <xdr:col>6</xdr:col>
      <xdr:colOff>77932</xdr:colOff>
      <xdr:row>33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723B9A78-5811-4767-9578-3AC56E07DDA2}"/>
            </a:ext>
          </a:extLst>
        </xdr:cNvPr>
        <xdr:cNvCxnSpPr/>
      </xdr:nvCxnSpPr>
      <xdr:spPr>
        <a:xfrm flipH="1">
          <a:off x="5495927" y="3937115"/>
          <a:ext cx="3421205" cy="184837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35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18535743-14AF-4A9C-848C-A57DA1670CCF}"/>
            </a:ext>
          </a:extLst>
        </xdr:cNvPr>
        <xdr:cNvCxnSpPr/>
      </xdr:nvCxnSpPr>
      <xdr:spPr>
        <a:xfrm flipH="1">
          <a:off x="3295650" y="4488180"/>
          <a:ext cx="1558290" cy="16992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25FE1DBE-9117-47E0-970E-912B55856B54}"/>
            </a:ext>
          </a:extLst>
        </xdr:cNvPr>
        <xdr:cNvCxnSpPr/>
      </xdr:nvCxnSpPr>
      <xdr:spPr>
        <a:xfrm flipH="1">
          <a:off x="524827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F14E49BA-E8E2-4BDF-A0B5-91D7FCD1FD90}"/>
            </a:ext>
          </a:extLst>
        </xdr:cNvPr>
        <xdr:cNvCxnSpPr/>
      </xdr:nvCxnSpPr>
      <xdr:spPr>
        <a:xfrm flipV="1">
          <a:off x="14879743" y="3535682"/>
          <a:ext cx="512657" cy="1523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6F9966A4-9896-46EC-9D14-D675852D31E4}"/>
            </a:ext>
          </a:extLst>
        </xdr:cNvPr>
        <xdr:cNvCxnSpPr/>
      </xdr:nvCxnSpPr>
      <xdr:spPr>
        <a:xfrm>
          <a:off x="14641830" y="4665345"/>
          <a:ext cx="75057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D9B8361B-DD2D-45E0-8F7E-E52337F5D98A}"/>
            </a:ext>
          </a:extLst>
        </xdr:cNvPr>
        <xdr:cNvCxnSpPr/>
      </xdr:nvCxnSpPr>
      <xdr:spPr>
        <a:xfrm>
          <a:off x="14714220" y="1584960"/>
          <a:ext cx="666569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67FA2F67-CC4E-4890-9E38-1EEC9047D81A}"/>
            </a:ext>
          </a:extLst>
        </xdr:cNvPr>
        <xdr:cNvCxnSpPr/>
      </xdr:nvCxnSpPr>
      <xdr:spPr>
        <a:xfrm>
          <a:off x="14733058" y="1767205"/>
          <a:ext cx="656046" cy="34507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816136A-14C6-433F-8CC7-9AB42DFC5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40004" y="611252"/>
          <a:ext cx="2297975" cy="14822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ECDA11AF-9450-42E5-8D36-D71A8640318C}"/>
            </a:ext>
          </a:extLst>
        </xdr:cNvPr>
        <xdr:cNvCxnSpPr/>
      </xdr:nvCxnSpPr>
      <xdr:spPr>
        <a:xfrm flipV="1">
          <a:off x="14824825" y="736600"/>
          <a:ext cx="2030846" cy="5588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C2A9DD7-09AC-495F-ADE9-24FF615E5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1969" y="1156694"/>
          <a:ext cx="444499" cy="41977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32054905-24EA-41B9-8958-813F8502FBBF}"/>
            </a:ext>
          </a:extLst>
        </xdr:cNvPr>
        <xdr:cNvCxnSpPr/>
      </xdr:nvCxnSpPr>
      <xdr:spPr>
        <a:xfrm flipV="1">
          <a:off x="14813280" y="1060335"/>
          <a:ext cx="565035" cy="17687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DF4BA17E-6D64-476C-9F1C-6D42E2106CEB}"/>
            </a:ext>
          </a:extLst>
        </xdr:cNvPr>
        <xdr:cNvCxnSpPr>
          <a:endCxn id="13" idx="3"/>
        </xdr:cNvCxnSpPr>
      </xdr:nvCxnSpPr>
      <xdr:spPr>
        <a:xfrm flipH="1" flipV="1">
          <a:off x="13596468" y="1362580"/>
          <a:ext cx="59000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529C86A7-B089-435C-A76D-0C396333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445318" y="2880995"/>
          <a:ext cx="802063" cy="23875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4F6BA33-2295-49E2-A228-1A605422D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387654" y="2850939"/>
          <a:ext cx="858729" cy="2635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47087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B084122-824B-48AE-8C11-1D98C1EF7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71998" y="4557990"/>
          <a:ext cx="3542192" cy="92215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35</xdr:row>
      <xdr:rowOff>131609</xdr:rowOff>
    </xdr:from>
    <xdr:to>
      <xdr:col>16</xdr:col>
      <xdr:colOff>102419</xdr:colOff>
      <xdr:row>40</xdr:row>
      <xdr:rowOff>133040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5F16199-0BBD-4ACA-8311-00C20E386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347696" y="6319049"/>
          <a:ext cx="3477063" cy="91583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6DE69926-ECD0-4552-BE0C-9CE01B3BDECC}"/>
            </a:ext>
          </a:extLst>
        </xdr:cNvPr>
        <xdr:cNvCxnSpPr/>
      </xdr:nvCxnSpPr>
      <xdr:spPr>
        <a:xfrm>
          <a:off x="14829667" y="2172929"/>
          <a:ext cx="604646" cy="4560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15EAA1E5-4D76-427B-9298-2154E2D99F1B}"/>
            </a:ext>
          </a:extLst>
        </xdr:cNvPr>
        <xdr:cNvCxnSpPr>
          <a:endCxn id="16" idx="1"/>
        </xdr:cNvCxnSpPr>
      </xdr:nvCxnSpPr>
      <xdr:spPr>
        <a:xfrm>
          <a:off x="14839909" y="2540082"/>
          <a:ext cx="605409" cy="45971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35</xdr:row>
      <xdr:rowOff>142875</xdr:rowOff>
    </xdr:from>
    <xdr:to>
      <xdr:col>8</xdr:col>
      <xdr:colOff>1534583</xdr:colOff>
      <xdr:row>36</xdr:row>
      <xdr:rowOff>169333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F8A7281-D6EB-4EAD-835D-038E8B2C7A9A}"/>
            </a:ext>
          </a:extLst>
        </xdr:cNvPr>
        <xdr:cNvSpPr txBox="1"/>
      </xdr:nvSpPr>
      <xdr:spPr>
        <a:xfrm>
          <a:off x="11502602" y="6330315"/>
          <a:ext cx="418041" cy="255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36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936239C-2BDA-414E-B594-5E95012DCA0A}"/>
            </a:ext>
          </a:extLst>
        </xdr:cNvPr>
        <xdr:cNvSpPr txBox="1"/>
      </xdr:nvSpPr>
      <xdr:spPr>
        <a:xfrm>
          <a:off x="12743642" y="650609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1533526</xdr:colOff>
      <xdr:row>23</xdr:row>
      <xdr:rowOff>138546</xdr:rowOff>
    </xdr:from>
    <xdr:to>
      <xdr:col>6</xdr:col>
      <xdr:colOff>103909</xdr:colOff>
      <xdr:row>35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1C103171-5657-483D-B483-2A2F4AF393F5}"/>
            </a:ext>
          </a:extLst>
        </xdr:cNvPr>
        <xdr:cNvCxnSpPr/>
      </xdr:nvCxnSpPr>
      <xdr:spPr>
        <a:xfrm flipH="1">
          <a:off x="7515226" y="4200006"/>
          <a:ext cx="1427883" cy="198743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33</xdr:row>
      <xdr:rowOff>160020</xdr:rowOff>
    </xdr:from>
    <xdr:to>
      <xdr:col>10</xdr:col>
      <xdr:colOff>12928</xdr:colOff>
      <xdr:row>41</xdr:row>
      <xdr:rowOff>128762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6FA5718D-EB93-49A0-8B69-E46CDB42033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06380" y="5935980"/>
          <a:ext cx="4488408" cy="146226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123827</xdr:colOff>
      <xdr:row>22</xdr:row>
      <xdr:rowOff>43295</xdr:rowOff>
    </xdr:from>
    <xdr:to>
      <xdr:col>6</xdr:col>
      <xdr:colOff>77932</xdr:colOff>
      <xdr:row>33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800D53FF-D850-4B26-B477-B58B0AED3AA6}"/>
            </a:ext>
          </a:extLst>
        </xdr:cNvPr>
        <xdr:cNvCxnSpPr/>
      </xdr:nvCxnSpPr>
      <xdr:spPr>
        <a:xfrm flipH="1">
          <a:off x="5495927" y="3937115"/>
          <a:ext cx="3421205" cy="184837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35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9B9E735C-C705-4DA5-8BEA-DBF1D3EEE057}"/>
            </a:ext>
          </a:extLst>
        </xdr:cNvPr>
        <xdr:cNvCxnSpPr/>
      </xdr:nvCxnSpPr>
      <xdr:spPr>
        <a:xfrm flipH="1">
          <a:off x="3295650" y="4488180"/>
          <a:ext cx="1558290" cy="16992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7A617D44-440D-4D0B-BA35-0E422095AF38}"/>
            </a:ext>
          </a:extLst>
        </xdr:cNvPr>
        <xdr:cNvCxnSpPr/>
      </xdr:nvCxnSpPr>
      <xdr:spPr>
        <a:xfrm flipH="1">
          <a:off x="524827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5F32AD21-C888-4C08-A741-A4EB2D850E90}"/>
            </a:ext>
          </a:extLst>
        </xdr:cNvPr>
        <xdr:cNvCxnSpPr/>
      </xdr:nvCxnSpPr>
      <xdr:spPr>
        <a:xfrm flipV="1">
          <a:off x="14879743" y="3535682"/>
          <a:ext cx="512657" cy="1523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348F9744-BCFC-4A7F-BF3D-71D2B21DC25F}"/>
            </a:ext>
          </a:extLst>
        </xdr:cNvPr>
        <xdr:cNvCxnSpPr/>
      </xdr:nvCxnSpPr>
      <xdr:spPr>
        <a:xfrm>
          <a:off x="14641830" y="4665345"/>
          <a:ext cx="75057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A51B408C-4E18-4593-82D9-759798D5030A}"/>
            </a:ext>
          </a:extLst>
        </xdr:cNvPr>
        <xdr:cNvCxnSpPr/>
      </xdr:nvCxnSpPr>
      <xdr:spPr>
        <a:xfrm>
          <a:off x="14714220" y="1584960"/>
          <a:ext cx="666569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2BE3DB22-F349-4758-BD25-DE4C9E306653}"/>
            </a:ext>
          </a:extLst>
        </xdr:cNvPr>
        <xdr:cNvCxnSpPr/>
      </xdr:nvCxnSpPr>
      <xdr:spPr>
        <a:xfrm>
          <a:off x="14733058" y="1767205"/>
          <a:ext cx="656046" cy="34507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B1A56E3-F189-403E-AEB3-BC79F7764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40004" y="611252"/>
          <a:ext cx="2297975" cy="14822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591AFA38-7C3B-437F-8331-2FFF5F98F9E8}"/>
            </a:ext>
          </a:extLst>
        </xdr:cNvPr>
        <xdr:cNvCxnSpPr/>
      </xdr:nvCxnSpPr>
      <xdr:spPr>
        <a:xfrm flipV="1">
          <a:off x="14824825" y="736600"/>
          <a:ext cx="2030846" cy="5588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441C998D-C958-43FB-85E1-E98A14BE8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1969" y="1156694"/>
          <a:ext cx="444499" cy="41977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8D1F27D2-75AC-43A0-AF75-3C0B61821B19}"/>
            </a:ext>
          </a:extLst>
        </xdr:cNvPr>
        <xdr:cNvCxnSpPr/>
      </xdr:nvCxnSpPr>
      <xdr:spPr>
        <a:xfrm flipV="1">
          <a:off x="14813280" y="1060335"/>
          <a:ext cx="565035" cy="17687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01EFB8D2-0323-4B4B-8441-5D89A6505904}"/>
            </a:ext>
          </a:extLst>
        </xdr:cNvPr>
        <xdr:cNvCxnSpPr>
          <a:endCxn id="13" idx="3"/>
        </xdr:cNvCxnSpPr>
      </xdr:nvCxnSpPr>
      <xdr:spPr>
        <a:xfrm flipH="1" flipV="1">
          <a:off x="13596468" y="1362580"/>
          <a:ext cx="59000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F05446CC-8AD9-4F82-A94D-3B35E9C94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445318" y="2880995"/>
          <a:ext cx="802063" cy="23875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913331F7-3E15-4B6F-A572-D9348ADE4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387654" y="2850939"/>
          <a:ext cx="858729" cy="2635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47087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DF6AB27D-E817-4D3E-8DC2-3B4C16B0B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71998" y="4557990"/>
          <a:ext cx="3542192" cy="92215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35</xdr:row>
      <xdr:rowOff>131609</xdr:rowOff>
    </xdr:from>
    <xdr:to>
      <xdr:col>16</xdr:col>
      <xdr:colOff>102419</xdr:colOff>
      <xdr:row>40</xdr:row>
      <xdr:rowOff>133040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C91EDA73-DBB1-4294-87DD-A932898A0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347696" y="6319049"/>
          <a:ext cx="3477063" cy="91583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6817E063-A40E-49C3-9942-0C53612DA154}"/>
            </a:ext>
          </a:extLst>
        </xdr:cNvPr>
        <xdr:cNvCxnSpPr/>
      </xdr:nvCxnSpPr>
      <xdr:spPr>
        <a:xfrm>
          <a:off x="14829667" y="2172929"/>
          <a:ext cx="604646" cy="4560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B569C4F4-6CF7-4E21-8763-5D99A49D2BD2}"/>
            </a:ext>
          </a:extLst>
        </xdr:cNvPr>
        <xdr:cNvCxnSpPr>
          <a:endCxn id="16" idx="1"/>
        </xdr:cNvCxnSpPr>
      </xdr:nvCxnSpPr>
      <xdr:spPr>
        <a:xfrm>
          <a:off x="14839909" y="2540082"/>
          <a:ext cx="605409" cy="45971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35</xdr:row>
      <xdr:rowOff>142875</xdr:rowOff>
    </xdr:from>
    <xdr:to>
      <xdr:col>8</xdr:col>
      <xdr:colOff>1534583</xdr:colOff>
      <xdr:row>36</xdr:row>
      <xdr:rowOff>169333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A5D8232-1896-4395-A01F-28BF03778379}"/>
            </a:ext>
          </a:extLst>
        </xdr:cNvPr>
        <xdr:cNvSpPr txBox="1"/>
      </xdr:nvSpPr>
      <xdr:spPr>
        <a:xfrm>
          <a:off x="11502602" y="6330315"/>
          <a:ext cx="418041" cy="255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36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1C4F032-2E86-419D-8097-4DE522B1F1B8}"/>
            </a:ext>
          </a:extLst>
        </xdr:cNvPr>
        <xdr:cNvSpPr txBox="1"/>
      </xdr:nvSpPr>
      <xdr:spPr>
        <a:xfrm>
          <a:off x="12743642" y="650609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1533526</xdr:colOff>
      <xdr:row>23</xdr:row>
      <xdr:rowOff>138546</xdr:rowOff>
    </xdr:from>
    <xdr:to>
      <xdr:col>6</xdr:col>
      <xdr:colOff>103909</xdr:colOff>
      <xdr:row>35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B25D2275-4E32-44C9-BDFA-D78D2655AE87}"/>
            </a:ext>
          </a:extLst>
        </xdr:cNvPr>
        <xdr:cNvCxnSpPr/>
      </xdr:nvCxnSpPr>
      <xdr:spPr>
        <a:xfrm flipH="1">
          <a:off x="7515226" y="4200006"/>
          <a:ext cx="1427883" cy="198743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33</xdr:row>
      <xdr:rowOff>160020</xdr:rowOff>
    </xdr:from>
    <xdr:to>
      <xdr:col>10</xdr:col>
      <xdr:colOff>12928</xdr:colOff>
      <xdr:row>41</xdr:row>
      <xdr:rowOff>128762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4ABAEB90-4727-4375-9CFB-B139A293680F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06380" y="5935980"/>
          <a:ext cx="4488408" cy="146226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123827</xdr:colOff>
      <xdr:row>22</xdr:row>
      <xdr:rowOff>43295</xdr:rowOff>
    </xdr:from>
    <xdr:to>
      <xdr:col>6</xdr:col>
      <xdr:colOff>77932</xdr:colOff>
      <xdr:row>33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1E1943A0-693E-43BB-9C5B-5ED4622D7AA1}"/>
            </a:ext>
          </a:extLst>
        </xdr:cNvPr>
        <xdr:cNvCxnSpPr/>
      </xdr:nvCxnSpPr>
      <xdr:spPr>
        <a:xfrm flipH="1">
          <a:off x="5495927" y="3937115"/>
          <a:ext cx="3421205" cy="184837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35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F4C7BA37-FC31-46F8-B9DF-AF18F740448A}"/>
            </a:ext>
          </a:extLst>
        </xdr:cNvPr>
        <xdr:cNvCxnSpPr/>
      </xdr:nvCxnSpPr>
      <xdr:spPr>
        <a:xfrm flipH="1">
          <a:off x="3295650" y="4488180"/>
          <a:ext cx="1558290" cy="16992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2276943A-CA3C-4C17-B94D-EB7AC42F4C71}"/>
            </a:ext>
          </a:extLst>
        </xdr:cNvPr>
        <xdr:cNvCxnSpPr/>
      </xdr:nvCxnSpPr>
      <xdr:spPr>
        <a:xfrm flipH="1">
          <a:off x="524827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4714C4A-81BB-43D3-8AE7-82D82EE05B59}"/>
            </a:ext>
          </a:extLst>
        </xdr:cNvPr>
        <xdr:cNvCxnSpPr/>
      </xdr:nvCxnSpPr>
      <xdr:spPr>
        <a:xfrm flipV="1">
          <a:off x="14879743" y="3535682"/>
          <a:ext cx="512657" cy="1523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56B23071-9D58-4100-BEA0-73FE1FE3A94C}"/>
            </a:ext>
          </a:extLst>
        </xdr:cNvPr>
        <xdr:cNvCxnSpPr/>
      </xdr:nvCxnSpPr>
      <xdr:spPr>
        <a:xfrm>
          <a:off x="14641830" y="4665345"/>
          <a:ext cx="75057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2B59E8E1-0A22-4E73-B72F-9C9FC8D209F5}"/>
            </a:ext>
          </a:extLst>
        </xdr:cNvPr>
        <xdr:cNvCxnSpPr/>
      </xdr:nvCxnSpPr>
      <xdr:spPr>
        <a:xfrm>
          <a:off x="14714220" y="1584960"/>
          <a:ext cx="666569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EAE1E91F-40AE-4805-AEC5-3357A10AA973}"/>
            </a:ext>
          </a:extLst>
        </xdr:cNvPr>
        <xdr:cNvCxnSpPr/>
      </xdr:nvCxnSpPr>
      <xdr:spPr>
        <a:xfrm>
          <a:off x="14733058" y="1767205"/>
          <a:ext cx="656046" cy="34507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1971641-A4B1-45FF-A8FA-A7E682B67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40004" y="611252"/>
          <a:ext cx="2297975" cy="14822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61A75D60-AABE-49F0-9FEE-14D107721819}"/>
            </a:ext>
          </a:extLst>
        </xdr:cNvPr>
        <xdr:cNvCxnSpPr/>
      </xdr:nvCxnSpPr>
      <xdr:spPr>
        <a:xfrm flipV="1">
          <a:off x="14824825" y="736600"/>
          <a:ext cx="2030846" cy="5588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C7966D10-09A3-451E-99CE-B61B69E95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1969" y="1156694"/>
          <a:ext cx="444499" cy="41977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15F29EB0-78D8-4D5F-954D-15A68C0D41F2}"/>
            </a:ext>
          </a:extLst>
        </xdr:cNvPr>
        <xdr:cNvCxnSpPr/>
      </xdr:nvCxnSpPr>
      <xdr:spPr>
        <a:xfrm flipV="1">
          <a:off x="14813280" y="1060335"/>
          <a:ext cx="565035" cy="17687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4E604369-63B9-4DE8-9D0F-DB57975E2BD7}"/>
            </a:ext>
          </a:extLst>
        </xdr:cNvPr>
        <xdr:cNvCxnSpPr>
          <a:endCxn id="13" idx="3"/>
        </xdr:cNvCxnSpPr>
      </xdr:nvCxnSpPr>
      <xdr:spPr>
        <a:xfrm flipH="1" flipV="1">
          <a:off x="13596468" y="1362580"/>
          <a:ext cx="59000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E1F5021-B83D-4206-B2DC-2BE427E89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445318" y="2880995"/>
          <a:ext cx="802063" cy="23875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DAF13AD4-544A-4566-86BA-442B11816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387654" y="2850939"/>
          <a:ext cx="858729" cy="2635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47087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E32A7FFF-CC59-4A73-B40C-BCE204F49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71998" y="4557990"/>
          <a:ext cx="3542192" cy="92215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35</xdr:row>
      <xdr:rowOff>131609</xdr:rowOff>
    </xdr:from>
    <xdr:to>
      <xdr:col>16</xdr:col>
      <xdr:colOff>102419</xdr:colOff>
      <xdr:row>40</xdr:row>
      <xdr:rowOff>133040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9F86C52-5604-4AEB-AFF8-1626AAE18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347696" y="6319049"/>
          <a:ext cx="3477063" cy="91583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B50ECD05-B462-45A6-9FDF-D30C4F1458E5}"/>
            </a:ext>
          </a:extLst>
        </xdr:cNvPr>
        <xdr:cNvCxnSpPr/>
      </xdr:nvCxnSpPr>
      <xdr:spPr>
        <a:xfrm>
          <a:off x="14829667" y="2172929"/>
          <a:ext cx="604646" cy="4560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11019B6-3B4B-4F79-A64F-E7FE99EA0B20}"/>
            </a:ext>
          </a:extLst>
        </xdr:cNvPr>
        <xdr:cNvCxnSpPr>
          <a:endCxn id="16" idx="1"/>
        </xdr:cNvCxnSpPr>
      </xdr:nvCxnSpPr>
      <xdr:spPr>
        <a:xfrm>
          <a:off x="14839909" y="2540082"/>
          <a:ext cx="605409" cy="45971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35</xdr:row>
      <xdr:rowOff>142875</xdr:rowOff>
    </xdr:from>
    <xdr:to>
      <xdr:col>8</xdr:col>
      <xdr:colOff>1534583</xdr:colOff>
      <xdr:row>36</xdr:row>
      <xdr:rowOff>169333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221D0E8-9217-4B58-8168-BFAB576A3B83}"/>
            </a:ext>
          </a:extLst>
        </xdr:cNvPr>
        <xdr:cNvSpPr txBox="1"/>
      </xdr:nvSpPr>
      <xdr:spPr>
        <a:xfrm>
          <a:off x="11502602" y="6330315"/>
          <a:ext cx="418041" cy="255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36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E45DDF0-20B2-4DDD-A530-864B06F32F0B}"/>
            </a:ext>
          </a:extLst>
        </xdr:cNvPr>
        <xdr:cNvSpPr txBox="1"/>
      </xdr:nvSpPr>
      <xdr:spPr>
        <a:xfrm>
          <a:off x="12743642" y="650609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1533526</xdr:colOff>
      <xdr:row>23</xdr:row>
      <xdr:rowOff>138546</xdr:rowOff>
    </xdr:from>
    <xdr:to>
      <xdr:col>6</xdr:col>
      <xdr:colOff>103909</xdr:colOff>
      <xdr:row>35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E47A8B9D-A58B-4968-9CB3-BD5C4442C338}"/>
            </a:ext>
          </a:extLst>
        </xdr:cNvPr>
        <xdr:cNvCxnSpPr/>
      </xdr:nvCxnSpPr>
      <xdr:spPr>
        <a:xfrm flipH="1">
          <a:off x="7515226" y="4200006"/>
          <a:ext cx="1427883" cy="198743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33</xdr:row>
      <xdr:rowOff>160020</xdr:rowOff>
    </xdr:from>
    <xdr:to>
      <xdr:col>10</xdr:col>
      <xdr:colOff>12928</xdr:colOff>
      <xdr:row>41</xdr:row>
      <xdr:rowOff>128762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65504097-0537-4478-8B77-760A0E7AC10C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06380" y="5935980"/>
          <a:ext cx="4488408" cy="146226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123827</xdr:colOff>
      <xdr:row>22</xdr:row>
      <xdr:rowOff>43295</xdr:rowOff>
    </xdr:from>
    <xdr:to>
      <xdr:col>6</xdr:col>
      <xdr:colOff>77932</xdr:colOff>
      <xdr:row>33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8E11792F-7647-44DD-9D10-7A5E9A0B5664}"/>
            </a:ext>
          </a:extLst>
        </xdr:cNvPr>
        <xdr:cNvCxnSpPr/>
      </xdr:nvCxnSpPr>
      <xdr:spPr>
        <a:xfrm flipH="1">
          <a:off x="5495927" y="3937115"/>
          <a:ext cx="3421205" cy="184837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35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EBFC8199-1A13-4E97-BF7F-1ADD9180B4C5}"/>
            </a:ext>
          </a:extLst>
        </xdr:cNvPr>
        <xdr:cNvCxnSpPr/>
      </xdr:nvCxnSpPr>
      <xdr:spPr>
        <a:xfrm flipH="1">
          <a:off x="3295650" y="4488180"/>
          <a:ext cx="1558290" cy="16992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E4B86801-38CA-423F-B2FB-F847061EBAC4}"/>
            </a:ext>
          </a:extLst>
        </xdr:cNvPr>
        <xdr:cNvCxnSpPr/>
      </xdr:nvCxnSpPr>
      <xdr:spPr>
        <a:xfrm flipH="1">
          <a:off x="524827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4EC13A6B-572B-4114-A963-DF00216957C1}"/>
            </a:ext>
          </a:extLst>
        </xdr:cNvPr>
        <xdr:cNvCxnSpPr/>
      </xdr:nvCxnSpPr>
      <xdr:spPr>
        <a:xfrm flipV="1">
          <a:off x="14879743" y="3535682"/>
          <a:ext cx="512657" cy="1523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E0222FF9-02EC-4788-8E30-E388B3D39F0D}"/>
            </a:ext>
          </a:extLst>
        </xdr:cNvPr>
        <xdr:cNvCxnSpPr/>
      </xdr:nvCxnSpPr>
      <xdr:spPr>
        <a:xfrm>
          <a:off x="14641830" y="4665345"/>
          <a:ext cx="75057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308BE28A-1A41-4C05-8D87-4E6220146379}"/>
            </a:ext>
          </a:extLst>
        </xdr:cNvPr>
        <xdr:cNvCxnSpPr/>
      </xdr:nvCxnSpPr>
      <xdr:spPr>
        <a:xfrm>
          <a:off x="14714220" y="1584960"/>
          <a:ext cx="666569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6563720F-F7F2-42A9-93BE-DAA79B7DF2AC}"/>
            </a:ext>
          </a:extLst>
        </xdr:cNvPr>
        <xdr:cNvCxnSpPr/>
      </xdr:nvCxnSpPr>
      <xdr:spPr>
        <a:xfrm>
          <a:off x="14733058" y="1767205"/>
          <a:ext cx="656046" cy="34507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CBE1FD1-8F5B-4C31-9DE5-2066A4339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40004" y="611252"/>
          <a:ext cx="2297975" cy="14822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DF895B1A-59F9-4118-98CA-EF095DE5CF00}"/>
            </a:ext>
          </a:extLst>
        </xdr:cNvPr>
        <xdr:cNvCxnSpPr/>
      </xdr:nvCxnSpPr>
      <xdr:spPr>
        <a:xfrm flipV="1">
          <a:off x="14824825" y="736600"/>
          <a:ext cx="2030846" cy="5588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8C0C367-249D-4678-918F-4CCD26617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1969" y="1156694"/>
          <a:ext cx="444499" cy="41977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B70324F0-FABC-4FCB-9D3B-B0B7296DEC14}"/>
            </a:ext>
          </a:extLst>
        </xdr:cNvPr>
        <xdr:cNvCxnSpPr/>
      </xdr:nvCxnSpPr>
      <xdr:spPr>
        <a:xfrm flipV="1">
          <a:off x="14813280" y="1060335"/>
          <a:ext cx="565035" cy="17687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15E941D6-CE2E-4AA5-8EA4-857B62196BA1}"/>
            </a:ext>
          </a:extLst>
        </xdr:cNvPr>
        <xdr:cNvCxnSpPr>
          <a:endCxn id="13" idx="3"/>
        </xdr:cNvCxnSpPr>
      </xdr:nvCxnSpPr>
      <xdr:spPr>
        <a:xfrm flipH="1" flipV="1">
          <a:off x="13596468" y="1362580"/>
          <a:ext cx="59000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78CE3368-57ED-49C2-A8CD-DD3C7729B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445318" y="2880995"/>
          <a:ext cx="802063" cy="23875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FADBAC9-BDC2-47B4-81D0-7393649D2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387654" y="2850939"/>
          <a:ext cx="858729" cy="2635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47087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16C5864E-45EB-4A67-8AB4-7D5D37F63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71998" y="4557990"/>
          <a:ext cx="3542192" cy="92215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35</xdr:row>
      <xdr:rowOff>131609</xdr:rowOff>
    </xdr:from>
    <xdr:to>
      <xdr:col>16</xdr:col>
      <xdr:colOff>102419</xdr:colOff>
      <xdr:row>40</xdr:row>
      <xdr:rowOff>133040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BCC258A-24DB-4908-95F8-05856978D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347696" y="6319049"/>
          <a:ext cx="3477063" cy="91583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C38876E3-8545-45A4-A10E-03B92FF1E38B}"/>
            </a:ext>
          </a:extLst>
        </xdr:cNvPr>
        <xdr:cNvCxnSpPr/>
      </xdr:nvCxnSpPr>
      <xdr:spPr>
        <a:xfrm>
          <a:off x="14829667" y="2172929"/>
          <a:ext cx="604646" cy="4560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8C96D1A2-A9A2-4D0E-B22B-E2C756A85B1E}"/>
            </a:ext>
          </a:extLst>
        </xdr:cNvPr>
        <xdr:cNvCxnSpPr>
          <a:endCxn id="16" idx="1"/>
        </xdr:cNvCxnSpPr>
      </xdr:nvCxnSpPr>
      <xdr:spPr>
        <a:xfrm>
          <a:off x="14839909" y="2540082"/>
          <a:ext cx="605409" cy="45971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35</xdr:row>
      <xdr:rowOff>142875</xdr:rowOff>
    </xdr:from>
    <xdr:to>
      <xdr:col>8</xdr:col>
      <xdr:colOff>1534583</xdr:colOff>
      <xdr:row>36</xdr:row>
      <xdr:rowOff>169333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62C455E-5DB2-4796-A311-9E945D14D560}"/>
            </a:ext>
          </a:extLst>
        </xdr:cNvPr>
        <xdr:cNvSpPr txBox="1"/>
      </xdr:nvSpPr>
      <xdr:spPr>
        <a:xfrm>
          <a:off x="11502602" y="6330315"/>
          <a:ext cx="418041" cy="255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36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3B82BAE-34D4-4A89-9C8E-D73609967013}"/>
            </a:ext>
          </a:extLst>
        </xdr:cNvPr>
        <xdr:cNvSpPr txBox="1"/>
      </xdr:nvSpPr>
      <xdr:spPr>
        <a:xfrm>
          <a:off x="12743642" y="650609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1533526</xdr:colOff>
      <xdr:row>23</xdr:row>
      <xdr:rowOff>138546</xdr:rowOff>
    </xdr:from>
    <xdr:to>
      <xdr:col>6</xdr:col>
      <xdr:colOff>103909</xdr:colOff>
      <xdr:row>35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41EDDBAC-0A7B-434C-8AE2-A15CAD627C97}"/>
            </a:ext>
          </a:extLst>
        </xdr:cNvPr>
        <xdr:cNvCxnSpPr/>
      </xdr:nvCxnSpPr>
      <xdr:spPr>
        <a:xfrm flipH="1">
          <a:off x="7515226" y="4200006"/>
          <a:ext cx="1427883" cy="127115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33</xdr:row>
      <xdr:rowOff>160020</xdr:rowOff>
    </xdr:from>
    <xdr:to>
      <xdr:col>10</xdr:col>
      <xdr:colOff>12928</xdr:colOff>
      <xdr:row>41</xdr:row>
      <xdr:rowOff>128762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28D6687E-6D1E-4FB4-8353-23EB7855754F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06380" y="5265420"/>
          <a:ext cx="4488408" cy="146947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123827</xdr:colOff>
      <xdr:row>22</xdr:row>
      <xdr:rowOff>43295</xdr:rowOff>
    </xdr:from>
    <xdr:to>
      <xdr:col>6</xdr:col>
      <xdr:colOff>77932</xdr:colOff>
      <xdr:row>33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6854EAFE-D697-4368-BC72-6ECB889239C4}"/>
            </a:ext>
          </a:extLst>
        </xdr:cNvPr>
        <xdr:cNvCxnSpPr/>
      </xdr:nvCxnSpPr>
      <xdr:spPr>
        <a:xfrm flipH="1">
          <a:off x="5495927" y="3937115"/>
          <a:ext cx="3421205" cy="117781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35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AC741CA4-98AA-40E3-957E-FB10A7E60A97}"/>
            </a:ext>
          </a:extLst>
        </xdr:cNvPr>
        <xdr:cNvCxnSpPr/>
      </xdr:nvCxnSpPr>
      <xdr:spPr>
        <a:xfrm flipH="1">
          <a:off x="3295650" y="4488180"/>
          <a:ext cx="1558290" cy="98298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8B8D9624-198E-4667-9F18-ABD87B6E5566}"/>
            </a:ext>
          </a:extLst>
        </xdr:cNvPr>
        <xdr:cNvCxnSpPr/>
      </xdr:nvCxnSpPr>
      <xdr:spPr>
        <a:xfrm flipH="1">
          <a:off x="5248275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87A507F8-6E70-4E3C-8FDE-8AF4D7CE1064}"/>
            </a:ext>
          </a:extLst>
        </xdr:cNvPr>
        <xdr:cNvCxnSpPr/>
      </xdr:nvCxnSpPr>
      <xdr:spPr>
        <a:xfrm flipV="1">
          <a:off x="14879743" y="3535682"/>
          <a:ext cx="512657" cy="1523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14903A88-2433-4F37-8C96-06C85B2C7E7A}"/>
            </a:ext>
          </a:extLst>
        </xdr:cNvPr>
        <xdr:cNvCxnSpPr/>
      </xdr:nvCxnSpPr>
      <xdr:spPr>
        <a:xfrm>
          <a:off x="14641830" y="4665345"/>
          <a:ext cx="75057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C8E681E2-3A8B-41A2-97F4-3AE3B2F66B33}"/>
            </a:ext>
          </a:extLst>
        </xdr:cNvPr>
        <xdr:cNvCxnSpPr/>
      </xdr:nvCxnSpPr>
      <xdr:spPr>
        <a:xfrm>
          <a:off x="14714220" y="1584960"/>
          <a:ext cx="666569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BA52EEBE-9065-43C2-B5B9-C3601CA893E5}"/>
            </a:ext>
          </a:extLst>
        </xdr:cNvPr>
        <xdr:cNvCxnSpPr/>
      </xdr:nvCxnSpPr>
      <xdr:spPr>
        <a:xfrm>
          <a:off x="14733058" y="1767205"/>
          <a:ext cx="656046" cy="34507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8713F1E-2169-4590-8C36-0FD5E1AF7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40004" y="611252"/>
          <a:ext cx="2297975" cy="14822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9C67E991-2D71-4B06-8713-A5FC85CFA52A}"/>
            </a:ext>
          </a:extLst>
        </xdr:cNvPr>
        <xdr:cNvCxnSpPr/>
      </xdr:nvCxnSpPr>
      <xdr:spPr>
        <a:xfrm flipV="1">
          <a:off x="14824825" y="736600"/>
          <a:ext cx="2030846" cy="5588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5C7C6B36-D52B-4A21-89D7-0DD2C40B8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1969" y="1156694"/>
          <a:ext cx="444499" cy="41977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C134EE8A-89E4-48E4-8058-E99A72436002}"/>
            </a:ext>
          </a:extLst>
        </xdr:cNvPr>
        <xdr:cNvCxnSpPr/>
      </xdr:nvCxnSpPr>
      <xdr:spPr>
        <a:xfrm flipV="1">
          <a:off x="14813280" y="1060335"/>
          <a:ext cx="565035" cy="17687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70E3D78D-60CB-41CC-93C6-8773C47A7EA2}"/>
            </a:ext>
          </a:extLst>
        </xdr:cNvPr>
        <xdr:cNvCxnSpPr>
          <a:endCxn id="13" idx="3"/>
        </xdr:cNvCxnSpPr>
      </xdr:nvCxnSpPr>
      <xdr:spPr>
        <a:xfrm flipH="1" flipV="1">
          <a:off x="13596468" y="1362580"/>
          <a:ext cx="59000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19BB8E45-8218-4DE3-821E-44C3B7AA1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445318" y="2880995"/>
          <a:ext cx="802063" cy="23875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167B277-F496-40C5-811A-3F74D0CA4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387654" y="2850939"/>
          <a:ext cx="858729" cy="2635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47087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48631448-5560-4BDB-8149-7C73B71F2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71998" y="4557990"/>
          <a:ext cx="3542192" cy="91929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35</xdr:row>
      <xdr:rowOff>131609</xdr:rowOff>
    </xdr:from>
    <xdr:to>
      <xdr:col>16</xdr:col>
      <xdr:colOff>102419</xdr:colOff>
      <xdr:row>40</xdr:row>
      <xdr:rowOff>133040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FB183035-8B4E-4BAE-B67C-D8A75EDF3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347696" y="5602769"/>
          <a:ext cx="3477063" cy="91583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439AAC43-909B-490E-9438-FD4CCDDFB347}"/>
            </a:ext>
          </a:extLst>
        </xdr:cNvPr>
        <xdr:cNvCxnSpPr/>
      </xdr:nvCxnSpPr>
      <xdr:spPr>
        <a:xfrm>
          <a:off x="14829667" y="2172929"/>
          <a:ext cx="604646" cy="45608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7848E6B3-F1ED-4921-9918-4F97194934BB}"/>
            </a:ext>
          </a:extLst>
        </xdr:cNvPr>
        <xdr:cNvCxnSpPr>
          <a:endCxn id="16" idx="1"/>
        </xdr:cNvCxnSpPr>
      </xdr:nvCxnSpPr>
      <xdr:spPr>
        <a:xfrm>
          <a:off x="14839909" y="2540082"/>
          <a:ext cx="605409" cy="45971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35</xdr:row>
      <xdr:rowOff>142875</xdr:rowOff>
    </xdr:from>
    <xdr:to>
      <xdr:col>8</xdr:col>
      <xdr:colOff>1534583</xdr:colOff>
      <xdr:row>36</xdr:row>
      <xdr:rowOff>169333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2209E5C4-1E9E-40CF-9C77-BD1C2BBF7A01}"/>
            </a:ext>
          </a:extLst>
        </xdr:cNvPr>
        <xdr:cNvSpPr txBox="1"/>
      </xdr:nvSpPr>
      <xdr:spPr>
        <a:xfrm>
          <a:off x="11502602" y="5614035"/>
          <a:ext cx="418041" cy="255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36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BA56B94-F99B-46A5-87F9-61FED724F4DF}"/>
            </a:ext>
          </a:extLst>
        </xdr:cNvPr>
        <xdr:cNvSpPr txBox="1"/>
      </xdr:nvSpPr>
      <xdr:spPr>
        <a:xfrm>
          <a:off x="12743642" y="578981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1533526</xdr:colOff>
      <xdr:row>23</xdr:row>
      <xdr:rowOff>138546</xdr:rowOff>
    </xdr:from>
    <xdr:to>
      <xdr:col>6</xdr:col>
      <xdr:colOff>103909</xdr:colOff>
      <xdr:row>31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7404390" y="4173682"/>
          <a:ext cx="1349951" cy="128154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29</xdr:row>
      <xdr:rowOff>160020</xdr:rowOff>
    </xdr:from>
    <xdr:to>
      <xdr:col>10</xdr:col>
      <xdr:colOff>12928</xdr:colOff>
      <xdr:row>38</xdr:row>
      <xdr:rowOff>14052</xdr:rowOff>
    </xdr:to>
    <xdr:pic>
      <xdr:nvPicPr>
        <xdr:cNvPr id="7" name="Content Placeholder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18156" y="5223856"/>
          <a:ext cx="4488408" cy="145784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123827</xdr:colOff>
      <xdr:row>22</xdr:row>
      <xdr:rowOff>43295</xdr:rowOff>
    </xdr:from>
    <xdr:to>
      <xdr:col>6</xdr:col>
      <xdr:colOff>77932</xdr:colOff>
      <xdr:row>29</xdr:row>
      <xdr:rowOff>9525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>
          <a:off x="5388554" y="3913909"/>
          <a:ext cx="3339810" cy="116118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31</xdr:row>
      <xdr:rowOff>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>
          <a:off x="3295650" y="4411980"/>
          <a:ext cx="1436370" cy="130302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5295900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14964833" y="3401485"/>
          <a:ext cx="529167" cy="63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14592300" y="4448175"/>
          <a:ext cx="51435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CxnSpPr/>
      </xdr:nvCxnSpPr>
      <xdr:spPr>
        <a:xfrm>
          <a:off x="14787154" y="1506583"/>
          <a:ext cx="679632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CxnSpPr/>
      </xdr:nvCxnSpPr>
      <xdr:spPr>
        <a:xfrm>
          <a:off x="14810528" y="1728258"/>
          <a:ext cx="672133" cy="32793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E4B4DBE-E3D3-44A7-A824-1A18EDF48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73469" y="602016"/>
          <a:ext cx="2330534" cy="14517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C443886E-86DD-4062-BA67-31C5E32B19D2}"/>
            </a:ext>
          </a:extLst>
        </xdr:cNvPr>
        <xdr:cNvCxnSpPr/>
      </xdr:nvCxnSpPr>
      <xdr:spPr>
        <a:xfrm flipV="1">
          <a:off x="14916727" y="727364"/>
          <a:ext cx="2072409" cy="57728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2765909</xdr:colOff>
      <xdr:row>6</xdr:row>
      <xdr:rowOff>6074</xdr:rowOff>
    </xdr:from>
    <xdr:to>
      <xdr:col>8</xdr:col>
      <xdr:colOff>3210408</xdr:colOff>
      <xdr:row>8</xdr:row>
      <xdr:rowOff>82947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827C3CF-5472-4E37-8D6B-19662F333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87361" y="1173655"/>
          <a:ext cx="444499" cy="40461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2E340281-E16D-48F0-A504-49059DB7C39B}"/>
            </a:ext>
          </a:extLst>
        </xdr:cNvPr>
        <xdr:cNvCxnSpPr/>
      </xdr:nvCxnSpPr>
      <xdr:spPr>
        <a:xfrm flipV="1">
          <a:off x="14905182" y="1050637"/>
          <a:ext cx="577273" cy="178954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3210408</xdr:colOff>
      <xdr:row>7</xdr:row>
      <xdr:rowOff>44320</xdr:rowOff>
    </xdr:from>
    <xdr:to>
      <xdr:col>9</xdr:col>
      <xdr:colOff>135194</xdr:colOff>
      <xdr:row>7</xdr:row>
      <xdr:rowOff>75046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EC55E190-487F-430F-ACAA-73BA4CD10C61}"/>
            </a:ext>
          </a:extLst>
        </xdr:cNvPr>
        <xdr:cNvCxnSpPr>
          <a:endCxn id="18" idx="3"/>
        </xdr:cNvCxnSpPr>
      </xdr:nvCxnSpPr>
      <xdr:spPr>
        <a:xfrm flipH="1" flipV="1">
          <a:off x="13431860" y="1375772"/>
          <a:ext cx="488979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EE16931-3C10-486B-A2AD-22EE27E9D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546918" y="2778125"/>
          <a:ext cx="812223" cy="22754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EB300C3-B6A1-41F1-B7E5-D848D17D6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499414" y="2756959"/>
          <a:ext cx="868889" cy="24341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390138</xdr:colOff>
      <xdr:row>25</xdr:row>
      <xdr:rowOff>153630</xdr:rowOff>
    </xdr:from>
    <xdr:to>
      <xdr:col>16</xdr:col>
      <xdr:colOff>91850</xdr:colOff>
      <xdr:row>31</xdr:row>
      <xdr:rowOff>6120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AB34D77-546B-4629-BF60-F79103117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984896" y="4516695"/>
          <a:ext cx="3460502" cy="93141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465836</xdr:colOff>
      <xdr:row>31</xdr:row>
      <xdr:rowOff>131609</xdr:rowOff>
    </xdr:from>
    <xdr:to>
      <xdr:col>16</xdr:col>
      <xdr:colOff>102419</xdr:colOff>
      <xdr:row>36</xdr:row>
      <xdr:rowOff>133040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B429BFE7-0A55-48B8-B37D-FD99C5363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060594" y="5590561"/>
          <a:ext cx="3395373" cy="91296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778387</xdr:colOff>
      <xdr:row>11</xdr:row>
      <xdr:rowOff>153629</xdr:rowOff>
    </xdr:from>
    <xdr:to>
      <xdr:col>11</xdr:col>
      <xdr:colOff>41913</xdr:colOff>
      <xdr:row>14</xdr:row>
      <xdr:rowOff>99178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13DBBB59-FC90-4FD2-B0D8-AF4194927F83}"/>
            </a:ext>
          </a:extLst>
        </xdr:cNvPr>
        <xdr:cNvCxnSpPr/>
      </xdr:nvCxnSpPr>
      <xdr:spPr>
        <a:xfrm>
          <a:off x="14564032" y="2171290"/>
          <a:ext cx="564252" cy="44740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788629</xdr:colOff>
      <xdr:row>14</xdr:row>
      <xdr:rowOff>10242</xdr:rowOff>
    </xdr:from>
    <xdr:to>
      <xdr:col>11</xdr:col>
      <xdr:colOff>52918</xdr:colOff>
      <xdr:row>16</xdr:row>
      <xdr:rowOff>134681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B78742AA-67BD-4BDF-9CD8-6D6264779AC9}"/>
            </a:ext>
          </a:extLst>
        </xdr:cNvPr>
        <xdr:cNvCxnSpPr>
          <a:endCxn id="16" idx="1"/>
        </xdr:cNvCxnSpPr>
      </xdr:nvCxnSpPr>
      <xdr:spPr>
        <a:xfrm>
          <a:off x="14574274" y="2529758"/>
          <a:ext cx="565015" cy="45218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31</xdr:row>
      <xdr:rowOff>142875</xdr:rowOff>
    </xdr:from>
    <xdr:to>
      <xdr:col>8</xdr:col>
      <xdr:colOff>1534583</xdr:colOff>
      <xdr:row>32</xdr:row>
      <xdr:rowOff>169333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CC0F3FA-D357-462E-9645-B2E0B7AE74F2}"/>
            </a:ext>
          </a:extLst>
        </xdr:cNvPr>
        <xdr:cNvSpPr txBox="1"/>
      </xdr:nvSpPr>
      <xdr:spPr>
        <a:xfrm>
          <a:off x="11509375" y="5386917"/>
          <a:ext cx="418041" cy="24870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32</xdr:row>
      <xdr:rowOff>90055</xdr:rowOff>
    </xdr:from>
    <xdr:ext cx="544945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8F264DC-0551-49A6-B3CC-1C7DACFD79ED}"/>
            </a:ext>
          </a:extLst>
        </xdr:cNvPr>
        <xdr:cNvSpPr txBox="1"/>
      </xdr:nvSpPr>
      <xdr:spPr>
        <a:xfrm>
          <a:off x="12755418" y="5756564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BB7FA-3ADB-43EE-97DD-9A99D2AB2131}">
  <dimension ref="B1:P53"/>
  <sheetViews>
    <sheetView tabSelected="1" topLeftCell="A22" zoomScale="93" zoomScaleNormal="93" workbookViewId="0">
      <selection activeCell="C50" sqref="C50"/>
    </sheetView>
  </sheetViews>
  <sheetFormatPr defaultRowHeight="13.2" x14ac:dyDescent="0.25"/>
  <cols>
    <col min="3" max="3" width="51.6640625" customWidth="1"/>
    <col min="6" max="6" width="41.6640625" customWidth="1"/>
    <col min="7" max="7" width="13.6640625" customWidth="1"/>
    <col min="9" max="9" width="53.44140625" customWidth="1"/>
    <col min="10" max="10" width="12.109375" customWidth="1"/>
    <col min="11" max="11" width="7.44140625" customWidth="1"/>
    <col min="12" max="14" width="9.109375" customWidth="1"/>
    <col min="15" max="15" width="11.109375" customWidth="1"/>
    <col min="16" max="16" width="10.109375" customWidth="1"/>
  </cols>
  <sheetData>
    <row r="1" spans="2:16" ht="18" thickBot="1" x14ac:dyDescent="0.35">
      <c r="C1" s="31" t="s">
        <v>114</v>
      </c>
      <c r="D1" s="51">
        <v>8.1</v>
      </c>
      <c r="F1" s="45" t="s">
        <v>171</v>
      </c>
      <c r="G1" s="44"/>
    </row>
    <row r="2" spans="2:16" ht="13.8" thickBot="1" x14ac:dyDescent="0.3"/>
    <row r="3" spans="2:16" ht="16.2" thickBot="1" x14ac:dyDescent="0.35">
      <c r="B3" s="37" t="s">
        <v>31</v>
      </c>
      <c r="C3" s="38"/>
      <c r="D3" s="38"/>
      <c r="E3" s="38" t="s">
        <v>32</v>
      </c>
      <c r="F3" s="38"/>
      <c r="G3" s="38"/>
      <c r="H3" s="38" t="s">
        <v>34</v>
      </c>
      <c r="I3" s="38"/>
      <c r="J3" s="175"/>
    </row>
    <row r="4" spans="2:16" ht="14.4" thickBot="1" x14ac:dyDescent="0.3">
      <c r="B4" s="176" t="s">
        <v>86</v>
      </c>
      <c r="C4" s="180" t="s">
        <v>175</v>
      </c>
      <c r="D4" s="178">
        <v>0.87</v>
      </c>
      <c r="E4" s="177" t="s">
        <v>95</v>
      </c>
      <c r="F4" s="177" t="s">
        <v>70</v>
      </c>
      <c r="G4" s="198">
        <v>225</v>
      </c>
      <c r="H4" s="180" t="s">
        <v>66</v>
      </c>
      <c r="I4" s="180" t="s">
        <v>121</v>
      </c>
      <c r="J4" s="215">
        <f>((D20^2*G21)/2)*1000</f>
        <v>29899.514238178628</v>
      </c>
      <c r="M4" s="42"/>
    </row>
    <row r="5" spans="2:16" ht="12" customHeight="1" thickBot="1" x14ac:dyDescent="0.3">
      <c r="B5" s="63" t="s">
        <v>87</v>
      </c>
      <c r="C5" s="180" t="s">
        <v>176</v>
      </c>
      <c r="D5" s="61">
        <v>0.82</v>
      </c>
      <c r="E5" s="28" t="s">
        <v>96</v>
      </c>
      <c r="F5" s="28" t="s">
        <v>2</v>
      </c>
      <c r="G5" s="179">
        <f>D9-D13</f>
        <v>152.19999999999999</v>
      </c>
      <c r="H5" s="28" t="s">
        <v>42</v>
      </c>
      <c r="I5" s="28" t="s">
        <v>51</v>
      </c>
      <c r="J5" s="181">
        <f>((D21^2*G22)/2)*1000</f>
        <v>0</v>
      </c>
      <c r="M5" s="41"/>
    </row>
    <row r="6" spans="2:16" ht="16.5" customHeight="1" thickBot="1" x14ac:dyDescent="0.3">
      <c r="B6" s="63" t="s">
        <v>88</v>
      </c>
      <c r="C6" s="180" t="s">
        <v>177</v>
      </c>
      <c r="D6" s="61">
        <v>0.7</v>
      </c>
      <c r="E6" s="28" t="s">
        <v>97</v>
      </c>
      <c r="F6" s="28" t="s">
        <v>72</v>
      </c>
      <c r="G6" s="179">
        <f>D10-D14</f>
        <v>138.80000000000001</v>
      </c>
      <c r="H6" s="28" t="s">
        <v>43</v>
      </c>
      <c r="I6" s="28" t="s">
        <v>50</v>
      </c>
      <c r="J6" s="207">
        <f>J4+J5</f>
        <v>29899.514238178628</v>
      </c>
      <c r="L6" s="189" t="s">
        <v>170</v>
      </c>
      <c r="M6" s="190"/>
    </row>
    <row r="7" spans="2:16" x14ac:dyDescent="0.25">
      <c r="B7" s="63" t="s">
        <v>58</v>
      </c>
      <c r="C7" s="180" t="s">
        <v>178</v>
      </c>
      <c r="D7" s="61">
        <v>0.7</v>
      </c>
      <c r="E7" s="28" t="s">
        <v>0</v>
      </c>
      <c r="F7" s="28" t="s">
        <v>71</v>
      </c>
      <c r="G7" s="179">
        <f>D11-D15</f>
        <v>209.2</v>
      </c>
      <c r="H7" s="28" t="s">
        <v>48</v>
      </c>
      <c r="I7" s="28" t="s">
        <v>49</v>
      </c>
      <c r="J7" s="52">
        <f>G10*G27*D1+D20</f>
        <v>2017.4627999999998</v>
      </c>
    </row>
    <row r="8" spans="2:16" ht="13.8" x14ac:dyDescent="0.3">
      <c r="B8" s="63" t="s">
        <v>89</v>
      </c>
      <c r="C8" s="28" t="s">
        <v>78</v>
      </c>
      <c r="D8" s="61">
        <v>210.8</v>
      </c>
      <c r="E8" s="30" t="s">
        <v>23</v>
      </c>
      <c r="F8" s="28" t="s">
        <v>19</v>
      </c>
      <c r="G8" s="32">
        <f>G4+G5</f>
        <v>377.2</v>
      </c>
      <c r="H8" s="171" t="s">
        <v>122</v>
      </c>
      <c r="I8" s="30" t="s">
        <v>133</v>
      </c>
      <c r="J8" s="217">
        <f>J7/J6</f>
        <v>6.7474768450381903E-2</v>
      </c>
      <c r="K8" s="218">
        <f>J8*180/3.142</f>
        <v>3.8655182434973723</v>
      </c>
      <c r="L8" s="56" t="s">
        <v>132</v>
      </c>
      <c r="P8" s="47"/>
    </row>
    <row r="9" spans="2:16" ht="13.8" thickBot="1" x14ac:dyDescent="0.3">
      <c r="B9" s="63" t="s">
        <v>90</v>
      </c>
      <c r="C9" s="28" t="s">
        <v>79</v>
      </c>
      <c r="D9" s="61">
        <v>181.2</v>
      </c>
      <c r="E9" s="28" t="s">
        <v>22</v>
      </c>
      <c r="F9" s="28" t="s">
        <v>20</v>
      </c>
      <c r="G9" s="32">
        <f>G6+G7</f>
        <v>348</v>
      </c>
      <c r="H9" s="28" t="s">
        <v>30</v>
      </c>
      <c r="I9" s="28" t="s">
        <v>52</v>
      </c>
      <c r="J9" s="207">
        <f>J8*AVERAGE(G17,G18)*D20*1000/2</f>
        <v>1372.4236734693877</v>
      </c>
      <c r="P9" s="36"/>
    </row>
    <row r="10" spans="2:16" ht="13.8" thickBot="1" x14ac:dyDescent="0.3">
      <c r="B10" s="63" t="s">
        <v>91</v>
      </c>
      <c r="C10" s="28" t="s">
        <v>80</v>
      </c>
      <c r="D10" s="61">
        <v>173.8</v>
      </c>
      <c r="E10" s="165" t="s">
        <v>119</v>
      </c>
      <c r="F10" s="165" t="s">
        <v>117</v>
      </c>
      <c r="G10" s="48">
        <f>G8+G9</f>
        <v>725.2</v>
      </c>
      <c r="H10" s="141" t="s">
        <v>33</v>
      </c>
      <c r="I10" s="30" t="s">
        <v>53</v>
      </c>
      <c r="J10" s="207">
        <f>(J8*G22*D21)/2*1000</f>
        <v>0</v>
      </c>
      <c r="L10" s="143" t="s">
        <v>134</v>
      </c>
      <c r="M10" s="144"/>
      <c r="P10" s="36"/>
    </row>
    <row r="11" spans="2:16" ht="13.8" thickBot="1" x14ac:dyDescent="0.3">
      <c r="B11" s="63" t="s">
        <v>1</v>
      </c>
      <c r="C11" s="28" t="s">
        <v>81</v>
      </c>
      <c r="D11" s="61">
        <v>244.2</v>
      </c>
      <c r="E11" s="165" t="s">
        <v>115</v>
      </c>
      <c r="F11" s="165" t="s">
        <v>118</v>
      </c>
      <c r="G11" s="169">
        <f>D8+D9+D10+D11</f>
        <v>810</v>
      </c>
      <c r="H11" s="29"/>
      <c r="I11" s="29"/>
      <c r="J11" s="53"/>
      <c r="K11" s="27"/>
      <c r="P11" s="50"/>
    </row>
    <row r="12" spans="2:16" ht="13.8" thickBot="1" x14ac:dyDescent="0.3">
      <c r="B12" s="63" t="s">
        <v>92</v>
      </c>
      <c r="C12" s="28" t="s">
        <v>82</v>
      </c>
      <c r="D12" s="62">
        <v>29</v>
      </c>
      <c r="E12" s="170" t="s">
        <v>128</v>
      </c>
      <c r="F12" s="170" t="s">
        <v>129</v>
      </c>
      <c r="G12" s="169">
        <f>D12+D13+D14+D15</f>
        <v>128</v>
      </c>
      <c r="H12" s="28" t="s">
        <v>59</v>
      </c>
      <c r="I12" s="30" t="s">
        <v>156</v>
      </c>
      <c r="J12" s="52">
        <f>((G8)*D1*D27)/D20</f>
        <v>124.70693877551018</v>
      </c>
      <c r="L12" s="143" t="s">
        <v>166</v>
      </c>
      <c r="M12" s="144"/>
      <c r="P12" s="36"/>
    </row>
    <row r="13" spans="2:16" x14ac:dyDescent="0.25">
      <c r="B13" s="63" t="s">
        <v>93</v>
      </c>
      <c r="C13" s="28" t="s">
        <v>83</v>
      </c>
      <c r="D13" s="61">
        <v>29</v>
      </c>
      <c r="E13" s="30" t="s">
        <v>111</v>
      </c>
      <c r="F13" s="28" t="s">
        <v>73</v>
      </c>
      <c r="G13" s="34">
        <f>D16/5.71</f>
        <v>41.155866900175134</v>
      </c>
      <c r="H13" s="28" t="s">
        <v>62</v>
      </c>
      <c r="I13" s="30" t="s">
        <v>157</v>
      </c>
      <c r="J13" s="52">
        <f>J11+G9*D1*D28/D21</f>
        <v>315.26052631578943</v>
      </c>
      <c r="P13" s="36"/>
    </row>
    <row r="14" spans="2:16" x14ac:dyDescent="0.25">
      <c r="B14" s="63" t="s">
        <v>94</v>
      </c>
      <c r="C14" s="28" t="s">
        <v>84</v>
      </c>
      <c r="D14" s="61">
        <v>35</v>
      </c>
      <c r="E14" s="30" t="s">
        <v>112</v>
      </c>
      <c r="F14" s="28" t="s">
        <v>74</v>
      </c>
      <c r="G14" s="34">
        <f>D17/5.71</f>
        <v>41.155866900175134</v>
      </c>
      <c r="H14" s="28" t="s">
        <v>60</v>
      </c>
      <c r="I14" s="30" t="s">
        <v>158</v>
      </c>
      <c r="J14" s="52">
        <f>(D12+D13)*D1*D23/D20</f>
        <v>89.485714285714295</v>
      </c>
    </row>
    <row r="15" spans="2:16" x14ac:dyDescent="0.25">
      <c r="B15" s="63" t="s">
        <v>21</v>
      </c>
      <c r="C15" s="28" t="s">
        <v>85</v>
      </c>
      <c r="D15" s="61">
        <v>35</v>
      </c>
      <c r="E15" s="28" t="s">
        <v>98</v>
      </c>
      <c r="F15" s="28" t="s">
        <v>75</v>
      </c>
      <c r="G15" s="34">
        <f>D18/5.71</f>
        <v>48.161120840630474</v>
      </c>
      <c r="H15" s="28" t="s">
        <v>61</v>
      </c>
      <c r="I15" s="30" t="s">
        <v>159</v>
      </c>
      <c r="J15" s="52">
        <f>(D14+D15)*D1*D24/D21</f>
        <v>104.44736842105264</v>
      </c>
      <c r="L15" s="129"/>
    </row>
    <row r="16" spans="2:16" x14ac:dyDescent="0.25">
      <c r="B16" s="63" t="s">
        <v>104</v>
      </c>
      <c r="C16" s="28" t="s">
        <v>106</v>
      </c>
      <c r="D16" s="208">
        <v>235</v>
      </c>
      <c r="E16" s="28" t="s">
        <v>99</v>
      </c>
      <c r="F16" s="28" t="s">
        <v>76</v>
      </c>
      <c r="G16" s="34">
        <f>D19/5.71</f>
        <v>48.161120840630474</v>
      </c>
      <c r="H16" s="28"/>
      <c r="I16" s="165" t="s">
        <v>160</v>
      </c>
      <c r="J16" s="173">
        <f>J9+J12+J14</f>
        <v>1586.6163265306122</v>
      </c>
    </row>
    <row r="17" spans="2:16" ht="13.8" thickBot="1" x14ac:dyDescent="0.3">
      <c r="B17" s="63" t="s">
        <v>105</v>
      </c>
      <c r="C17" s="28" t="s">
        <v>107</v>
      </c>
      <c r="D17" s="208">
        <v>235</v>
      </c>
      <c r="E17" s="28" t="s">
        <v>100</v>
      </c>
      <c r="F17" s="28" t="s">
        <v>77</v>
      </c>
      <c r="G17" s="34">
        <f>G13*D5^2</f>
        <v>27.673204903677757</v>
      </c>
      <c r="H17" s="28"/>
      <c r="I17" s="165" t="s">
        <v>161</v>
      </c>
      <c r="J17" s="219">
        <f>J10+J13+J15</f>
        <v>419.70789473684209</v>
      </c>
      <c r="L17" s="129"/>
      <c r="P17" s="50"/>
    </row>
    <row r="18" spans="2:16" ht="13.8" thickBot="1" x14ac:dyDescent="0.3">
      <c r="B18" s="63" t="s">
        <v>98</v>
      </c>
      <c r="C18" s="28" t="s">
        <v>108</v>
      </c>
      <c r="D18" s="61">
        <v>275</v>
      </c>
      <c r="E18" s="28" t="s">
        <v>101</v>
      </c>
      <c r="F18" s="28" t="s">
        <v>102</v>
      </c>
      <c r="G18" s="130">
        <f>G14*D5^2</f>
        <v>27.673204903677757</v>
      </c>
      <c r="H18" s="28"/>
      <c r="I18" s="172" t="s">
        <v>187</v>
      </c>
      <c r="J18" s="140">
        <f>J16+J17</f>
        <v>2006.3242212674543</v>
      </c>
      <c r="P18" s="50"/>
    </row>
    <row r="19" spans="2:16" x14ac:dyDescent="0.25">
      <c r="B19" s="63" t="s">
        <v>99</v>
      </c>
      <c r="C19" s="28" t="s">
        <v>109</v>
      </c>
      <c r="D19" s="61">
        <v>275</v>
      </c>
      <c r="E19" s="28" t="s">
        <v>168</v>
      </c>
      <c r="F19" s="28" t="s">
        <v>164</v>
      </c>
      <c r="G19" s="213">
        <f>G15*D6^2</f>
        <v>23.598949211908931</v>
      </c>
      <c r="H19" s="28" t="s">
        <v>103</v>
      </c>
      <c r="I19" s="28" t="s">
        <v>54</v>
      </c>
      <c r="J19" s="133">
        <f>(D8*9.81)+J16</f>
        <v>3654.5643265306126</v>
      </c>
      <c r="L19" s="147" t="s">
        <v>126</v>
      </c>
      <c r="M19" s="148"/>
      <c r="N19" s="149"/>
      <c r="O19" s="150"/>
      <c r="P19" s="50"/>
    </row>
    <row r="20" spans="2:16" x14ac:dyDescent="0.25">
      <c r="B20" s="63" t="s">
        <v>26</v>
      </c>
      <c r="C20" s="28" t="s">
        <v>24</v>
      </c>
      <c r="D20" s="61">
        <v>1.47</v>
      </c>
      <c r="E20" s="28" t="s">
        <v>169</v>
      </c>
      <c r="F20" s="28" t="s">
        <v>165</v>
      </c>
      <c r="G20" s="35">
        <f>G16*D7^2</f>
        <v>23.598949211908931</v>
      </c>
      <c r="H20" s="30" t="s">
        <v>113</v>
      </c>
      <c r="I20" s="28" t="s">
        <v>55</v>
      </c>
      <c r="J20" s="60">
        <f>(D9*9.81)-J16</f>
        <v>190.95567346938765</v>
      </c>
      <c r="L20" s="151" t="s">
        <v>125</v>
      </c>
      <c r="M20" s="46"/>
      <c r="N20" s="46"/>
      <c r="O20" s="152"/>
      <c r="P20" s="50"/>
    </row>
    <row r="21" spans="2:16" x14ac:dyDescent="0.25">
      <c r="B21" s="63" t="s">
        <v>27</v>
      </c>
      <c r="C21" s="28" t="s">
        <v>25</v>
      </c>
      <c r="D21" s="61">
        <v>1.52</v>
      </c>
      <c r="E21" s="195" t="s">
        <v>182</v>
      </c>
      <c r="F21" s="192" t="s">
        <v>180</v>
      </c>
      <c r="G21" s="214">
        <f>(G17+G18)/2</f>
        <v>27.673204903677757</v>
      </c>
      <c r="H21" s="30" t="s">
        <v>110</v>
      </c>
      <c r="I21" s="28" t="s">
        <v>56</v>
      </c>
      <c r="J21" s="220">
        <f>(D10*9.81)+J17</f>
        <v>2124.6858947368423</v>
      </c>
      <c r="L21" s="153" t="s">
        <v>131</v>
      </c>
      <c r="M21" s="46"/>
      <c r="N21" s="46"/>
      <c r="O21" s="152"/>
    </row>
    <row r="22" spans="2:16" ht="13.8" thickBot="1" x14ac:dyDescent="0.3">
      <c r="B22" s="63" t="s">
        <v>29</v>
      </c>
      <c r="C22" s="28" t="s">
        <v>28</v>
      </c>
      <c r="D22" s="61">
        <v>2.5499999999999998</v>
      </c>
      <c r="E22" s="195" t="s">
        <v>183</v>
      </c>
      <c r="F22" s="192" t="s">
        <v>181</v>
      </c>
      <c r="G22" s="193"/>
      <c r="H22" s="28" t="s">
        <v>41</v>
      </c>
      <c r="I22" s="28" t="s">
        <v>57</v>
      </c>
      <c r="J22" s="221">
        <f>(D11*9.81)-J17</f>
        <v>1975.8941052631578</v>
      </c>
      <c r="L22" s="154" t="s">
        <v>130</v>
      </c>
      <c r="M22" s="155"/>
      <c r="N22" s="155"/>
      <c r="O22" s="156"/>
    </row>
    <row r="23" spans="2:16" x14ac:dyDescent="0.25">
      <c r="B23" s="164" t="s">
        <v>136</v>
      </c>
      <c r="C23" s="165" t="s">
        <v>184</v>
      </c>
      <c r="D23" s="61">
        <v>0.28000000000000003</v>
      </c>
      <c r="E23" s="28" t="s">
        <v>37</v>
      </c>
      <c r="F23" s="30" t="s">
        <v>116</v>
      </c>
      <c r="G23" s="196">
        <f>(G9*D22)/G10</f>
        <v>1.2236624379481522</v>
      </c>
      <c r="H23" s="28"/>
      <c r="I23" s="134" t="s">
        <v>162</v>
      </c>
      <c r="J23" s="136">
        <f>SUM(J19, J20, J21, J22)</f>
        <v>7946.1</v>
      </c>
    </row>
    <row r="24" spans="2:16" ht="13.8" thickBot="1" x14ac:dyDescent="0.3">
      <c r="B24" s="166" t="s">
        <v>135</v>
      </c>
      <c r="C24" s="167" t="s">
        <v>185</v>
      </c>
      <c r="D24" s="168">
        <v>0.28000000000000003</v>
      </c>
      <c r="E24" s="28" t="s">
        <v>38</v>
      </c>
      <c r="F24" s="28" t="s">
        <v>47</v>
      </c>
      <c r="G24" s="49" t="s">
        <v>188</v>
      </c>
      <c r="H24" s="28"/>
      <c r="I24" s="58" t="s">
        <v>163</v>
      </c>
      <c r="J24" s="137">
        <f>G11*9.81</f>
        <v>7946.1</v>
      </c>
    </row>
    <row r="25" spans="2:16" x14ac:dyDescent="0.25">
      <c r="B25" s="186" t="s">
        <v>172</v>
      </c>
      <c r="C25" s="28" t="s">
        <v>65</v>
      </c>
      <c r="D25" s="61">
        <v>0.45</v>
      </c>
      <c r="E25" s="28" t="s">
        <v>39</v>
      </c>
      <c r="F25" s="28" t="s">
        <v>44</v>
      </c>
      <c r="G25" s="49">
        <v>0.05</v>
      </c>
      <c r="H25" s="28"/>
      <c r="I25" s="28"/>
      <c r="J25" s="132"/>
    </row>
    <row r="26" spans="2:16" ht="13.8" thickBot="1" x14ac:dyDescent="0.3">
      <c r="B26" s="63" t="s">
        <v>63</v>
      </c>
      <c r="C26" s="28" t="s">
        <v>64</v>
      </c>
      <c r="D26" s="43">
        <f>((D25*G11)-((D12+D13)*D23)-((D14+D15)*D24))/G10</f>
        <v>0.45319911748483171</v>
      </c>
      <c r="E26" s="28" t="s">
        <v>40</v>
      </c>
      <c r="F26" s="28" t="s">
        <v>45</v>
      </c>
      <c r="G26" s="197">
        <f>G25+D27</f>
        <v>0.11</v>
      </c>
      <c r="H26" s="28"/>
      <c r="I26" s="28"/>
      <c r="J26" s="131"/>
    </row>
    <row r="27" spans="2:16" ht="13.8" thickBot="1" x14ac:dyDescent="0.3">
      <c r="B27" s="63" t="s">
        <v>35</v>
      </c>
      <c r="C27" s="30" t="s">
        <v>173</v>
      </c>
      <c r="D27" s="61">
        <v>0.06</v>
      </c>
      <c r="E27" s="28" t="s">
        <v>69</v>
      </c>
      <c r="F27" s="28" t="s">
        <v>46</v>
      </c>
      <c r="G27" s="197">
        <f>D26-G25-D27</f>
        <v>0.34319911748483173</v>
      </c>
      <c r="H27" s="28" t="s">
        <v>67</v>
      </c>
      <c r="I27" s="55" t="s">
        <v>68</v>
      </c>
      <c r="J27" s="199">
        <f>G11*D1*D25 /AVERAGE(D20,D21)</f>
        <v>1974.8829431438128</v>
      </c>
      <c r="L27" s="157" t="s">
        <v>127</v>
      </c>
      <c r="M27" s="149"/>
      <c r="N27" s="149"/>
      <c r="O27" s="158"/>
      <c r="P27" s="150"/>
    </row>
    <row r="28" spans="2:16" ht="13.8" thickBot="1" x14ac:dyDescent="0.3">
      <c r="B28" s="182" t="s">
        <v>36</v>
      </c>
      <c r="C28" s="187" t="s">
        <v>174</v>
      </c>
      <c r="D28" s="183">
        <v>0.17</v>
      </c>
      <c r="E28" s="64"/>
      <c r="F28" s="64"/>
      <c r="G28" s="184"/>
      <c r="H28" s="64"/>
      <c r="I28" s="64"/>
      <c r="J28" s="185"/>
      <c r="L28" s="159" t="s">
        <v>167</v>
      </c>
      <c r="M28" s="155"/>
      <c r="N28" s="155"/>
      <c r="O28" s="160"/>
      <c r="P28" s="156"/>
    </row>
    <row r="29" spans="2:16" x14ac:dyDescent="0.25">
      <c r="B29" s="202" t="s">
        <v>189</v>
      </c>
      <c r="C29" s="195" t="s">
        <v>190</v>
      </c>
      <c r="D29" s="203">
        <f>J19-J20</f>
        <v>3463.6086530612247</v>
      </c>
      <c r="E29" s="36"/>
      <c r="F29" s="36"/>
      <c r="G29" s="200"/>
      <c r="H29" s="36"/>
      <c r="I29" s="36"/>
      <c r="J29" s="200"/>
      <c r="L29" s="201"/>
      <c r="M29" s="46"/>
      <c r="N29" s="46"/>
      <c r="O29" s="46"/>
      <c r="P29" s="46"/>
    </row>
    <row r="30" spans="2:16" x14ac:dyDescent="0.25">
      <c r="B30" s="202" t="s">
        <v>191</v>
      </c>
      <c r="C30" s="195" t="s">
        <v>192</v>
      </c>
      <c r="D30" s="222">
        <f>J21-J22</f>
        <v>148.7917894736845</v>
      </c>
      <c r="L30" s="139"/>
      <c r="M30" s="139"/>
      <c r="N30" s="139"/>
      <c r="O30" s="139"/>
    </row>
    <row r="31" spans="2:16" x14ac:dyDescent="0.25">
      <c r="B31" s="202" t="s">
        <v>193</v>
      </c>
      <c r="C31" s="195" t="s">
        <v>194</v>
      </c>
      <c r="D31" s="222">
        <f>D29-D30</f>
        <v>3314.81686358754</v>
      </c>
      <c r="L31" s="139"/>
      <c r="M31" s="139"/>
      <c r="N31" s="139"/>
      <c r="O31" s="139"/>
    </row>
    <row r="32" spans="2:16" x14ac:dyDescent="0.25">
      <c r="B32" s="202" t="s">
        <v>195</v>
      </c>
      <c r="C32" s="195" t="s">
        <v>196</v>
      </c>
      <c r="D32" s="222">
        <f>J17/J27*100</f>
        <v>21.252292253266912</v>
      </c>
      <c r="L32" s="139"/>
      <c r="M32" s="139"/>
      <c r="N32" s="139"/>
      <c r="O32" s="139"/>
    </row>
    <row r="33" spans="2:15" ht="13.8" thickBot="1" x14ac:dyDescent="0.3">
      <c r="B33" s="204"/>
      <c r="C33" s="205"/>
      <c r="L33" s="139"/>
      <c r="M33" s="139"/>
      <c r="N33" s="139"/>
      <c r="O33" s="139"/>
    </row>
    <row r="34" spans="2:15" ht="18" customHeight="1" thickBot="1" x14ac:dyDescent="0.3">
      <c r="D34" s="145" t="s">
        <v>120</v>
      </c>
      <c r="E34" s="146"/>
      <c r="G34" s="191"/>
      <c r="H34" s="39"/>
      <c r="I34" s="39"/>
      <c r="L34" s="138"/>
      <c r="M34" s="138"/>
      <c r="N34" s="138"/>
      <c r="O34" s="138"/>
    </row>
    <row r="35" spans="2:15" ht="14.4" thickBot="1" x14ac:dyDescent="0.3">
      <c r="G35" s="39"/>
      <c r="I35" s="39"/>
    </row>
    <row r="36" spans="2:15" ht="18" thickBot="1" x14ac:dyDescent="0.35">
      <c r="C36" s="163" t="s">
        <v>179</v>
      </c>
      <c r="F36" s="161" t="s">
        <v>123</v>
      </c>
      <c r="H36" s="40"/>
    </row>
    <row r="37" spans="2:15" ht="14.4" thickBot="1" x14ac:dyDescent="0.3">
      <c r="F37" s="162" t="s">
        <v>124</v>
      </c>
    </row>
    <row r="39" spans="2:15" x14ac:dyDescent="0.25">
      <c r="B39" s="54"/>
    </row>
    <row r="40" spans="2:15" x14ac:dyDescent="0.25">
      <c r="B40" s="50"/>
      <c r="C40" s="142"/>
      <c r="D40" s="50"/>
    </row>
    <row r="41" spans="2:15" x14ac:dyDescent="0.25">
      <c r="B41" s="50"/>
      <c r="C41" s="142"/>
      <c r="D41" s="50"/>
    </row>
    <row r="43" spans="2:15" x14ac:dyDescent="0.25">
      <c r="D43" t="s">
        <v>186</v>
      </c>
      <c r="G43" t="s">
        <v>59</v>
      </c>
    </row>
    <row r="44" spans="2:15" x14ac:dyDescent="0.25">
      <c r="G44">
        <f>(G8*D1*D27)/D20</f>
        <v>124.70693877551018</v>
      </c>
    </row>
    <row r="46" spans="2:15" x14ac:dyDescent="0.25">
      <c r="B46" s="223" t="s">
        <v>207</v>
      </c>
      <c r="C46" s="223" t="s">
        <v>208</v>
      </c>
      <c r="D46" s="224"/>
      <c r="E46" s="224"/>
      <c r="F46" s="224"/>
      <c r="G46" t="s">
        <v>62</v>
      </c>
    </row>
    <row r="47" spans="2:15" x14ac:dyDescent="0.25">
      <c r="B47" s="223"/>
      <c r="C47" s="223" t="s">
        <v>209</v>
      </c>
      <c r="D47" s="224"/>
      <c r="E47" s="224"/>
      <c r="F47" s="224"/>
      <c r="G47">
        <f>(G9*D1*D28)/D21</f>
        <v>315.26052631578943</v>
      </c>
    </row>
    <row r="48" spans="2:15" x14ac:dyDescent="0.25">
      <c r="B48" s="211"/>
      <c r="C48" s="212"/>
      <c r="D48" s="212"/>
      <c r="E48" s="212"/>
      <c r="F48" s="212"/>
    </row>
    <row r="49" spans="7:7" x14ac:dyDescent="0.25">
      <c r="G49" t="s">
        <v>30</v>
      </c>
    </row>
    <row r="50" spans="7:7" x14ac:dyDescent="0.25">
      <c r="G50" s="216">
        <f>(J8*D20*G21)/2</f>
        <v>1.3724236734693878</v>
      </c>
    </row>
    <row r="52" spans="7:7" x14ac:dyDescent="0.25">
      <c r="G52" t="s">
        <v>33</v>
      </c>
    </row>
    <row r="53" spans="7:7" x14ac:dyDescent="0.25">
      <c r="G53">
        <f>(J8*D21*G22)/2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DEA06-D563-45B6-A11E-19CA8DC41CE5}">
  <dimension ref="B1:P53"/>
  <sheetViews>
    <sheetView topLeftCell="A2" zoomScale="93" zoomScaleNormal="93" workbookViewId="0">
      <selection activeCell="A7" sqref="A7"/>
    </sheetView>
  </sheetViews>
  <sheetFormatPr defaultRowHeight="13.2" x14ac:dyDescent="0.25"/>
  <cols>
    <col min="3" max="3" width="51.6640625" customWidth="1"/>
    <col min="6" max="6" width="41.6640625" customWidth="1"/>
    <col min="7" max="7" width="13.6640625" customWidth="1"/>
    <col min="9" max="9" width="53.44140625" customWidth="1"/>
    <col min="10" max="10" width="12.109375" customWidth="1"/>
    <col min="11" max="11" width="7.44140625" customWidth="1"/>
    <col min="12" max="14" width="9.109375" customWidth="1"/>
    <col min="15" max="15" width="11.109375" customWidth="1"/>
    <col min="16" max="16" width="10.109375" customWidth="1"/>
  </cols>
  <sheetData>
    <row r="1" spans="2:16" ht="18" thickBot="1" x14ac:dyDescent="0.35">
      <c r="C1" s="31" t="s">
        <v>114</v>
      </c>
      <c r="D1" s="51">
        <v>8.1</v>
      </c>
      <c r="F1" s="45" t="s">
        <v>171</v>
      </c>
      <c r="G1" s="44"/>
    </row>
    <row r="2" spans="2:16" ht="13.8" thickBot="1" x14ac:dyDescent="0.3"/>
    <row r="3" spans="2:16" ht="16.2" thickBot="1" x14ac:dyDescent="0.35">
      <c r="B3" s="37" t="s">
        <v>31</v>
      </c>
      <c r="C3" s="38"/>
      <c r="D3" s="38"/>
      <c r="E3" s="38" t="s">
        <v>32</v>
      </c>
      <c r="F3" s="38"/>
      <c r="G3" s="38"/>
      <c r="H3" s="38" t="s">
        <v>34</v>
      </c>
      <c r="I3" s="38"/>
      <c r="J3" s="175"/>
    </row>
    <row r="4" spans="2:16" ht="14.4" thickBot="1" x14ac:dyDescent="0.3">
      <c r="B4" s="176" t="s">
        <v>86</v>
      </c>
      <c r="C4" s="180" t="s">
        <v>175</v>
      </c>
      <c r="D4" s="178">
        <v>0.87</v>
      </c>
      <c r="E4" s="177" t="s">
        <v>95</v>
      </c>
      <c r="F4" s="177" t="s">
        <v>70</v>
      </c>
      <c r="G4" s="198">
        <v>225</v>
      </c>
      <c r="H4" s="180" t="s">
        <v>66</v>
      </c>
      <c r="I4" s="180" t="s">
        <v>121</v>
      </c>
      <c r="J4" s="215">
        <f>((D20^2*G21)/2)*1000</f>
        <v>29899.514238178628</v>
      </c>
      <c r="M4" s="42"/>
    </row>
    <row r="5" spans="2:16" ht="12" customHeight="1" thickBot="1" x14ac:dyDescent="0.3">
      <c r="B5" s="63" t="s">
        <v>87</v>
      </c>
      <c r="C5" s="180" t="s">
        <v>176</v>
      </c>
      <c r="D5" s="61">
        <v>0.82</v>
      </c>
      <c r="E5" s="28" t="s">
        <v>96</v>
      </c>
      <c r="F5" s="28" t="s">
        <v>2</v>
      </c>
      <c r="G5" s="179">
        <f>D9-D13</f>
        <v>177.2</v>
      </c>
      <c r="H5" s="28" t="s">
        <v>42</v>
      </c>
      <c r="I5" s="28" t="s">
        <v>51</v>
      </c>
      <c r="J5" s="181">
        <f>((D21^2*G22)/2)*1000</f>
        <v>0</v>
      </c>
      <c r="M5" s="41"/>
    </row>
    <row r="6" spans="2:16" ht="16.5" customHeight="1" thickBot="1" x14ac:dyDescent="0.3">
      <c r="B6" s="63" t="s">
        <v>88</v>
      </c>
      <c r="C6" s="180" t="s">
        <v>177</v>
      </c>
      <c r="D6" s="61">
        <v>0.7</v>
      </c>
      <c r="E6" s="28" t="s">
        <v>97</v>
      </c>
      <c r="F6" s="28" t="s">
        <v>72</v>
      </c>
      <c r="G6" s="179">
        <f>D10-D14</f>
        <v>163.80000000000001</v>
      </c>
      <c r="H6" s="28" t="s">
        <v>43</v>
      </c>
      <c r="I6" s="28" t="s">
        <v>50</v>
      </c>
      <c r="J6" s="207">
        <f>J4+J5</f>
        <v>29899.514238178628</v>
      </c>
      <c r="L6" s="189" t="s">
        <v>170</v>
      </c>
      <c r="M6" s="190"/>
    </row>
    <row r="7" spans="2:16" x14ac:dyDescent="0.25">
      <c r="B7" s="63" t="s">
        <v>58</v>
      </c>
      <c r="C7" s="180" t="s">
        <v>178</v>
      </c>
      <c r="D7" s="61">
        <v>0.7</v>
      </c>
      <c r="E7" s="28" t="s">
        <v>0</v>
      </c>
      <c r="F7" s="28" t="s">
        <v>71</v>
      </c>
      <c r="G7" s="179">
        <f>D11-D15</f>
        <v>184.2</v>
      </c>
      <c r="H7" s="28" t="s">
        <v>48</v>
      </c>
      <c r="I7" s="28" t="s">
        <v>49</v>
      </c>
      <c r="J7" s="52">
        <f>G10*G27*D1+D20</f>
        <v>1995.1877999999997</v>
      </c>
    </row>
    <row r="8" spans="2:16" ht="13.8" x14ac:dyDescent="0.3">
      <c r="B8" s="63" t="s">
        <v>89</v>
      </c>
      <c r="C8" s="28" t="s">
        <v>78</v>
      </c>
      <c r="D8" s="61">
        <v>185.8</v>
      </c>
      <c r="E8" s="30" t="s">
        <v>23</v>
      </c>
      <c r="F8" s="28" t="s">
        <v>19</v>
      </c>
      <c r="G8" s="32">
        <f>G4+G5</f>
        <v>402.2</v>
      </c>
      <c r="H8" s="171" t="s">
        <v>122</v>
      </c>
      <c r="I8" s="30" t="s">
        <v>133</v>
      </c>
      <c r="J8" s="217">
        <f>J7/J6</f>
        <v>6.6729773069434978E-2</v>
      </c>
      <c r="K8" s="218">
        <f>J8*180/3.142</f>
        <v>3.822838686345734</v>
      </c>
      <c r="L8" s="56" t="s">
        <v>132</v>
      </c>
      <c r="P8" s="47"/>
    </row>
    <row r="9" spans="2:16" ht="13.8" thickBot="1" x14ac:dyDescent="0.3">
      <c r="B9" s="63" t="s">
        <v>90</v>
      </c>
      <c r="C9" s="28" t="s">
        <v>79</v>
      </c>
      <c r="D9" s="61">
        <v>206.2</v>
      </c>
      <c r="E9" s="28" t="s">
        <v>22</v>
      </c>
      <c r="F9" s="28" t="s">
        <v>20</v>
      </c>
      <c r="G9" s="32">
        <f>G6+G7</f>
        <v>348</v>
      </c>
      <c r="H9" s="28" t="s">
        <v>30</v>
      </c>
      <c r="I9" s="28" t="s">
        <v>52</v>
      </c>
      <c r="J9" s="207">
        <f>J8*AVERAGE(G17,G18)*D20*1000/2</f>
        <v>1357.2706122448981</v>
      </c>
      <c r="P9" s="36"/>
    </row>
    <row r="10" spans="2:16" ht="13.8" thickBot="1" x14ac:dyDescent="0.3">
      <c r="B10" s="63" t="s">
        <v>91</v>
      </c>
      <c r="C10" s="28" t="s">
        <v>80</v>
      </c>
      <c r="D10" s="61">
        <v>198.8</v>
      </c>
      <c r="E10" s="165" t="s">
        <v>119</v>
      </c>
      <c r="F10" s="165" t="s">
        <v>117</v>
      </c>
      <c r="G10" s="48">
        <f>G8+G9</f>
        <v>750.2</v>
      </c>
      <c r="H10" s="141" t="s">
        <v>33</v>
      </c>
      <c r="I10" s="30" t="s">
        <v>53</v>
      </c>
      <c r="J10" s="207">
        <f>(J8*G22*D21)/2*1000</f>
        <v>0</v>
      </c>
      <c r="L10" s="143" t="s">
        <v>134</v>
      </c>
      <c r="M10" s="144"/>
      <c r="P10" s="36"/>
    </row>
    <row r="11" spans="2:16" ht="13.8" thickBot="1" x14ac:dyDescent="0.3">
      <c r="B11" s="63" t="s">
        <v>1</v>
      </c>
      <c r="C11" s="28" t="s">
        <v>81</v>
      </c>
      <c r="D11" s="61">
        <v>219.2</v>
      </c>
      <c r="E11" s="165" t="s">
        <v>115</v>
      </c>
      <c r="F11" s="165" t="s">
        <v>118</v>
      </c>
      <c r="G11" s="169">
        <f>D8+D9+D10+D11</f>
        <v>810</v>
      </c>
      <c r="H11" s="29"/>
      <c r="I11" s="29"/>
      <c r="J11" s="53"/>
      <c r="K11" s="27"/>
      <c r="P11" s="50"/>
    </row>
    <row r="12" spans="2:16" ht="13.8" thickBot="1" x14ac:dyDescent="0.3">
      <c r="B12" s="63" t="s">
        <v>92</v>
      </c>
      <c r="C12" s="28" t="s">
        <v>82</v>
      </c>
      <c r="D12" s="62">
        <v>29</v>
      </c>
      <c r="E12" s="170" t="s">
        <v>128</v>
      </c>
      <c r="F12" s="170" t="s">
        <v>129</v>
      </c>
      <c r="G12" s="169">
        <f>D12+D13+D14+D15</f>
        <v>128</v>
      </c>
      <c r="H12" s="28" t="s">
        <v>59</v>
      </c>
      <c r="I12" s="30" t="s">
        <v>156</v>
      </c>
      <c r="J12" s="52">
        <f>((G8)*D1*D27)/D20</f>
        <v>132.97224489795917</v>
      </c>
      <c r="L12" s="143" t="s">
        <v>166</v>
      </c>
      <c r="M12" s="144"/>
      <c r="P12" s="36"/>
    </row>
    <row r="13" spans="2:16" x14ac:dyDescent="0.25">
      <c r="B13" s="63" t="s">
        <v>93</v>
      </c>
      <c r="C13" s="28" t="s">
        <v>83</v>
      </c>
      <c r="D13" s="61">
        <v>29</v>
      </c>
      <c r="E13" s="30" t="s">
        <v>111</v>
      </c>
      <c r="F13" s="28" t="s">
        <v>73</v>
      </c>
      <c r="G13" s="34">
        <f>D16/5.71</f>
        <v>41.155866900175134</v>
      </c>
      <c r="H13" s="28" t="s">
        <v>62</v>
      </c>
      <c r="I13" s="30" t="s">
        <v>157</v>
      </c>
      <c r="J13" s="52">
        <f>J11+G9*D1*D28/D21</f>
        <v>315.26052631578943</v>
      </c>
      <c r="P13" s="36"/>
    </row>
    <row r="14" spans="2:16" x14ac:dyDescent="0.25">
      <c r="B14" s="63" t="s">
        <v>94</v>
      </c>
      <c r="C14" s="28" t="s">
        <v>84</v>
      </c>
      <c r="D14" s="61">
        <v>35</v>
      </c>
      <c r="E14" s="30" t="s">
        <v>112</v>
      </c>
      <c r="F14" s="28" t="s">
        <v>74</v>
      </c>
      <c r="G14" s="34">
        <f>D17/5.71</f>
        <v>41.155866900175134</v>
      </c>
      <c r="H14" s="28" t="s">
        <v>60</v>
      </c>
      <c r="I14" s="30" t="s">
        <v>158</v>
      </c>
      <c r="J14" s="52">
        <f>(D12+D13)*D1*D23/D20</f>
        <v>89.485714285714295</v>
      </c>
    </row>
    <row r="15" spans="2:16" x14ac:dyDescent="0.25">
      <c r="B15" s="63" t="s">
        <v>21</v>
      </c>
      <c r="C15" s="28" t="s">
        <v>85</v>
      </c>
      <c r="D15" s="61">
        <v>35</v>
      </c>
      <c r="E15" s="28" t="s">
        <v>98</v>
      </c>
      <c r="F15" s="28" t="s">
        <v>75</v>
      </c>
      <c r="G15" s="34">
        <f>D18/5.71</f>
        <v>58.844133099824866</v>
      </c>
      <c r="H15" s="28" t="s">
        <v>61</v>
      </c>
      <c r="I15" s="30" t="s">
        <v>159</v>
      </c>
      <c r="J15" s="52">
        <f>(D14+D15)*D1*D24/D21</f>
        <v>104.44736842105264</v>
      </c>
      <c r="L15" s="129"/>
    </row>
    <row r="16" spans="2:16" x14ac:dyDescent="0.25">
      <c r="B16" s="63" t="s">
        <v>104</v>
      </c>
      <c r="C16" s="28" t="s">
        <v>106</v>
      </c>
      <c r="D16" s="208">
        <v>235</v>
      </c>
      <c r="E16" s="28" t="s">
        <v>99</v>
      </c>
      <c r="F16" s="28" t="s">
        <v>76</v>
      </c>
      <c r="G16" s="34">
        <f>D19/5.71</f>
        <v>59.019264448336251</v>
      </c>
      <c r="H16" s="28"/>
      <c r="I16" s="165" t="s">
        <v>160</v>
      </c>
      <c r="J16" s="173">
        <f>J9+J12+J14</f>
        <v>1579.7285714285715</v>
      </c>
    </row>
    <row r="17" spans="2:16" ht="13.8" thickBot="1" x14ac:dyDescent="0.3">
      <c r="B17" s="63" t="s">
        <v>105</v>
      </c>
      <c r="C17" s="28" t="s">
        <v>107</v>
      </c>
      <c r="D17" s="208">
        <v>235</v>
      </c>
      <c r="E17" s="28" t="s">
        <v>100</v>
      </c>
      <c r="F17" s="28" t="s">
        <v>77</v>
      </c>
      <c r="G17" s="34">
        <f>G13*D5^2</f>
        <v>27.673204903677757</v>
      </c>
      <c r="H17" s="28"/>
      <c r="I17" s="165" t="s">
        <v>161</v>
      </c>
      <c r="J17" s="219">
        <f>J10+J13+J15</f>
        <v>419.70789473684209</v>
      </c>
      <c r="L17" s="129"/>
      <c r="P17" s="50"/>
    </row>
    <row r="18" spans="2:16" ht="13.8" thickBot="1" x14ac:dyDescent="0.3">
      <c r="B18" s="63" t="s">
        <v>98</v>
      </c>
      <c r="C18" s="28" t="s">
        <v>108</v>
      </c>
      <c r="D18" s="61">
        <v>336</v>
      </c>
      <c r="E18" s="28" t="s">
        <v>101</v>
      </c>
      <c r="F18" s="28" t="s">
        <v>102</v>
      </c>
      <c r="G18" s="130">
        <f>G14*D5^2</f>
        <v>27.673204903677757</v>
      </c>
      <c r="H18" s="28"/>
      <c r="I18" s="172" t="s">
        <v>187</v>
      </c>
      <c r="J18" s="140">
        <f>J16+J17</f>
        <v>1999.4364661654135</v>
      </c>
      <c r="P18" s="50"/>
    </row>
    <row r="19" spans="2:16" x14ac:dyDescent="0.25">
      <c r="B19" s="63" t="s">
        <v>99</v>
      </c>
      <c r="C19" s="28" t="s">
        <v>109</v>
      </c>
      <c r="D19" s="61">
        <v>337</v>
      </c>
      <c r="E19" s="28" t="s">
        <v>168</v>
      </c>
      <c r="F19" s="28" t="s">
        <v>164</v>
      </c>
      <c r="G19" s="213">
        <f>G15*D6^2</f>
        <v>28.833625218914179</v>
      </c>
      <c r="H19" s="28" t="s">
        <v>103</v>
      </c>
      <c r="I19" s="28" t="s">
        <v>54</v>
      </c>
      <c r="J19" s="133">
        <f>(D8*9.81)+J16</f>
        <v>3402.4265714285716</v>
      </c>
      <c r="L19" s="147" t="s">
        <v>126</v>
      </c>
      <c r="M19" s="148"/>
      <c r="N19" s="149"/>
      <c r="O19" s="150"/>
      <c r="P19" s="50"/>
    </row>
    <row r="20" spans="2:16" x14ac:dyDescent="0.25">
      <c r="B20" s="63" t="s">
        <v>26</v>
      </c>
      <c r="C20" s="28" t="s">
        <v>24</v>
      </c>
      <c r="D20" s="61">
        <v>1.47</v>
      </c>
      <c r="E20" s="28" t="s">
        <v>169</v>
      </c>
      <c r="F20" s="28" t="s">
        <v>165</v>
      </c>
      <c r="G20" s="35">
        <f>G16*D7^2</f>
        <v>28.919439579684759</v>
      </c>
      <c r="H20" s="30" t="s">
        <v>113</v>
      </c>
      <c r="I20" s="28" t="s">
        <v>55</v>
      </c>
      <c r="J20" s="60">
        <f>(D9*9.81)-J16</f>
        <v>443.09342857142838</v>
      </c>
      <c r="L20" s="151" t="s">
        <v>125</v>
      </c>
      <c r="M20" s="46"/>
      <c r="N20" s="46"/>
      <c r="O20" s="152"/>
      <c r="P20" s="50"/>
    </row>
    <row r="21" spans="2:16" x14ac:dyDescent="0.25">
      <c r="B21" s="63" t="s">
        <v>27</v>
      </c>
      <c r="C21" s="28" t="s">
        <v>25</v>
      </c>
      <c r="D21" s="61">
        <v>1.52</v>
      </c>
      <c r="E21" s="195" t="s">
        <v>182</v>
      </c>
      <c r="F21" s="192" t="s">
        <v>180</v>
      </c>
      <c r="G21" s="214">
        <f>(G17+G18)/2</f>
        <v>27.673204903677757</v>
      </c>
      <c r="H21" s="30" t="s">
        <v>110</v>
      </c>
      <c r="I21" s="28" t="s">
        <v>56</v>
      </c>
      <c r="J21" s="220">
        <f>(D10*9.81)+J17</f>
        <v>2369.9358947368423</v>
      </c>
      <c r="L21" s="153" t="s">
        <v>131</v>
      </c>
      <c r="M21" s="46"/>
      <c r="N21" s="46"/>
      <c r="O21" s="152"/>
    </row>
    <row r="22" spans="2:16" ht="13.8" thickBot="1" x14ac:dyDescent="0.3">
      <c r="B22" s="63" t="s">
        <v>29</v>
      </c>
      <c r="C22" s="28" t="s">
        <v>28</v>
      </c>
      <c r="D22" s="61">
        <v>2.5499999999999998</v>
      </c>
      <c r="E22" s="195" t="s">
        <v>183</v>
      </c>
      <c r="F22" s="192" t="s">
        <v>181</v>
      </c>
      <c r="G22" s="193"/>
      <c r="H22" s="28" t="s">
        <v>41</v>
      </c>
      <c r="I22" s="28" t="s">
        <v>57</v>
      </c>
      <c r="J22" s="221">
        <f>(D11*9.81)-J17</f>
        <v>1730.6441052631578</v>
      </c>
      <c r="L22" s="154" t="s">
        <v>130</v>
      </c>
      <c r="M22" s="155"/>
      <c r="N22" s="155"/>
      <c r="O22" s="156"/>
    </row>
    <row r="23" spans="2:16" x14ac:dyDescent="0.25">
      <c r="B23" s="164" t="s">
        <v>136</v>
      </c>
      <c r="C23" s="165" t="s">
        <v>184</v>
      </c>
      <c r="D23" s="61">
        <v>0.28000000000000003</v>
      </c>
      <c r="E23" s="28" t="s">
        <v>37</v>
      </c>
      <c r="F23" s="30" t="s">
        <v>116</v>
      </c>
      <c r="G23" s="196">
        <f>(G9*D22)/G10</f>
        <v>1.1828845641162355</v>
      </c>
      <c r="H23" s="28"/>
      <c r="I23" s="134" t="s">
        <v>162</v>
      </c>
      <c r="J23" s="136">
        <f>SUM(J19, J20, J21, J22)</f>
        <v>7946.1</v>
      </c>
    </row>
    <row r="24" spans="2:16" ht="13.8" thickBot="1" x14ac:dyDescent="0.3">
      <c r="B24" s="166" t="s">
        <v>135</v>
      </c>
      <c r="C24" s="167" t="s">
        <v>185</v>
      </c>
      <c r="D24" s="168">
        <v>0.28000000000000003</v>
      </c>
      <c r="E24" s="28" t="s">
        <v>38</v>
      </c>
      <c r="F24" s="28" t="s">
        <v>47</v>
      </c>
      <c r="G24" s="49" t="s">
        <v>188</v>
      </c>
      <c r="H24" s="28"/>
      <c r="I24" s="58" t="s">
        <v>163</v>
      </c>
      <c r="J24" s="137">
        <f>G11*9.81</f>
        <v>7946.1</v>
      </c>
    </row>
    <row r="25" spans="2:16" x14ac:dyDescent="0.25">
      <c r="B25" s="186" t="s">
        <v>172</v>
      </c>
      <c r="C25" s="28" t="s">
        <v>65</v>
      </c>
      <c r="D25" s="61">
        <v>0.45</v>
      </c>
      <c r="E25" s="28" t="s">
        <v>39</v>
      </c>
      <c r="F25" s="28" t="s">
        <v>44</v>
      </c>
      <c r="G25" s="49">
        <v>0.05</v>
      </c>
      <c r="H25" s="28"/>
      <c r="I25" s="28"/>
      <c r="J25" s="132"/>
    </row>
    <row r="26" spans="2:16" ht="13.8" thickBot="1" x14ac:dyDescent="0.3">
      <c r="B26" s="63" t="s">
        <v>63</v>
      </c>
      <c r="C26" s="28" t="s">
        <v>64</v>
      </c>
      <c r="D26" s="43">
        <f>((D25*G11)-((D12+D13)*D23)-((D14+D15)*D24))/G10</f>
        <v>0.43809650759797381</v>
      </c>
      <c r="E26" s="28" t="s">
        <v>40</v>
      </c>
      <c r="F26" s="28" t="s">
        <v>45</v>
      </c>
      <c r="G26" s="197">
        <f>G25+D27</f>
        <v>0.11</v>
      </c>
      <c r="H26" s="28"/>
      <c r="I26" s="28"/>
      <c r="J26" s="131"/>
    </row>
    <row r="27" spans="2:16" ht="13.8" thickBot="1" x14ac:dyDescent="0.3">
      <c r="B27" s="63" t="s">
        <v>35</v>
      </c>
      <c r="C27" s="30" t="s">
        <v>173</v>
      </c>
      <c r="D27" s="61">
        <v>0.06</v>
      </c>
      <c r="E27" s="28" t="s">
        <v>69</v>
      </c>
      <c r="F27" s="28" t="s">
        <v>46</v>
      </c>
      <c r="G27" s="197">
        <f>D26-G25-D27</f>
        <v>0.32809650759797382</v>
      </c>
      <c r="H27" s="28" t="s">
        <v>67</v>
      </c>
      <c r="I27" s="55" t="s">
        <v>68</v>
      </c>
      <c r="J27" s="199">
        <f>G11*D1*D25 /AVERAGE(D20,D21)</f>
        <v>1974.8829431438128</v>
      </c>
      <c r="L27" s="157" t="s">
        <v>127</v>
      </c>
      <c r="M27" s="149"/>
      <c r="N27" s="149"/>
      <c r="O27" s="158"/>
      <c r="P27" s="150"/>
    </row>
    <row r="28" spans="2:16" ht="13.8" thickBot="1" x14ac:dyDescent="0.3">
      <c r="B28" s="182" t="s">
        <v>36</v>
      </c>
      <c r="C28" s="187" t="s">
        <v>174</v>
      </c>
      <c r="D28" s="183">
        <v>0.17</v>
      </c>
      <c r="E28" s="64"/>
      <c r="F28" s="64"/>
      <c r="G28" s="184"/>
      <c r="H28" s="64"/>
      <c r="I28" s="64"/>
      <c r="J28" s="185"/>
      <c r="L28" s="159" t="s">
        <v>167</v>
      </c>
      <c r="M28" s="155"/>
      <c r="N28" s="155"/>
      <c r="O28" s="160"/>
      <c r="P28" s="156"/>
    </row>
    <row r="29" spans="2:16" x14ac:dyDescent="0.25">
      <c r="B29" s="202" t="s">
        <v>189</v>
      </c>
      <c r="C29" s="195" t="s">
        <v>190</v>
      </c>
      <c r="D29" s="203">
        <f>J19-J20</f>
        <v>2959.3331428571432</v>
      </c>
      <c r="E29" s="36"/>
      <c r="F29" s="36"/>
      <c r="G29" s="200"/>
      <c r="H29" s="36"/>
      <c r="I29" s="36"/>
      <c r="J29" s="200"/>
      <c r="L29" s="201"/>
      <c r="M29" s="46"/>
      <c r="N29" s="46"/>
      <c r="O29" s="46"/>
      <c r="P29" s="46"/>
    </row>
    <row r="30" spans="2:16" x14ac:dyDescent="0.25">
      <c r="B30" s="202" t="s">
        <v>191</v>
      </c>
      <c r="C30" s="195" t="s">
        <v>192</v>
      </c>
      <c r="D30" s="222">
        <f>J21-J22</f>
        <v>639.2917894736845</v>
      </c>
      <c r="L30" s="139"/>
      <c r="M30" s="139"/>
      <c r="N30" s="139"/>
      <c r="O30" s="139"/>
    </row>
    <row r="31" spans="2:16" x14ac:dyDescent="0.25">
      <c r="B31" s="202" t="s">
        <v>193</v>
      </c>
      <c r="C31" s="195" t="s">
        <v>194</v>
      </c>
      <c r="D31" s="222">
        <f>D29-D30</f>
        <v>2320.041353383459</v>
      </c>
      <c r="L31" s="139"/>
      <c r="M31" s="139"/>
      <c r="N31" s="139"/>
      <c r="O31" s="139"/>
    </row>
    <row r="32" spans="2:16" x14ac:dyDescent="0.25">
      <c r="B32" s="202" t="s">
        <v>195</v>
      </c>
      <c r="C32" s="195" t="s">
        <v>196</v>
      </c>
      <c r="D32" s="222">
        <f>J17/J27*100</f>
        <v>21.252292253266912</v>
      </c>
      <c r="L32" s="139"/>
      <c r="M32" s="139"/>
      <c r="N32" s="139"/>
      <c r="O32" s="139"/>
    </row>
    <row r="33" spans="2:15" ht="13.8" thickBot="1" x14ac:dyDescent="0.3">
      <c r="B33" s="204"/>
      <c r="C33" s="205"/>
      <c r="L33" s="139"/>
      <c r="M33" s="139"/>
      <c r="N33" s="139"/>
      <c r="O33" s="139"/>
    </row>
    <row r="34" spans="2:15" ht="18" customHeight="1" thickBot="1" x14ac:dyDescent="0.3">
      <c r="D34" s="145" t="s">
        <v>120</v>
      </c>
      <c r="E34" s="146"/>
      <c r="G34" s="191"/>
      <c r="H34" s="39"/>
      <c r="I34" s="39"/>
      <c r="L34" s="138"/>
      <c r="M34" s="138"/>
      <c r="N34" s="138"/>
      <c r="O34" s="138"/>
    </row>
    <row r="35" spans="2:15" ht="14.4" thickBot="1" x14ac:dyDescent="0.3">
      <c r="G35" s="39"/>
      <c r="I35" s="39"/>
    </row>
    <row r="36" spans="2:15" ht="18" thickBot="1" x14ac:dyDescent="0.35">
      <c r="C36" s="163" t="s">
        <v>179</v>
      </c>
      <c r="F36" s="161" t="s">
        <v>123</v>
      </c>
      <c r="H36" s="40"/>
    </row>
    <row r="37" spans="2:15" ht="14.4" thickBot="1" x14ac:dyDescent="0.3">
      <c r="F37" s="162" t="s">
        <v>124</v>
      </c>
    </row>
    <row r="39" spans="2:15" x14ac:dyDescent="0.25">
      <c r="B39" s="54"/>
    </row>
    <row r="40" spans="2:15" x14ac:dyDescent="0.25">
      <c r="B40" s="50"/>
      <c r="C40" s="142"/>
      <c r="D40" s="50"/>
    </row>
    <row r="41" spans="2:15" x14ac:dyDescent="0.25">
      <c r="B41" s="50"/>
      <c r="C41" s="142"/>
      <c r="D41" s="50"/>
    </row>
    <row r="43" spans="2:15" x14ac:dyDescent="0.25">
      <c r="D43" t="s">
        <v>186</v>
      </c>
      <c r="G43" t="s">
        <v>59</v>
      </c>
    </row>
    <row r="44" spans="2:15" x14ac:dyDescent="0.25">
      <c r="G44">
        <f>(G8*D1*D27)/D20</f>
        <v>132.97224489795917</v>
      </c>
    </row>
    <row r="46" spans="2:15" x14ac:dyDescent="0.25">
      <c r="B46" s="211"/>
      <c r="C46" s="211"/>
      <c r="D46" s="212"/>
      <c r="E46" s="212"/>
      <c r="F46" s="212"/>
      <c r="G46" t="s">
        <v>62</v>
      </c>
    </row>
    <row r="47" spans="2:15" x14ac:dyDescent="0.25">
      <c r="B47" s="211"/>
      <c r="C47" s="211"/>
      <c r="D47" s="212"/>
      <c r="E47" s="212"/>
      <c r="F47" s="212"/>
      <c r="G47">
        <f>(G9*D1*D28)/D21</f>
        <v>315.26052631578943</v>
      </c>
    </row>
    <row r="48" spans="2:15" x14ac:dyDescent="0.25">
      <c r="B48" s="211"/>
      <c r="C48" s="212"/>
      <c r="D48" s="212"/>
      <c r="E48" s="212"/>
      <c r="F48" s="212"/>
    </row>
    <row r="49" spans="7:7" x14ac:dyDescent="0.25">
      <c r="G49" t="s">
        <v>30</v>
      </c>
    </row>
    <row r="50" spans="7:7" x14ac:dyDescent="0.25">
      <c r="G50" s="216">
        <f>(J8*D20*G21)/2</f>
        <v>1.3572706122448981</v>
      </c>
    </row>
    <row r="52" spans="7:7" x14ac:dyDescent="0.25">
      <c r="G52" t="s">
        <v>33</v>
      </c>
    </row>
    <row r="53" spans="7:7" x14ac:dyDescent="0.25">
      <c r="G53">
        <f>(J8*D21*G22)/2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A0B36-E26A-47FC-B6E3-BF5BDBD0AE7D}">
  <dimension ref="B1:P53"/>
  <sheetViews>
    <sheetView topLeftCell="A22" zoomScale="93" zoomScaleNormal="93" workbookViewId="0">
      <selection activeCell="C49" sqref="C49"/>
    </sheetView>
  </sheetViews>
  <sheetFormatPr defaultRowHeight="13.2" x14ac:dyDescent="0.25"/>
  <cols>
    <col min="3" max="3" width="51.6640625" customWidth="1"/>
    <col min="6" max="6" width="41.6640625" customWidth="1"/>
    <col min="7" max="7" width="13.6640625" customWidth="1"/>
    <col min="9" max="9" width="53.44140625" customWidth="1"/>
    <col min="10" max="10" width="12.109375" customWidth="1"/>
    <col min="11" max="11" width="7.44140625" customWidth="1"/>
    <col min="12" max="14" width="9.109375" customWidth="1"/>
    <col min="15" max="15" width="11.109375" customWidth="1"/>
    <col min="16" max="16" width="10.109375" customWidth="1"/>
  </cols>
  <sheetData>
    <row r="1" spans="2:16" ht="18" thickBot="1" x14ac:dyDescent="0.35">
      <c r="C1" s="31" t="s">
        <v>114</v>
      </c>
      <c r="D1" s="51">
        <v>8.1</v>
      </c>
      <c r="F1" s="45" t="s">
        <v>171</v>
      </c>
      <c r="G1" s="44"/>
    </row>
    <row r="2" spans="2:16" ht="13.8" thickBot="1" x14ac:dyDescent="0.3"/>
    <row r="3" spans="2:16" ht="16.2" thickBot="1" x14ac:dyDescent="0.35">
      <c r="B3" s="37" t="s">
        <v>31</v>
      </c>
      <c r="C3" s="38"/>
      <c r="D3" s="38"/>
      <c r="E3" s="38" t="s">
        <v>32</v>
      </c>
      <c r="F3" s="38"/>
      <c r="G3" s="38"/>
      <c r="H3" s="38" t="s">
        <v>34</v>
      </c>
      <c r="I3" s="38"/>
      <c r="J3" s="175"/>
    </row>
    <row r="4" spans="2:16" ht="14.4" thickBot="1" x14ac:dyDescent="0.3">
      <c r="B4" s="176" t="s">
        <v>86</v>
      </c>
      <c r="C4" s="180" t="s">
        <v>175</v>
      </c>
      <c r="D4" s="178">
        <v>0.87</v>
      </c>
      <c r="E4" s="177" t="s">
        <v>95</v>
      </c>
      <c r="F4" s="177" t="s">
        <v>70</v>
      </c>
      <c r="G4" s="198">
        <v>225</v>
      </c>
      <c r="H4" s="180" t="s">
        <v>66</v>
      </c>
      <c r="I4" s="180" t="s">
        <v>121</v>
      </c>
      <c r="J4" s="215">
        <f>((D20^2*G21)/2)*1000</f>
        <v>29899.514238178628</v>
      </c>
      <c r="M4" s="42"/>
    </row>
    <row r="5" spans="2:16" ht="12" customHeight="1" thickBot="1" x14ac:dyDescent="0.3">
      <c r="B5" s="63" t="s">
        <v>87</v>
      </c>
      <c r="C5" s="180" t="s">
        <v>176</v>
      </c>
      <c r="D5" s="61">
        <v>0.82</v>
      </c>
      <c r="E5" s="28" t="s">
        <v>96</v>
      </c>
      <c r="F5" s="28" t="s">
        <v>2</v>
      </c>
      <c r="G5" s="179">
        <f>D9-D13</f>
        <v>177.2</v>
      </c>
      <c r="H5" s="28" t="s">
        <v>42</v>
      </c>
      <c r="I5" s="28" t="s">
        <v>51</v>
      </c>
      <c r="J5" s="181">
        <f>((D21^2*G22)/2)*1000</f>
        <v>0</v>
      </c>
      <c r="M5" s="41"/>
    </row>
    <row r="6" spans="2:16" ht="16.5" customHeight="1" thickBot="1" x14ac:dyDescent="0.3">
      <c r="B6" s="63" t="s">
        <v>88</v>
      </c>
      <c r="C6" s="180" t="s">
        <v>177</v>
      </c>
      <c r="D6" s="61">
        <v>0.7</v>
      </c>
      <c r="E6" s="28" t="s">
        <v>97</v>
      </c>
      <c r="F6" s="28" t="s">
        <v>72</v>
      </c>
      <c r="G6" s="179">
        <f>D10-D14</f>
        <v>163.80000000000001</v>
      </c>
      <c r="H6" s="28" t="s">
        <v>43</v>
      </c>
      <c r="I6" s="28" t="s">
        <v>50</v>
      </c>
      <c r="J6" s="207">
        <f>J4+J5</f>
        <v>29899.514238178628</v>
      </c>
      <c r="L6" s="189" t="s">
        <v>170</v>
      </c>
      <c r="M6" s="190"/>
    </row>
    <row r="7" spans="2:16" x14ac:dyDescent="0.25">
      <c r="B7" s="63" t="s">
        <v>58</v>
      </c>
      <c r="C7" s="180" t="s">
        <v>178</v>
      </c>
      <c r="D7" s="61">
        <v>0.7</v>
      </c>
      <c r="E7" s="28" t="s">
        <v>0</v>
      </c>
      <c r="F7" s="28" t="s">
        <v>71</v>
      </c>
      <c r="G7" s="179">
        <f>D11-D15</f>
        <v>184.2</v>
      </c>
      <c r="H7" s="28" t="s">
        <v>48</v>
      </c>
      <c r="I7" s="28" t="s">
        <v>49</v>
      </c>
      <c r="J7" s="52">
        <f>G10*G27*D1+D20</f>
        <v>1995.1877999999997</v>
      </c>
    </row>
    <row r="8" spans="2:16" ht="13.8" x14ac:dyDescent="0.3">
      <c r="B8" s="63" t="s">
        <v>89</v>
      </c>
      <c r="C8" s="28" t="s">
        <v>78</v>
      </c>
      <c r="D8" s="61">
        <v>185.8</v>
      </c>
      <c r="E8" s="30" t="s">
        <v>23</v>
      </c>
      <c r="F8" s="28" t="s">
        <v>19</v>
      </c>
      <c r="G8" s="32">
        <f>G4+G5</f>
        <v>402.2</v>
      </c>
      <c r="H8" s="171" t="s">
        <v>122</v>
      </c>
      <c r="I8" s="30" t="s">
        <v>133</v>
      </c>
      <c r="J8" s="217">
        <f>J7/J6</f>
        <v>6.6729773069434978E-2</v>
      </c>
      <c r="K8" s="218">
        <f>J8*180/3.142</f>
        <v>3.822838686345734</v>
      </c>
      <c r="L8" s="56" t="s">
        <v>132</v>
      </c>
      <c r="P8" s="47"/>
    </row>
    <row r="9" spans="2:16" ht="13.8" thickBot="1" x14ac:dyDescent="0.3">
      <c r="B9" s="63" t="s">
        <v>90</v>
      </c>
      <c r="C9" s="28" t="s">
        <v>79</v>
      </c>
      <c r="D9" s="61">
        <v>206.2</v>
      </c>
      <c r="E9" s="28" t="s">
        <v>22</v>
      </c>
      <c r="F9" s="28" t="s">
        <v>20</v>
      </c>
      <c r="G9" s="32">
        <f>G6+G7</f>
        <v>348</v>
      </c>
      <c r="H9" s="28" t="s">
        <v>30</v>
      </c>
      <c r="I9" s="28" t="s">
        <v>52</v>
      </c>
      <c r="J9" s="207">
        <f>J8*AVERAGE(G17,G18)*D20*1000/2</f>
        <v>1357.2706122448981</v>
      </c>
      <c r="P9" s="36"/>
    </row>
    <row r="10" spans="2:16" ht="13.8" thickBot="1" x14ac:dyDescent="0.3">
      <c r="B10" s="63" t="s">
        <v>91</v>
      </c>
      <c r="C10" s="28" t="s">
        <v>80</v>
      </c>
      <c r="D10" s="61">
        <v>198.8</v>
      </c>
      <c r="E10" s="165" t="s">
        <v>119</v>
      </c>
      <c r="F10" s="165" t="s">
        <v>117</v>
      </c>
      <c r="G10" s="48">
        <f>G8+G9</f>
        <v>750.2</v>
      </c>
      <c r="H10" s="141" t="s">
        <v>33</v>
      </c>
      <c r="I10" s="30" t="s">
        <v>53</v>
      </c>
      <c r="J10" s="207">
        <f>(J8*G22*D21)/2*1000</f>
        <v>0</v>
      </c>
      <c r="L10" s="143" t="s">
        <v>134</v>
      </c>
      <c r="M10" s="144"/>
      <c r="P10" s="36"/>
    </row>
    <row r="11" spans="2:16" ht="13.8" thickBot="1" x14ac:dyDescent="0.3">
      <c r="B11" s="63" t="s">
        <v>1</v>
      </c>
      <c r="C11" s="28" t="s">
        <v>81</v>
      </c>
      <c r="D11" s="61">
        <v>219.2</v>
      </c>
      <c r="E11" s="165" t="s">
        <v>115</v>
      </c>
      <c r="F11" s="165" t="s">
        <v>118</v>
      </c>
      <c r="G11" s="169">
        <f>D8+D9+D10+D11</f>
        <v>810</v>
      </c>
      <c r="H11" s="29"/>
      <c r="I11" s="29"/>
      <c r="J11" s="53"/>
      <c r="K11" s="27"/>
      <c r="P11" s="50"/>
    </row>
    <row r="12" spans="2:16" ht="13.8" thickBot="1" x14ac:dyDescent="0.3">
      <c r="B12" s="63" t="s">
        <v>92</v>
      </c>
      <c r="C12" s="28" t="s">
        <v>82</v>
      </c>
      <c r="D12" s="62">
        <v>29</v>
      </c>
      <c r="E12" s="170" t="s">
        <v>128</v>
      </c>
      <c r="F12" s="170" t="s">
        <v>129</v>
      </c>
      <c r="G12" s="169">
        <f>D12+D13+D14+D15</f>
        <v>128</v>
      </c>
      <c r="H12" s="28" t="s">
        <v>59</v>
      </c>
      <c r="I12" s="30" t="s">
        <v>156</v>
      </c>
      <c r="J12" s="52">
        <f>((G8)*D1*D27)/D20</f>
        <v>132.97224489795917</v>
      </c>
      <c r="L12" s="143" t="s">
        <v>166</v>
      </c>
      <c r="M12" s="144"/>
      <c r="P12" s="36"/>
    </row>
    <row r="13" spans="2:16" x14ac:dyDescent="0.25">
      <c r="B13" s="63" t="s">
        <v>93</v>
      </c>
      <c r="C13" s="28" t="s">
        <v>83</v>
      </c>
      <c r="D13" s="61">
        <v>29</v>
      </c>
      <c r="E13" s="30" t="s">
        <v>111</v>
      </c>
      <c r="F13" s="28" t="s">
        <v>73</v>
      </c>
      <c r="G13" s="34">
        <f>D16/5.71</f>
        <v>41.155866900175134</v>
      </c>
      <c r="H13" s="28" t="s">
        <v>62</v>
      </c>
      <c r="I13" s="30" t="s">
        <v>157</v>
      </c>
      <c r="J13" s="52">
        <f>J11+G9*D1*D28/D21</f>
        <v>315.26052631578943</v>
      </c>
      <c r="P13" s="36"/>
    </row>
    <row r="14" spans="2:16" x14ac:dyDescent="0.25">
      <c r="B14" s="63" t="s">
        <v>94</v>
      </c>
      <c r="C14" s="28" t="s">
        <v>84</v>
      </c>
      <c r="D14" s="61">
        <v>35</v>
      </c>
      <c r="E14" s="30" t="s">
        <v>112</v>
      </c>
      <c r="F14" s="28" t="s">
        <v>74</v>
      </c>
      <c r="G14" s="34">
        <f>D17/5.71</f>
        <v>41.155866900175134</v>
      </c>
      <c r="H14" s="28" t="s">
        <v>60</v>
      </c>
      <c r="I14" s="30" t="s">
        <v>158</v>
      </c>
      <c r="J14" s="52">
        <f>(D12+D13)*D1*D23/D20</f>
        <v>89.485714285714295</v>
      </c>
    </row>
    <row r="15" spans="2:16" x14ac:dyDescent="0.25">
      <c r="B15" s="63" t="s">
        <v>21</v>
      </c>
      <c r="C15" s="28" t="s">
        <v>85</v>
      </c>
      <c r="D15" s="61">
        <v>35</v>
      </c>
      <c r="E15" s="28" t="s">
        <v>98</v>
      </c>
      <c r="F15" s="28" t="s">
        <v>75</v>
      </c>
      <c r="G15" s="34">
        <f>D18/5.71</f>
        <v>58.844133099824866</v>
      </c>
      <c r="H15" s="28" t="s">
        <v>61</v>
      </c>
      <c r="I15" s="30" t="s">
        <v>159</v>
      </c>
      <c r="J15" s="52">
        <f>(D14+D15)*D1*D24/D21</f>
        <v>104.44736842105264</v>
      </c>
      <c r="L15" s="129"/>
    </row>
    <row r="16" spans="2:16" x14ac:dyDescent="0.25">
      <c r="B16" s="63" t="s">
        <v>104</v>
      </c>
      <c r="C16" s="28" t="s">
        <v>106</v>
      </c>
      <c r="D16" s="208">
        <v>235</v>
      </c>
      <c r="E16" s="28" t="s">
        <v>99</v>
      </c>
      <c r="F16" s="28" t="s">
        <v>76</v>
      </c>
      <c r="G16" s="34">
        <f>D19/5.71</f>
        <v>59.019264448336251</v>
      </c>
      <c r="H16" s="28"/>
      <c r="I16" s="165" t="s">
        <v>160</v>
      </c>
      <c r="J16" s="173">
        <f>J9+J12+J14</f>
        <v>1579.7285714285715</v>
      </c>
    </row>
    <row r="17" spans="2:16" ht="13.8" thickBot="1" x14ac:dyDescent="0.3">
      <c r="B17" s="63" t="s">
        <v>105</v>
      </c>
      <c r="C17" s="28" t="s">
        <v>107</v>
      </c>
      <c r="D17" s="208">
        <v>235</v>
      </c>
      <c r="E17" s="28" t="s">
        <v>100</v>
      </c>
      <c r="F17" s="28" t="s">
        <v>77</v>
      </c>
      <c r="G17" s="34">
        <f>G13*D5^2</f>
        <v>27.673204903677757</v>
      </c>
      <c r="H17" s="28"/>
      <c r="I17" s="165" t="s">
        <v>161</v>
      </c>
      <c r="J17" s="219">
        <f>J10+J13+J15</f>
        <v>419.70789473684209</v>
      </c>
      <c r="L17" s="129"/>
      <c r="P17" s="50"/>
    </row>
    <row r="18" spans="2:16" ht="13.8" thickBot="1" x14ac:dyDescent="0.3">
      <c r="B18" s="63" t="s">
        <v>98</v>
      </c>
      <c r="C18" s="28" t="s">
        <v>108</v>
      </c>
      <c r="D18" s="61">
        <v>336</v>
      </c>
      <c r="E18" s="28" t="s">
        <v>101</v>
      </c>
      <c r="F18" s="28" t="s">
        <v>102</v>
      </c>
      <c r="G18" s="130">
        <f>G14*D5^2</f>
        <v>27.673204903677757</v>
      </c>
      <c r="H18" s="28"/>
      <c r="I18" s="172" t="s">
        <v>187</v>
      </c>
      <c r="J18" s="140">
        <f>J16+J17</f>
        <v>1999.4364661654135</v>
      </c>
      <c r="P18" s="50"/>
    </row>
    <row r="19" spans="2:16" x14ac:dyDescent="0.25">
      <c r="B19" s="63" t="s">
        <v>99</v>
      </c>
      <c r="C19" s="28" t="s">
        <v>109</v>
      </c>
      <c r="D19" s="61">
        <v>337</v>
      </c>
      <c r="E19" s="28" t="s">
        <v>168</v>
      </c>
      <c r="F19" s="28" t="s">
        <v>164</v>
      </c>
      <c r="G19" s="213">
        <f>G15*D6^2</f>
        <v>28.833625218914179</v>
      </c>
      <c r="H19" s="28" t="s">
        <v>103</v>
      </c>
      <c r="I19" s="28" t="s">
        <v>54</v>
      </c>
      <c r="J19" s="133">
        <f>(D8*9.81)+J16</f>
        <v>3402.4265714285716</v>
      </c>
      <c r="L19" s="147" t="s">
        <v>126</v>
      </c>
      <c r="M19" s="148"/>
      <c r="N19" s="149"/>
      <c r="O19" s="150"/>
      <c r="P19" s="50"/>
    </row>
    <row r="20" spans="2:16" x14ac:dyDescent="0.25">
      <c r="B20" s="63" t="s">
        <v>26</v>
      </c>
      <c r="C20" s="28" t="s">
        <v>24</v>
      </c>
      <c r="D20" s="61">
        <v>1.47</v>
      </c>
      <c r="E20" s="28" t="s">
        <v>169</v>
      </c>
      <c r="F20" s="28" t="s">
        <v>165</v>
      </c>
      <c r="G20" s="35">
        <f>G16*D7^2</f>
        <v>28.919439579684759</v>
      </c>
      <c r="H20" s="30" t="s">
        <v>113</v>
      </c>
      <c r="I20" s="28" t="s">
        <v>55</v>
      </c>
      <c r="J20" s="60">
        <f>(D9*9.81)-J16</f>
        <v>443.09342857142838</v>
      </c>
      <c r="L20" s="151" t="s">
        <v>125</v>
      </c>
      <c r="M20" s="46"/>
      <c r="N20" s="46"/>
      <c r="O20" s="152"/>
      <c r="P20" s="50"/>
    </row>
    <row r="21" spans="2:16" x14ac:dyDescent="0.25">
      <c r="B21" s="63" t="s">
        <v>27</v>
      </c>
      <c r="C21" s="28" t="s">
        <v>25</v>
      </c>
      <c r="D21" s="61">
        <v>1.52</v>
      </c>
      <c r="E21" s="195" t="s">
        <v>182</v>
      </c>
      <c r="F21" s="192" t="s">
        <v>180</v>
      </c>
      <c r="G21" s="214">
        <f>(G17+G18)/2</f>
        <v>27.673204903677757</v>
      </c>
      <c r="H21" s="30" t="s">
        <v>110</v>
      </c>
      <c r="I21" s="28" t="s">
        <v>56</v>
      </c>
      <c r="J21" s="220">
        <f>(D10*9.81)+J17</f>
        <v>2369.9358947368423</v>
      </c>
      <c r="L21" s="153" t="s">
        <v>131</v>
      </c>
      <c r="M21" s="46"/>
      <c r="N21" s="46"/>
      <c r="O21" s="152"/>
    </row>
    <row r="22" spans="2:16" ht="13.8" thickBot="1" x14ac:dyDescent="0.3">
      <c r="B22" s="63" t="s">
        <v>29</v>
      </c>
      <c r="C22" s="28" t="s">
        <v>28</v>
      </c>
      <c r="D22" s="61">
        <v>2.5499999999999998</v>
      </c>
      <c r="E22" s="195" t="s">
        <v>183</v>
      </c>
      <c r="F22" s="192" t="s">
        <v>181</v>
      </c>
      <c r="G22" s="193"/>
      <c r="H22" s="28" t="s">
        <v>41</v>
      </c>
      <c r="I22" s="28" t="s">
        <v>57</v>
      </c>
      <c r="J22" s="221">
        <f>(D11*9.81)-J17</f>
        <v>1730.6441052631578</v>
      </c>
      <c r="L22" s="154" t="s">
        <v>130</v>
      </c>
      <c r="M22" s="155"/>
      <c r="N22" s="155"/>
      <c r="O22" s="156"/>
    </row>
    <row r="23" spans="2:16" x14ac:dyDescent="0.25">
      <c r="B23" s="164" t="s">
        <v>136</v>
      </c>
      <c r="C23" s="165" t="s">
        <v>184</v>
      </c>
      <c r="D23" s="61">
        <v>0.28000000000000003</v>
      </c>
      <c r="E23" s="28" t="s">
        <v>37</v>
      </c>
      <c r="F23" s="30" t="s">
        <v>116</v>
      </c>
      <c r="G23" s="196">
        <f>(G9*D22)/G10</f>
        <v>1.1828845641162355</v>
      </c>
      <c r="H23" s="28"/>
      <c r="I23" s="134" t="s">
        <v>162</v>
      </c>
      <c r="J23" s="136">
        <f>SUM(J19, J20, J21, J22)</f>
        <v>7946.1</v>
      </c>
    </row>
    <row r="24" spans="2:16" ht="13.8" thickBot="1" x14ac:dyDescent="0.3">
      <c r="B24" s="166" t="s">
        <v>135</v>
      </c>
      <c r="C24" s="167" t="s">
        <v>185</v>
      </c>
      <c r="D24" s="168">
        <v>0.28000000000000003</v>
      </c>
      <c r="E24" s="28" t="s">
        <v>38</v>
      </c>
      <c r="F24" s="28" t="s">
        <v>47</v>
      </c>
      <c r="G24" s="49" t="s">
        <v>188</v>
      </c>
      <c r="H24" s="28"/>
      <c r="I24" s="58" t="s">
        <v>163</v>
      </c>
      <c r="J24" s="137">
        <f>G11*9.81</f>
        <v>7946.1</v>
      </c>
    </row>
    <row r="25" spans="2:16" x14ac:dyDescent="0.25">
      <c r="B25" s="186" t="s">
        <v>172</v>
      </c>
      <c r="C25" s="28" t="s">
        <v>65</v>
      </c>
      <c r="D25" s="61">
        <v>0.45</v>
      </c>
      <c r="E25" s="28" t="s">
        <v>39</v>
      </c>
      <c r="F25" s="28" t="s">
        <v>44</v>
      </c>
      <c r="G25" s="49">
        <v>0.05</v>
      </c>
      <c r="H25" s="28"/>
      <c r="I25" s="28"/>
      <c r="J25" s="132"/>
    </row>
    <row r="26" spans="2:16" ht="13.8" thickBot="1" x14ac:dyDescent="0.3">
      <c r="B26" s="63" t="s">
        <v>63</v>
      </c>
      <c r="C26" s="28" t="s">
        <v>64</v>
      </c>
      <c r="D26" s="43">
        <f>((D25*G11)-((D12+D13)*D23)-((D14+D15)*D24))/G10</f>
        <v>0.43809650759797381</v>
      </c>
      <c r="E26" s="28" t="s">
        <v>40</v>
      </c>
      <c r="F26" s="28" t="s">
        <v>45</v>
      </c>
      <c r="G26" s="197">
        <f>G25+D27</f>
        <v>0.11</v>
      </c>
      <c r="H26" s="28"/>
      <c r="I26" s="28"/>
      <c r="J26" s="131"/>
    </row>
    <row r="27" spans="2:16" ht="13.8" thickBot="1" x14ac:dyDescent="0.3">
      <c r="B27" s="63" t="s">
        <v>35</v>
      </c>
      <c r="C27" s="30" t="s">
        <v>173</v>
      </c>
      <c r="D27" s="61">
        <v>0.06</v>
      </c>
      <c r="E27" s="28" t="s">
        <v>69</v>
      </c>
      <c r="F27" s="28" t="s">
        <v>46</v>
      </c>
      <c r="G27" s="197">
        <f>D26-G25-D27</f>
        <v>0.32809650759797382</v>
      </c>
      <c r="H27" s="28" t="s">
        <v>67</v>
      </c>
      <c r="I27" s="55" t="s">
        <v>68</v>
      </c>
      <c r="J27" s="199">
        <f>G11*D1*D25 /AVERAGE(D20,D21)</f>
        <v>1974.8829431438128</v>
      </c>
      <c r="L27" s="157" t="s">
        <v>127</v>
      </c>
      <c r="M27" s="149"/>
      <c r="N27" s="149"/>
      <c r="O27" s="158"/>
      <c r="P27" s="150"/>
    </row>
    <row r="28" spans="2:16" ht="13.8" thickBot="1" x14ac:dyDescent="0.3">
      <c r="B28" s="182" t="s">
        <v>36</v>
      </c>
      <c r="C28" s="187" t="s">
        <v>174</v>
      </c>
      <c r="D28" s="183">
        <v>0.17</v>
      </c>
      <c r="E28" s="64"/>
      <c r="F28" s="64"/>
      <c r="G28" s="184"/>
      <c r="H28" s="64"/>
      <c r="I28" s="64"/>
      <c r="J28" s="185"/>
      <c r="L28" s="159" t="s">
        <v>167</v>
      </c>
      <c r="M28" s="155"/>
      <c r="N28" s="155"/>
      <c r="O28" s="160"/>
      <c r="P28" s="156"/>
    </row>
    <row r="29" spans="2:16" x14ac:dyDescent="0.25">
      <c r="B29" s="202" t="s">
        <v>189</v>
      </c>
      <c r="C29" s="195" t="s">
        <v>190</v>
      </c>
      <c r="D29" s="203">
        <f>J19-J20</f>
        <v>2959.3331428571432</v>
      </c>
      <c r="E29" s="36"/>
      <c r="F29" s="36"/>
      <c r="G29" s="200"/>
      <c r="H29" s="36"/>
      <c r="I29" s="36"/>
      <c r="J29" s="200"/>
      <c r="L29" s="201"/>
      <c r="M29" s="46"/>
      <c r="N29" s="46"/>
      <c r="O29" s="46"/>
      <c r="P29" s="46"/>
    </row>
    <row r="30" spans="2:16" x14ac:dyDescent="0.25">
      <c r="B30" s="202" t="s">
        <v>191</v>
      </c>
      <c r="C30" s="195" t="s">
        <v>192</v>
      </c>
      <c r="D30" s="222">
        <f>J21-J22</f>
        <v>639.2917894736845</v>
      </c>
      <c r="L30" s="139"/>
      <c r="M30" s="139"/>
      <c r="N30" s="139"/>
      <c r="O30" s="139"/>
    </row>
    <row r="31" spans="2:16" x14ac:dyDescent="0.25">
      <c r="B31" s="202" t="s">
        <v>193</v>
      </c>
      <c r="C31" s="195" t="s">
        <v>194</v>
      </c>
      <c r="D31" s="222">
        <f>D29-D30</f>
        <v>2320.041353383459</v>
      </c>
      <c r="L31" s="139"/>
      <c r="M31" s="139"/>
      <c r="N31" s="139"/>
      <c r="O31" s="139"/>
    </row>
    <row r="32" spans="2:16" x14ac:dyDescent="0.25">
      <c r="B32" s="202" t="s">
        <v>195</v>
      </c>
      <c r="C32" s="195" t="s">
        <v>196</v>
      </c>
      <c r="D32" s="222">
        <f>J17/J27*100</f>
        <v>21.252292253266912</v>
      </c>
      <c r="L32" s="139"/>
      <c r="M32" s="139"/>
      <c r="N32" s="139"/>
      <c r="O32" s="139"/>
    </row>
    <row r="33" spans="2:15" ht="13.8" thickBot="1" x14ac:dyDescent="0.3">
      <c r="B33" s="204"/>
      <c r="C33" s="205"/>
      <c r="L33" s="139"/>
      <c r="M33" s="139"/>
      <c r="N33" s="139"/>
      <c r="O33" s="139"/>
    </row>
    <row r="34" spans="2:15" ht="18" customHeight="1" thickBot="1" x14ac:dyDescent="0.3">
      <c r="D34" s="145" t="s">
        <v>120</v>
      </c>
      <c r="E34" s="146"/>
      <c r="G34" s="191"/>
      <c r="H34" s="39"/>
      <c r="I34" s="39"/>
      <c r="L34" s="138"/>
      <c r="M34" s="138"/>
      <c r="N34" s="138"/>
      <c r="O34" s="138"/>
    </row>
    <row r="35" spans="2:15" ht="14.4" thickBot="1" x14ac:dyDescent="0.3">
      <c r="G35" s="39"/>
      <c r="I35" s="39"/>
    </row>
    <row r="36" spans="2:15" ht="18" thickBot="1" x14ac:dyDescent="0.35">
      <c r="C36" s="163" t="s">
        <v>179</v>
      </c>
      <c r="F36" s="161" t="s">
        <v>123</v>
      </c>
      <c r="H36" s="40"/>
    </row>
    <row r="37" spans="2:15" ht="14.4" thickBot="1" x14ac:dyDescent="0.3">
      <c r="F37" s="162" t="s">
        <v>124</v>
      </c>
    </row>
    <row r="39" spans="2:15" x14ac:dyDescent="0.25">
      <c r="B39" s="54"/>
    </row>
    <row r="40" spans="2:15" x14ac:dyDescent="0.25">
      <c r="B40" s="50"/>
      <c r="C40" s="142"/>
      <c r="D40" s="50"/>
    </row>
    <row r="41" spans="2:15" x14ac:dyDescent="0.25">
      <c r="B41" s="50"/>
      <c r="C41" s="142"/>
      <c r="D41" s="50"/>
    </row>
    <row r="43" spans="2:15" x14ac:dyDescent="0.25">
      <c r="D43" t="s">
        <v>186</v>
      </c>
      <c r="G43" t="s">
        <v>59</v>
      </c>
    </row>
    <row r="44" spans="2:15" x14ac:dyDescent="0.25">
      <c r="G44">
        <f>(G8*D1*D27)/D20</f>
        <v>132.97224489795917</v>
      </c>
    </row>
    <row r="45" spans="2:15" x14ac:dyDescent="0.25">
      <c r="B45" s="223" t="s">
        <v>203</v>
      </c>
      <c r="C45" s="223" t="s">
        <v>204</v>
      </c>
      <c r="D45" s="224"/>
      <c r="E45" s="224"/>
      <c r="F45" s="224"/>
    </row>
    <row r="46" spans="2:15" x14ac:dyDescent="0.25">
      <c r="B46" s="223" t="s">
        <v>205</v>
      </c>
      <c r="C46" s="223" t="s">
        <v>206</v>
      </c>
      <c r="D46" s="224"/>
      <c r="E46" s="224"/>
      <c r="F46" s="224"/>
      <c r="G46" t="s">
        <v>62</v>
      </c>
    </row>
    <row r="47" spans="2:15" x14ac:dyDescent="0.25">
      <c r="B47" s="211"/>
      <c r="C47" s="211"/>
      <c r="D47" s="212"/>
      <c r="E47" s="212"/>
      <c r="F47" s="212"/>
      <c r="G47">
        <f>(G9*D1*D28)/D21</f>
        <v>315.26052631578943</v>
      </c>
    </row>
    <row r="48" spans="2:15" x14ac:dyDescent="0.25">
      <c r="B48" s="211"/>
      <c r="C48" s="212"/>
      <c r="D48" s="212"/>
      <c r="E48" s="212"/>
      <c r="F48" s="212"/>
    </row>
    <row r="49" spans="7:7" x14ac:dyDescent="0.25">
      <c r="G49" t="s">
        <v>30</v>
      </c>
    </row>
    <row r="50" spans="7:7" x14ac:dyDescent="0.25">
      <c r="G50" s="216">
        <f>(J8*D20*G21)/2</f>
        <v>1.3572706122448981</v>
      </c>
    </row>
    <row r="52" spans="7:7" x14ac:dyDescent="0.25">
      <c r="G52" t="s">
        <v>33</v>
      </c>
    </row>
    <row r="53" spans="7:7" x14ac:dyDescent="0.25">
      <c r="G53">
        <f>(J8*D21*G22)/2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1C7A-B9F7-4D84-9298-10EDD5E34837}">
  <dimension ref="B1:P53"/>
  <sheetViews>
    <sheetView topLeftCell="A22" zoomScale="93" zoomScaleNormal="93" workbookViewId="0">
      <selection activeCell="C48" sqref="C48"/>
    </sheetView>
  </sheetViews>
  <sheetFormatPr defaultRowHeight="13.2" x14ac:dyDescent="0.25"/>
  <cols>
    <col min="3" max="3" width="51.6640625" customWidth="1"/>
    <col min="6" max="6" width="41.6640625" customWidth="1"/>
    <col min="7" max="7" width="13.6640625" customWidth="1"/>
    <col min="9" max="9" width="53.44140625" customWidth="1"/>
    <col min="10" max="10" width="12.109375" customWidth="1"/>
    <col min="11" max="11" width="7.44140625" customWidth="1"/>
    <col min="12" max="14" width="9.109375" customWidth="1"/>
    <col min="15" max="15" width="11.109375" customWidth="1"/>
    <col min="16" max="16" width="10.109375" customWidth="1"/>
  </cols>
  <sheetData>
    <row r="1" spans="2:16" ht="18" thickBot="1" x14ac:dyDescent="0.35">
      <c r="C1" s="31" t="s">
        <v>114</v>
      </c>
      <c r="D1" s="51">
        <v>8.1</v>
      </c>
      <c r="F1" s="45" t="s">
        <v>171</v>
      </c>
      <c r="G1" s="44"/>
    </row>
    <row r="2" spans="2:16" ht="13.8" thickBot="1" x14ac:dyDescent="0.3"/>
    <row r="3" spans="2:16" ht="16.2" thickBot="1" x14ac:dyDescent="0.35">
      <c r="B3" s="37" t="s">
        <v>31</v>
      </c>
      <c r="C3" s="38"/>
      <c r="D3" s="38"/>
      <c r="E3" s="38" t="s">
        <v>32</v>
      </c>
      <c r="F3" s="38"/>
      <c r="G3" s="38"/>
      <c r="H3" s="38" t="s">
        <v>34</v>
      </c>
      <c r="I3" s="38"/>
      <c r="J3" s="175"/>
    </row>
    <row r="4" spans="2:16" ht="14.4" thickBot="1" x14ac:dyDescent="0.3">
      <c r="B4" s="176" t="s">
        <v>86</v>
      </c>
      <c r="C4" s="180" t="s">
        <v>175</v>
      </c>
      <c r="D4" s="178">
        <v>0.87</v>
      </c>
      <c r="E4" s="177" t="s">
        <v>95</v>
      </c>
      <c r="F4" s="177" t="s">
        <v>70</v>
      </c>
      <c r="G4" s="198">
        <v>225</v>
      </c>
      <c r="H4" s="180" t="s">
        <v>66</v>
      </c>
      <c r="I4" s="180" t="s">
        <v>121</v>
      </c>
      <c r="J4" s="181">
        <f>((D20^2*G21)/2)*1000</f>
        <v>29899.514238178628</v>
      </c>
      <c r="M4" s="42"/>
    </row>
    <row r="5" spans="2:16" ht="12" customHeight="1" thickBot="1" x14ac:dyDescent="0.3">
      <c r="B5" s="63" t="s">
        <v>87</v>
      </c>
      <c r="C5" s="180" t="s">
        <v>176</v>
      </c>
      <c r="D5" s="61">
        <v>0.82</v>
      </c>
      <c r="E5" s="28" t="s">
        <v>96</v>
      </c>
      <c r="F5" s="28" t="s">
        <v>2</v>
      </c>
      <c r="G5" s="179">
        <f>D9-D13</f>
        <v>177.2</v>
      </c>
      <c r="H5" s="28" t="s">
        <v>42</v>
      </c>
      <c r="I5" s="28" t="s">
        <v>51</v>
      </c>
      <c r="J5" s="181">
        <f>((D21^2*G22)/2)*1000</f>
        <v>70828.245520140103</v>
      </c>
      <c r="M5" s="41"/>
    </row>
    <row r="6" spans="2:16" ht="16.5" customHeight="1" thickBot="1" x14ac:dyDescent="0.3">
      <c r="B6" s="63" t="s">
        <v>88</v>
      </c>
      <c r="C6" s="180" t="s">
        <v>177</v>
      </c>
      <c r="D6" s="61">
        <v>1.02</v>
      </c>
      <c r="E6" s="28" t="s">
        <v>97</v>
      </c>
      <c r="F6" s="28" t="s">
        <v>72</v>
      </c>
      <c r="G6" s="179">
        <f>D10-D14</f>
        <v>163.80000000000001</v>
      </c>
      <c r="H6" s="28" t="s">
        <v>43</v>
      </c>
      <c r="I6" s="28" t="s">
        <v>50</v>
      </c>
      <c r="J6" s="52">
        <f>J4+J5</f>
        <v>100727.75975831873</v>
      </c>
      <c r="L6" s="189" t="s">
        <v>170</v>
      </c>
      <c r="M6" s="190"/>
    </row>
    <row r="7" spans="2:16" x14ac:dyDescent="0.25">
      <c r="B7" s="63" t="s">
        <v>58</v>
      </c>
      <c r="C7" s="180" t="s">
        <v>178</v>
      </c>
      <c r="D7" s="61">
        <v>1.02</v>
      </c>
      <c r="E7" s="28" t="s">
        <v>0</v>
      </c>
      <c r="F7" s="28" t="s">
        <v>71</v>
      </c>
      <c r="G7" s="179">
        <f>D11-D15</f>
        <v>184.2</v>
      </c>
      <c r="H7" s="28" t="s">
        <v>48</v>
      </c>
      <c r="I7" s="28" t="s">
        <v>49</v>
      </c>
      <c r="J7" s="52">
        <f>G10*G27*D1+D20</f>
        <v>1995.1877999999997</v>
      </c>
    </row>
    <row r="8" spans="2:16" ht="13.8" x14ac:dyDescent="0.3">
      <c r="B8" s="63" t="s">
        <v>89</v>
      </c>
      <c r="C8" s="28" t="s">
        <v>78</v>
      </c>
      <c r="D8" s="61">
        <v>185.8</v>
      </c>
      <c r="E8" s="30" t="s">
        <v>23</v>
      </c>
      <c r="F8" s="28" t="s">
        <v>19</v>
      </c>
      <c r="G8" s="32">
        <f>G4+G5</f>
        <v>402.2</v>
      </c>
      <c r="H8" s="171" t="s">
        <v>122</v>
      </c>
      <c r="I8" s="30" t="s">
        <v>133</v>
      </c>
      <c r="J8" s="188">
        <f>J7/J6</f>
        <v>1.980772534589428E-2</v>
      </c>
      <c r="K8" s="59">
        <f>J8*180/3.142</f>
        <v>1.1347519294274253</v>
      </c>
      <c r="L8" s="56" t="s">
        <v>132</v>
      </c>
      <c r="P8" s="47"/>
    </row>
    <row r="9" spans="2:16" ht="13.8" thickBot="1" x14ac:dyDescent="0.3">
      <c r="B9" s="63" t="s">
        <v>90</v>
      </c>
      <c r="C9" s="28" t="s">
        <v>79</v>
      </c>
      <c r="D9" s="61">
        <v>206.2</v>
      </c>
      <c r="E9" s="28" t="s">
        <v>22</v>
      </c>
      <c r="F9" s="28" t="s">
        <v>20</v>
      </c>
      <c r="G9" s="32">
        <f>G6+G7</f>
        <v>348</v>
      </c>
      <c r="H9" s="28" t="s">
        <v>30</v>
      </c>
      <c r="I9" s="28" t="s">
        <v>52</v>
      </c>
      <c r="J9" s="207">
        <f>J8*AVERAGE(G17,G18)*D20*1000/2</f>
        <v>402.88528299693735</v>
      </c>
      <c r="P9" s="36"/>
    </row>
    <row r="10" spans="2:16" ht="13.8" thickBot="1" x14ac:dyDescent="0.3">
      <c r="B10" s="63" t="s">
        <v>91</v>
      </c>
      <c r="C10" s="28" t="s">
        <v>80</v>
      </c>
      <c r="D10" s="61">
        <v>198.8</v>
      </c>
      <c r="E10" s="165" t="s">
        <v>119</v>
      </c>
      <c r="F10" s="165" t="s">
        <v>117</v>
      </c>
      <c r="G10" s="48">
        <f>G8+G9</f>
        <v>750.2</v>
      </c>
      <c r="H10" s="141" t="s">
        <v>33</v>
      </c>
      <c r="I10" s="30" t="s">
        <v>53</v>
      </c>
      <c r="J10" s="57">
        <f>(J8*G22*D21)/2*1000</f>
        <v>922.99107499638285</v>
      </c>
      <c r="L10" s="143" t="s">
        <v>134</v>
      </c>
      <c r="M10" s="144"/>
      <c r="P10" s="36"/>
    </row>
    <row r="11" spans="2:16" ht="13.8" thickBot="1" x14ac:dyDescent="0.3">
      <c r="B11" s="63" t="s">
        <v>1</v>
      </c>
      <c r="C11" s="28" t="s">
        <v>81</v>
      </c>
      <c r="D11" s="61">
        <v>219.2</v>
      </c>
      <c r="E11" s="165" t="s">
        <v>115</v>
      </c>
      <c r="F11" s="165" t="s">
        <v>118</v>
      </c>
      <c r="G11" s="169">
        <f>D8+D9+D10+D11</f>
        <v>810</v>
      </c>
      <c r="H11" s="29"/>
      <c r="I11" s="29"/>
      <c r="J11" s="53"/>
      <c r="K11" s="27"/>
      <c r="P11" s="50"/>
    </row>
    <row r="12" spans="2:16" ht="13.8" thickBot="1" x14ac:dyDescent="0.3">
      <c r="B12" s="63" t="s">
        <v>92</v>
      </c>
      <c r="C12" s="28" t="s">
        <v>82</v>
      </c>
      <c r="D12" s="62">
        <v>29</v>
      </c>
      <c r="E12" s="170" t="s">
        <v>128</v>
      </c>
      <c r="F12" s="170" t="s">
        <v>129</v>
      </c>
      <c r="G12" s="169">
        <f>D12+D13+D14+D15</f>
        <v>128</v>
      </c>
      <c r="H12" s="28" t="s">
        <v>59</v>
      </c>
      <c r="I12" s="30" t="s">
        <v>156</v>
      </c>
      <c r="J12" s="52">
        <f>((G8)*D1*D27)/D20</f>
        <v>132.97224489795917</v>
      </c>
      <c r="L12" s="143" t="s">
        <v>166</v>
      </c>
      <c r="M12" s="144"/>
      <c r="P12" s="36"/>
    </row>
    <row r="13" spans="2:16" x14ac:dyDescent="0.25">
      <c r="B13" s="63" t="s">
        <v>93</v>
      </c>
      <c r="C13" s="28" t="s">
        <v>83</v>
      </c>
      <c r="D13" s="61">
        <v>29</v>
      </c>
      <c r="E13" s="30" t="s">
        <v>111</v>
      </c>
      <c r="F13" s="28" t="s">
        <v>73</v>
      </c>
      <c r="G13" s="34">
        <f>D16/5.71</f>
        <v>41.155866900175134</v>
      </c>
      <c r="H13" s="28" t="s">
        <v>62</v>
      </c>
      <c r="I13" s="30" t="s">
        <v>157</v>
      </c>
      <c r="J13" s="52">
        <f>J11+G9*D1*D28/D21</f>
        <v>315.26052631578943</v>
      </c>
      <c r="P13" s="36"/>
    </row>
    <row r="14" spans="2:16" x14ac:dyDescent="0.25">
      <c r="B14" s="63" t="s">
        <v>94</v>
      </c>
      <c r="C14" s="28" t="s">
        <v>84</v>
      </c>
      <c r="D14" s="61">
        <v>35</v>
      </c>
      <c r="E14" s="30" t="s">
        <v>112</v>
      </c>
      <c r="F14" s="28" t="s">
        <v>74</v>
      </c>
      <c r="G14" s="34">
        <f>D17/5.71</f>
        <v>41.155866900175134</v>
      </c>
      <c r="H14" s="28" t="s">
        <v>60</v>
      </c>
      <c r="I14" s="30" t="s">
        <v>158</v>
      </c>
      <c r="J14" s="52">
        <f>(D12+D13)*D1*D23/D20</f>
        <v>89.485714285714295</v>
      </c>
    </row>
    <row r="15" spans="2:16" x14ac:dyDescent="0.25">
      <c r="B15" s="63" t="s">
        <v>21</v>
      </c>
      <c r="C15" s="28" t="s">
        <v>85</v>
      </c>
      <c r="D15" s="61">
        <v>35</v>
      </c>
      <c r="E15" s="28" t="s">
        <v>98</v>
      </c>
      <c r="F15" s="28" t="s">
        <v>75</v>
      </c>
      <c r="G15" s="34">
        <f>D18/5.71</f>
        <v>58.844133099824866</v>
      </c>
      <c r="H15" s="28" t="s">
        <v>61</v>
      </c>
      <c r="I15" s="30" t="s">
        <v>159</v>
      </c>
      <c r="J15" s="52">
        <f>(D14+D15)*D1*D24/D21</f>
        <v>104.44736842105264</v>
      </c>
      <c r="L15" s="129"/>
    </row>
    <row r="16" spans="2:16" x14ac:dyDescent="0.25">
      <c r="B16" s="63" t="s">
        <v>104</v>
      </c>
      <c r="C16" s="28" t="s">
        <v>106</v>
      </c>
      <c r="D16" s="208">
        <v>235</v>
      </c>
      <c r="E16" s="28" t="s">
        <v>99</v>
      </c>
      <c r="F16" s="28" t="s">
        <v>76</v>
      </c>
      <c r="G16" s="34">
        <f>D19/5.71</f>
        <v>59.019264448336251</v>
      </c>
      <c r="H16" s="28"/>
      <c r="I16" s="165" t="s">
        <v>160</v>
      </c>
      <c r="J16" s="173">
        <f>J9+J12+J14</f>
        <v>625.34324218061079</v>
      </c>
    </row>
    <row r="17" spans="2:16" ht="13.8" thickBot="1" x14ac:dyDescent="0.3">
      <c r="B17" s="63" t="s">
        <v>105</v>
      </c>
      <c r="C17" s="28" t="s">
        <v>107</v>
      </c>
      <c r="D17" s="208">
        <v>235</v>
      </c>
      <c r="E17" s="28" t="s">
        <v>100</v>
      </c>
      <c r="F17" s="28" t="s">
        <v>77</v>
      </c>
      <c r="G17" s="34">
        <f>G13*D5^2</f>
        <v>27.673204903677757</v>
      </c>
      <c r="H17" s="28"/>
      <c r="I17" s="165" t="s">
        <v>161</v>
      </c>
      <c r="J17" s="174">
        <f>J10+J13+J15</f>
        <v>1342.6989697332249</v>
      </c>
      <c r="L17" s="129"/>
      <c r="P17" s="50"/>
    </row>
    <row r="18" spans="2:16" ht="13.8" thickBot="1" x14ac:dyDescent="0.3">
      <c r="B18" s="63" t="s">
        <v>98</v>
      </c>
      <c r="C18" s="28" t="s">
        <v>108</v>
      </c>
      <c r="D18" s="61">
        <v>336</v>
      </c>
      <c r="E18" s="28" t="s">
        <v>101</v>
      </c>
      <c r="F18" s="28" t="s">
        <v>102</v>
      </c>
      <c r="G18" s="130">
        <f>G14*D5^2</f>
        <v>27.673204903677757</v>
      </c>
      <c r="H18" s="28"/>
      <c r="I18" s="172" t="s">
        <v>187</v>
      </c>
      <c r="J18" s="140">
        <f>J16+J17</f>
        <v>1968.0422119138357</v>
      </c>
      <c r="P18" s="50"/>
    </row>
    <row r="19" spans="2:16" x14ac:dyDescent="0.25">
      <c r="B19" s="63" t="s">
        <v>99</v>
      </c>
      <c r="C19" s="28" t="s">
        <v>109</v>
      </c>
      <c r="D19" s="61">
        <v>337</v>
      </c>
      <c r="E19" s="28" t="s">
        <v>168</v>
      </c>
      <c r="F19" s="28" t="s">
        <v>164</v>
      </c>
      <c r="G19" s="35">
        <f>G15*D6^2</f>
        <v>61.221436077057788</v>
      </c>
      <c r="H19" s="28" t="s">
        <v>103</v>
      </c>
      <c r="I19" s="28" t="s">
        <v>54</v>
      </c>
      <c r="J19" s="133">
        <f>(D8*9.81)+J16</f>
        <v>2448.0412421806109</v>
      </c>
      <c r="L19" s="147" t="s">
        <v>126</v>
      </c>
      <c r="M19" s="148"/>
      <c r="N19" s="149"/>
      <c r="O19" s="150"/>
      <c r="P19" s="50"/>
    </row>
    <row r="20" spans="2:16" x14ac:dyDescent="0.25">
      <c r="B20" s="63" t="s">
        <v>26</v>
      </c>
      <c r="C20" s="28" t="s">
        <v>24</v>
      </c>
      <c r="D20" s="61">
        <v>1.47</v>
      </c>
      <c r="E20" s="28" t="s">
        <v>169</v>
      </c>
      <c r="F20" s="28" t="s">
        <v>165</v>
      </c>
      <c r="G20" s="35">
        <f>G16*D7^2</f>
        <v>61.403642732049036</v>
      </c>
      <c r="H20" s="30" t="s">
        <v>113</v>
      </c>
      <c r="I20" s="28" t="s">
        <v>55</v>
      </c>
      <c r="J20" s="60">
        <f>(D9*9.81)-J16</f>
        <v>1397.4787578193891</v>
      </c>
      <c r="L20" s="151" t="s">
        <v>125</v>
      </c>
      <c r="M20" s="46"/>
      <c r="N20" s="46"/>
      <c r="O20" s="152"/>
      <c r="P20" s="50"/>
    </row>
    <row r="21" spans="2:16" x14ac:dyDescent="0.25">
      <c r="B21" s="63" t="s">
        <v>27</v>
      </c>
      <c r="C21" s="28" t="s">
        <v>25</v>
      </c>
      <c r="D21" s="61">
        <v>1.52</v>
      </c>
      <c r="E21" s="195" t="s">
        <v>182</v>
      </c>
      <c r="F21" s="192" t="s">
        <v>180</v>
      </c>
      <c r="G21" s="194">
        <f>(G17+G18)/2</f>
        <v>27.673204903677757</v>
      </c>
      <c r="H21" s="30" t="s">
        <v>110</v>
      </c>
      <c r="I21" s="28" t="s">
        <v>56</v>
      </c>
      <c r="J21" s="60">
        <f>(D10*9.81)+J17</f>
        <v>3292.9269697332252</v>
      </c>
      <c r="L21" s="153" t="s">
        <v>131</v>
      </c>
      <c r="M21" s="46"/>
      <c r="N21" s="46"/>
      <c r="O21" s="152"/>
    </row>
    <row r="22" spans="2:16" ht="13.8" thickBot="1" x14ac:dyDescent="0.3">
      <c r="B22" s="63" t="s">
        <v>29</v>
      </c>
      <c r="C22" s="28" t="s">
        <v>28</v>
      </c>
      <c r="D22" s="61">
        <v>2.5499999999999998</v>
      </c>
      <c r="E22" s="195" t="s">
        <v>183</v>
      </c>
      <c r="F22" s="192" t="s">
        <v>181</v>
      </c>
      <c r="G22" s="193">
        <f>(G19+G20)/2</f>
        <v>61.312539404553412</v>
      </c>
      <c r="H22" s="28" t="s">
        <v>41</v>
      </c>
      <c r="I22" s="28" t="s">
        <v>57</v>
      </c>
      <c r="J22" s="135">
        <f>(D11*9.81)-J17</f>
        <v>807.65303026677498</v>
      </c>
      <c r="L22" s="154" t="s">
        <v>130</v>
      </c>
      <c r="M22" s="155"/>
      <c r="N22" s="155"/>
      <c r="O22" s="156"/>
    </row>
    <row r="23" spans="2:16" x14ac:dyDescent="0.25">
      <c r="B23" s="164" t="s">
        <v>136</v>
      </c>
      <c r="C23" s="165" t="s">
        <v>184</v>
      </c>
      <c r="D23" s="61">
        <v>0.28000000000000003</v>
      </c>
      <c r="E23" s="28" t="s">
        <v>37</v>
      </c>
      <c r="F23" s="30" t="s">
        <v>116</v>
      </c>
      <c r="G23" s="196">
        <f>(G9*D22)/G10</f>
        <v>1.1828845641162355</v>
      </c>
      <c r="H23" s="28"/>
      <c r="I23" s="134" t="s">
        <v>162</v>
      </c>
      <c r="J23" s="136">
        <f>SUM(J19, J20, J21, J22)</f>
        <v>7946.1</v>
      </c>
    </row>
    <row r="24" spans="2:16" ht="13.8" thickBot="1" x14ac:dyDescent="0.3">
      <c r="B24" s="166" t="s">
        <v>135</v>
      </c>
      <c r="C24" s="167" t="s">
        <v>185</v>
      </c>
      <c r="D24" s="168">
        <v>0.28000000000000003</v>
      </c>
      <c r="E24" s="28" t="s">
        <v>38</v>
      </c>
      <c r="F24" s="28" t="s">
        <v>47</v>
      </c>
      <c r="G24" s="49" t="s">
        <v>188</v>
      </c>
      <c r="H24" s="28"/>
      <c r="I24" s="58" t="s">
        <v>163</v>
      </c>
      <c r="J24" s="137">
        <f>G11*9.81</f>
        <v>7946.1</v>
      </c>
    </row>
    <row r="25" spans="2:16" x14ac:dyDescent="0.25">
      <c r="B25" s="186" t="s">
        <v>172</v>
      </c>
      <c r="C25" s="28" t="s">
        <v>65</v>
      </c>
      <c r="D25" s="61">
        <v>0.45</v>
      </c>
      <c r="E25" s="28" t="s">
        <v>39</v>
      </c>
      <c r="F25" s="28" t="s">
        <v>44</v>
      </c>
      <c r="G25" s="49">
        <v>0.05</v>
      </c>
      <c r="H25" s="28"/>
      <c r="I25" s="28"/>
      <c r="J25" s="132"/>
    </row>
    <row r="26" spans="2:16" ht="13.8" thickBot="1" x14ac:dyDescent="0.3">
      <c r="B26" s="63" t="s">
        <v>63</v>
      </c>
      <c r="C26" s="28" t="s">
        <v>64</v>
      </c>
      <c r="D26" s="43">
        <f>((D25*G11)-((D12+D13)*D23)-((D14+D15)*D24))/G10</f>
        <v>0.43809650759797381</v>
      </c>
      <c r="E26" s="28" t="s">
        <v>40</v>
      </c>
      <c r="F26" s="28" t="s">
        <v>45</v>
      </c>
      <c r="G26" s="197">
        <f>G25+D27</f>
        <v>0.11</v>
      </c>
      <c r="H26" s="28"/>
      <c r="I26" s="28"/>
      <c r="J26" s="131"/>
    </row>
    <row r="27" spans="2:16" ht="13.8" thickBot="1" x14ac:dyDescent="0.3">
      <c r="B27" s="63" t="s">
        <v>35</v>
      </c>
      <c r="C27" s="30" t="s">
        <v>173</v>
      </c>
      <c r="D27" s="61">
        <v>0.06</v>
      </c>
      <c r="E27" s="28" t="s">
        <v>69</v>
      </c>
      <c r="F27" s="28" t="s">
        <v>46</v>
      </c>
      <c r="G27" s="197">
        <f>D26-G25-D27</f>
        <v>0.32809650759797382</v>
      </c>
      <c r="H27" s="28" t="s">
        <v>67</v>
      </c>
      <c r="I27" s="55" t="s">
        <v>68</v>
      </c>
      <c r="J27" s="199">
        <f>G11*D1*D25 /AVERAGE(D20,D21)</f>
        <v>1974.8829431438128</v>
      </c>
      <c r="L27" s="157" t="s">
        <v>127</v>
      </c>
      <c r="M27" s="149"/>
      <c r="N27" s="149"/>
      <c r="O27" s="158"/>
      <c r="P27" s="150"/>
    </row>
    <row r="28" spans="2:16" ht="13.8" thickBot="1" x14ac:dyDescent="0.3">
      <c r="B28" s="182" t="s">
        <v>36</v>
      </c>
      <c r="C28" s="187" t="s">
        <v>174</v>
      </c>
      <c r="D28" s="183">
        <v>0.17</v>
      </c>
      <c r="E28" s="64"/>
      <c r="F28" s="64"/>
      <c r="G28" s="184"/>
      <c r="H28" s="64"/>
      <c r="I28" s="64"/>
      <c r="J28" s="185"/>
      <c r="L28" s="159" t="s">
        <v>167</v>
      </c>
      <c r="M28" s="155"/>
      <c r="N28" s="155"/>
      <c r="O28" s="160"/>
      <c r="P28" s="156"/>
    </row>
    <row r="29" spans="2:16" x14ac:dyDescent="0.25">
      <c r="B29" s="202" t="s">
        <v>189</v>
      </c>
      <c r="C29" s="195" t="s">
        <v>190</v>
      </c>
      <c r="D29" s="203">
        <f>J19-J20</f>
        <v>1050.5624843612218</v>
      </c>
      <c r="E29" s="36"/>
      <c r="F29" s="36"/>
      <c r="G29" s="200"/>
      <c r="H29" s="36"/>
      <c r="I29" s="36"/>
      <c r="J29" s="200"/>
      <c r="L29" s="201"/>
      <c r="M29" s="46"/>
      <c r="N29" s="46"/>
      <c r="O29" s="46"/>
      <c r="P29" s="46"/>
    </row>
    <row r="30" spans="2:16" x14ac:dyDescent="0.25">
      <c r="B30" s="202" t="s">
        <v>191</v>
      </c>
      <c r="C30" s="195" t="s">
        <v>192</v>
      </c>
      <c r="D30" s="206">
        <f>J21-J22</f>
        <v>2485.2739394664504</v>
      </c>
      <c r="L30" s="139"/>
      <c r="M30" s="139"/>
      <c r="N30" s="139"/>
      <c r="O30" s="139"/>
    </row>
    <row r="31" spans="2:16" x14ac:dyDescent="0.25">
      <c r="B31" s="202" t="s">
        <v>193</v>
      </c>
      <c r="C31" s="195" t="s">
        <v>194</v>
      </c>
      <c r="D31" s="206">
        <f>D29-D30</f>
        <v>-1434.7114551052287</v>
      </c>
      <c r="L31" s="139"/>
      <c r="M31" s="139"/>
      <c r="N31" s="139"/>
      <c r="O31" s="139"/>
    </row>
    <row r="32" spans="2:16" x14ac:dyDescent="0.25">
      <c r="B32" s="202" t="s">
        <v>195</v>
      </c>
      <c r="C32" s="195" t="s">
        <v>196</v>
      </c>
      <c r="D32" s="206">
        <f>J17/J27*100</f>
        <v>67.988787608635917</v>
      </c>
      <c r="L32" s="139"/>
      <c r="M32" s="139"/>
      <c r="N32" s="139"/>
      <c r="O32" s="139"/>
    </row>
    <row r="33" spans="2:15" ht="13.8" thickBot="1" x14ac:dyDescent="0.3">
      <c r="B33" s="204"/>
      <c r="C33" s="205"/>
      <c r="L33" s="139"/>
      <c r="M33" s="139"/>
      <c r="N33" s="139"/>
      <c r="O33" s="139"/>
    </row>
    <row r="34" spans="2:15" ht="18" customHeight="1" thickBot="1" x14ac:dyDescent="0.3">
      <c r="D34" s="145" t="s">
        <v>120</v>
      </c>
      <c r="E34" s="146"/>
      <c r="G34" s="191"/>
      <c r="H34" s="39"/>
      <c r="I34" s="39"/>
      <c r="L34" s="138"/>
      <c r="M34" s="138"/>
      <c r="N34" s="138"/>
      <c r="O34" s="138"/>
    </row>
    <row r="35" spans="2:15" ht="14.4" thickBot="1" x14ac:dyDescent="0.3">
      <c r="G35" s="39"/>
      <c r="I35" s="39"/>
    </row>
    <row r="36" spans="2:15" ht="18" thickBot="1" x14ac:dyDescent="0.35">
      <c r="C36" s="163" t="s">
        <v>179</v>
      </c>
      <c r="F36" s="161" t="s">
        <v>123</v>
      </c>
      <c r="H36" s="40"/>
    </row>
    <row r="37" spans="2:15" ht="14.4" thickBot="1" x14ac:dyDescent="0.3">
      <c r="F37" s="162" t="s">
        <v>124</v>
      </c>
    </row>
    <row r="39" spans="2:15" x14ac:dyDescent="0.25">
      <c r="B39" s="54"/>
    </row>
    <row r="40" spans="2:15" x14ac:dyDescent="0.25">
      <c r="B40" s="50"/>
      <c r="C40" s="142"/>
      <c r="D40" s="50"/>
    </row>
    <row r="41" spans="2:15" x14ac:dyDescent="0.25">
      <c r="B41" s="50"/>
      <c r="C41" s="142"/>
      <c r="D41" s="50"/>
    </row>
    <row r="43" spans="2:15" x14ac:dyDescent="0.25">
      <c r="D43" t="s">
        <v>186</v>
      </c>
      <c r="G43" t="s">
        <v>59</v>
      </c>
    </row>
    <row r="44" spans="2:15" x14ac:dyDescent="0.25">
      <c r="G44">
        <f>(G8*D1*D27)/D20</f>
        <v>132.97224489795917</v>
      </c>
    </row>
    <row r="46" spans="2:15" x14ac:dyDescent="0.25">
      <c r="B46" s="209" t="s">
        <v>201</v>
      </c>
      <c r="C46" s="209" t="s">
        <v>197</v>
      </c>
      <c r="D46" s="210"/>
      <c r="E46" s="210"/>
      <c r="F46" s="210"/>
      <c r="G46" t="s">
        <v>62</v>
      </c>
    </row>
    <row r="47" spans="2:15" x14ac:dyDescent="0.25">
      <c r="B47" s="209" t="s">
        <v>198</v>
      </c>
      <c r="C47" s="209" t="s">
        <v>199</v>
      </c>
      <c r="D47" s="210"/>
      <c r="E47" s="210"/>
      <c r="F47" s="210"/>
      <c r="G47">
        <f>(G9*D1*D28)/D21</f>
        <v>315.26052631578943</v>
      </c>
    </row>
    <row r="48" spans="2:15" x14ac:dyDescent="0.25">
      <c r="B48" s="209" t="s">
        <v>200</v>
      </c>
      <c r="C48" s="209" t="s">
        <v>202</v>
      </c>
      <c r="D48" s="210"/>
      <c r="E48" s="210"/>
      <c r="F48" s="210"/>
    </row>
    <row r="49" spans="7:7" x14ac:dyDescent="0.25">
      <c r="G49" t="s">
        <v>30</v>
      </c>
    </row>
    <row r="50" spans="7:7" x14ac:dyDescent="0.25">
      <c r="G50">
        <f>(J8*D20*G21)/2</f>
        <v>0.40288528299693727</v>
      </c>
    </row>
    <row r="52" spans="7:7" x14ac:dyDescent="0.25">
      <c r="G52" t="s">
        <v>33</v>
      </c>
    </row>
    <row r="53" spans="7:7" x14ac:dyDescent="0.25">
      <c r="G53">
        <f>(J8*D21*G22)/2</f>
        <v>0.922991074996383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2C85F-05B1-49E1-ACC2-F5E8631AE94A}">
  <dimension ref="B1:P53"/>
  <sheetViews>
    <sheetView topLeftCell="A9" zoomScale="93" zoomScaleNormal="93" workbookViewId="0">
      <selection activeCell="J9" sqref="J9"/>
    </sheetView>
  </sheetViews>
  <sheetFormatPr defaultRowHeight="13.2" x14ac:dyDescent="0.25"/>
  <cols>
    <col min="3" max="3" width="51.6640625" customWidth="1"/>
    <col min="6" max="6" width="41.6640625" customWidth="1"/>
    <col min="7" max="7" width="13.6640625" customWidth="1"/>
    <col min="9" max="9" width="53.44140625" customWidth="1"/>
    <col min="10" max="10" width="12.109375" customWidth="1"/>
    <col min="11" max="11" width="7.44140625" customWidth="1"/>
    <col min="12" max="14" width="9.109375" customWidth="1"/>
    <col min="15" max="15" width="11.109375" customWidth="1"/>
    <col min="16" max="16" width="10.109375" customWidth="1"/>
  </cols>
  <sheetData>
    <row r="1" spans="2:16" ht="18" thickBot="1" x14ac:dyDescent="0.35">
      <c r="C1" s="31" t="s">
        <v>114</v>
      </c>
      <c r="D1" s="51">
        <v>8.1</v>
      </c>
      <c r="F1" s="45" t="s">
        <v>171</v>
      </c>
      <c r="G1" s="44"/>
    </row>
    <row r="2" spans="2:16" ht="13.8" thickBot="1" x14ac:dyDescent="0.3"/>
    <row r="3" spans="2:16" ht="16.2" thickBot="1" x14ac:dyDescent="0.35">
      <c r="B3" s="37" t="s">
        <v>31</v>
      </c>
      <c r="C3" s="38"/>
      <c r="D3" s="38"/>
      <c r="E3" s="38" t="s">
        <v>32</v>
      </c>
      <c r="F3" s="38"/>
      <c r="G3" s="38"/>
      <c r="H3" s="38" t="s">
        <v>34</v>
      </c>
      <c r="I3" s="38"/>
      <c r="J3" s="175"/>
    </row>
    <row r="4" spans="2:16" ht="14.4" thickBot="1" x14ac:dyDescent="0.3">
      <c r="B4" s="176" t="s">
        <v>86</v>
      </c>
      <c r="C4" s="180" t="s">
        <v>175</v>
      </c>
      <c r="D4" s="178">
        <v>0.87</v>
      </c>
      <c r="E4" s="177" t="s">
        <v>95</v>
      </c>
      <c r="F4" s="177" t="s">
        <v>70</v>
      </c>
      <c r="G4" s="198">
        <v>225</v>
      </c>
      <c r="H4" s="180" t="s">
        <v>66</v>
      </c>
      <c r="I4" s="180" t="s">
        <v>121</v>
      </c>
      <c r="J4" s="181">
        <f>((D20^2*G21)/2)*1000</f>
        <v>27164.026765323986</v>
      </c>
      <c r="M4" s="42"/>
    </row>
    <row r="5" spans="2:16" ht="12" customHeight="1" thickBot="1" x14ac:dyDescent="0.3">
      <c r="B5" s="63" t="s">
        <v>87</v>
      </c>
      <c r="C5" s="180" t="s">
        <v>176</v>
      </c>
      <c r="D5" s="61">
        <v>0.82</v>
      </c>
      <c r="E5" s="28" t="s">
        <v>96</v>
      </c>
      <c r="F5" s="28" t="s">
        <v>2</v>
      </c>
      <c r="G5" s="179">
        <f>D9-D13</f>
        <v>177.2</v>
      </c>
      <c r="H5" s="28" t="s">
        <v>42</v>
      </c>
      <c r="I5" s="28" t="s">
        <v>51</v>
      </c>
      <c r="J5" s="181">
        <f>((D21^2*G22)/2)*1000</f>
        <v>70828.245520140103</v>
      </c>
      <c r="M5" s="41"/>
    </row>
    <row r="6" spans="2:16" ht="16.5" customHeight="1" thickBot="1" x14ac:dyDescent="0.3">
      <c r="B6" s="63" t="s">
        <v>88</v>
      </c>
      <c r="C6" s="180" t="s">
        <v>177</v>
      </c>
      <c r="D6" s="61">
        <v>1.02</v>
      </c>
      <c r="E6" s="28" t="s">
        <v>97</v>
      </c>
      <c r="F6" s="28" t="s">
        <v>72</v>
      </c>
      <c r="G6" s="179">
        <f>D10-D14</f>
        <v>163.80000000000001</v>
      </c>
      <c r="H6" s="28" t="s">
        <v>43</v>
      </c>
      <c r="I6" s="28" t="s">
        <v>50</v>
      </c>
      <c r="J6" s="52">
        <f>J4+J5</f>
        <v>97992.272285464089</v>
      </c>
      <c r="L6" s="189" t="s">
        <v>170</v>
      </c>
      <c r="M6" s="190"/>
    </row>
    <row r="7" spans="2:16" x14ac:dyDescent="0.25">
      <c r="B7" s="63" t="s">
        <v>58</v>
      </c>
      <c r="C7" s="180" t="s">
        <v>178</v>
      </c>
      <c r="D7" s="61">
        <v>1.02</v>
      </c>
      <c r="E7" s="28" t="s">
        <v>0</v>
      </c>
      <c r="F7" s="28" t="s">
        <v>71</v>
      </c>
      <c r="G7" s="179">
        <f>D11-D15</f>
        <v>184.2</v>
      </c>
      <c r="H7" s="28" t="s">
        <v>48</v>
      </c>
      <c r="I7" s="28" t="s">
        <v>49</v>
      </c>
      <c r="J7" s="52">
        <f>G10*G27*D1+D20</f>
        <v>1995.1877999999997</v>
      </c>
    </row>
    <row r="8" spans="2:16" ht="13.8" x14ac:dyDescent="0.3">
      <c r="B8" s="63" t="s">
        <v>89</v>
      </c>
      <c r="C8" s="28" t="s">
        <v>78</v>
      </c>
      <c r="D8" s="61">
        <v>185.8</v>
      </c>
      <c r="E8" s="30" t="s">
        <v>23</v>
      </c>
      <c r="F8" s="28" t="s">
        <v>19</v>
      </c>
      <c r="G8" s="32">
        <f>G4+G5</f>
        <v>402.2</v>
      </c>
      <c r="H8" s="171" t="s">
        <v>122</v>
      </c>
      <c r="I8" s="30" t="s">
        <v>133</v>
      </c>
      <c r="J8" s="188">
        <f>J7/J6</f>
        <v>2.036066470821047E-2</v>
      </c>
      <c r="K8" s="59">
        <f>J8*180/3.142</f>
        <v>1.1664289139013</v>
      </c>
      <c r="L8" s="56" t="s">
        <v>132</v>
      </c>
      <c r="P8" s="47"/>
    </row>
    <row r="9" spans="2:16" ht="13.8" thickBot="1" x14ac:dyDescent="0.3">
      <c r="B9" s="63" t="s">
        <v>90</v>
      </c>
      <c r="C9" s="28" t="s">
        <v>79</v>
      </c>
      <c r="D9" s="61">
        <v>206.2</v>
      </c>
      <c r="E9" s="28" t="s">
        <v>22</v>
      </c>
      <c r="F9" s="28" t="s">
        <v>20</v>
      </c>
      <c r="G9" s="32">
        <f>G6+G7</f>
        <v>348</v>
      </c>
      <c r="H9" s="28" t="s">
        <v>30</v>
      </c>
      <c r="I9" s="28" t="s">
        <v>52</v>
      </c>
      <c r="J9" s="207">
        <f>J8*AVERAGE(G17,G18)*D20*1000/2</f>
        <v>376.24329326096375</v>
      </c>
      <c r="P9" s="36"/>
    </row>
    <row r="10" spans="2:16" ht="13.8" thickBot="1" x14ac:dyDescent="0.3">
      <c r="B10" s="63" t="s">
        <v>91</v>
      </c>
      <c r="C10" s="28" t="s">
        <v>80</v>
      </c>
      <c r="D10" s="61">
        <v>198.8</v>
      </c>
      <c r="E10" s="165" t="s">
        <v>119</v>
      </c>
      <c r="F10" s="165" t="s">
        <v>117</v>
      </c>
      <c r="G10" s="48">
        <f>G8+G9</f>
        <v>750.2</v>
      </c>
      <c r="H10" s="141" t="s">
        <v>33</v>
      </c>
      <c r="I10" s="30" t="s">
        <v>53</v>
      </c>
      <c r="J10" s="57">
        <f>(J8*G22*D21)/2*1000</f>
        <v>948.75668349104149</v>
      </c>
      <c r="L10" s="143" t="s">
        <v>134</v>
      </c>
      <c r="M10" s="144"/>
      <c r="P10" s="36"/>
    </row>
    <row r="11" spans="2:16" ht="13.8" thickBot="1" x14ac:dyDescent="0.3">
      <c r="B11" s="63" t="s">
        <v>1</v>
      </c>
      <c r="C11" s="28" t="s">
        <v>81</v>
      </c>
      <c r="D11" s="61">
        <v>219.2</v>
      </c>
      <c r="E11" s="165" t="s">
        <v>115</v>
      </c>
      <c r="F11" s="165" t="s">
        <v>118</v>
      </c>
      <c r="G11" s="169">
        <f>D8+D9+D10+D11</f>
        <v>810</v>
      </c>
      <c r="H11" s="29"/>
      <c r="I11" s="29"/>
      <c r="J11" s="53"/>
      <c r="K11" s="27"/>
      <c r="P11" s="50"/>
    </row>
    <row r="12" spans="2:16" ht="13.8" thickBot="1" x14ac:dyDescent="0.3">
      <c r="B12" s="63" t="s">
        <v>92</v>
      </c>
      <c r="C12" s="28" t="s">
        <v>82</v>
      </c>
      <c r="D12" s="62">
        <v>29</v>
      </c>
      <c r="E12" s="170" t="s">
        <v>128</v>
      </c>
      <c r="F12" s="170" t="s">
        <v>129</v>
      </c>
      <c r="G12" s="169">
        <f>D12+D13+D14+D15</f>
        <v>128</v>
      </c>
      <c r="H12" s="28" t="s">
        <v>59</v>
      </c>
      <c r="I12" s="30" t="s">
        <v>156</v>
      </c>
      <c r="J12" s="52">
        <f>((G8)*D1*D27)/D20</f>
        <v>132.97224489795917</v>
      </c>
      <c r="L12" s="143" t="s">
        <v>166</v>
      </c>
      <c r="M12" s="144"/>
      <c r="P12" s="36"/>
    </row>
    <row r="13" spans="2:16" x14ac:dyDescent="0.25">
      <c r="B13" s="63" t="s">
        <v>93</v>
      </c>
      <c r="C13" s="28" t="s">
        <v>83</v>
      </c>
      <c r="D13" s="61">
        <v>29</v>
      </c>
      <c r="E13" s="30" t="s">
        <v>111</v>
      </c>
      <c r="F13" s="28" t="s">
        <v>73</v>
      </c>
      <c r="G13" s="34">
        <f>D16/5.71</f>
        <v>37.65323992994746</v>
      </c>
      <c r="H13" s="28" t="s">
        <v>62</v>
      </c>
      <c r="I13" s="30" t="s">
        <v>157</v>
      </c>
      <c r="J13" s="52">
        <f>J11+G9*D1*D28/D21</f>
        <v>315.26052631578943</v>
      </c>
      <c r="P13" s="36"/>
    </row>
    <row r="14" spans="2:16" x14ac:dyDescent="0.25">
      <c r="B14" s="63" t="s">
        <v>94</v>
      </c>
      <c r="C14" s="28" t="s">
        <v>84</v>
      </c>
      <c r="D14" s="61">
        <v>35</v>
      </c>
      <c r="E14" s="30" t="s">
        <v>112</v>
      </c>
      <c r="F14" s="28" t="s">
        <v>74</v>
      </c>
      <c r="G14" s="34">
        <f>D17/5.71</f>
        <v>37.127845884413311</v>
      </c>
      <c r="H14" s="28" t="s">
        <v>60</v>
      </c>
      <c r="I14" s="30" t="s">
        <v>158</v>
      </c>
      <c r="J14" s="52">
        <f>(D12+D13)*D1*D23/D20</f>
        <v>89.485714285714295</v>
      </c>
    </row>
    <row r="15" spans="2:16" x14ac:dyDescent="0.25">
      <c r="B15" s="63" t="s">
        <v>21</v>
      </c>
      <c r="C15" s="28" t="s">
        <v>85</v>
      </c>
      <c r="D15" s="61">
        <v>35</v>
      </c>
      <c r="E15" s="28" t="s">
        <v>98</v>
      </c>
      <c r="F15" s="28" t="s">
        <v>75</v>
      </c>
      <c r="G15" s="34">
        <f>D18/5.71</f>
        <v>58.844133099824866</v>
      </c>
      <c r="H15" s="28" t="s">
        <v>61</v>
      </c>
      <c r="I15" s="30" t="s">
        <v>159</v>
      </c>
      <c r="J15" s="52">
        <f>(D14+D15)*D1*D24/D21</f>
        <v>104.44736842105264</v>
      </c>
      <c r="L15" s="129"/>
    </row>
    <row r="16" spans="2:16" x14ac:dyDescent="0.25">
      <c r="B16" s="63" t="s">
        <v>104</v>
      </c>
      <c r="C16" s="28" t="s">
        <v>106</v>
      </c>
      <c r="D16" s="61">
        <v>215</v>
      </c>
      <c r="E16" s="28" t="s">
        <v>99</v>
      </c>
      <c r="F16" s="28" t="s">
        <v>76</v>
      </c>
      <c r="G16" s="34">
        <f>D19/5.71</f>
        <v>59.019264448336251</v>
      </c>
      <c r="H16" s="28"/>
      <c r="I16" s="165" t="s">
        <v>160</v>
      </c>
      <c r="J16" s="173">
        <f>J9+J12+J14</f>
        <v>598.70125244463725</v>
      </c>
    </row>
    <row r="17" spans="2:16" ht="13.8" thickBot="1" x14ac:dyDescent="0.3">
      <c r="B17" s="63" t="s">
        <v>105</v>
      </c>
      <c r="C17" s="28" t="s">
        <v>107</v>
      </c>
      <c r="D17" s="61">
        <v>212</v>
      </c>
      <c r="E17" s="28" t="s">
        <v>100</v>
      </c>
      <c r="F17" s="28" t="s">
        <v>77</v>
      </c>
      <c r="G17" s="34">
        <f>G13*D5^2</f>
        <v>25.318038528896668</v>
      </c>
      <c r="H17" s="28"/>
      <c r="I17" s="165" t="s">
        <v>161</v>
      </c>
      <c r="J17" s="174">
        <f>J10+J13+J15</f>
        <v>1368.4645782278837</v>
      </c>
      <c r="L17" s="129"/>
      <c r="P17" s="50"/>
    </row>
    <row r="18" spans="2:16" ht="13.8" thickBot="1" x14ac:dyDescent="0.3">
      <c r="B18" s="63" t="s">
        <v>98</v>
      </c>
      <c r="C18" s="28" t="s">
        <v>108</v>
      </c>
      <c r="D18" s="61">
        <v>336</v>
      </c>
      <c r="E18" s="28" t="s">
        <v>101</v>
      </c>
      <c r="F18" s="28" t="s">
        <v>102</v>
      </c>
      <c r="G18" s="130">
        <f>G14*D5^2</f>
        <v>24.964763572679505</v>
      </c>
      <c r="H18" s="28"/>
      <c r="I18" s="172" t="s">
        <v>187</v>
      </c>
      <c r="J18" s="140">
        <f>J16+J17</f>
        <v>1967.165830672521</v>
      </c>
      <c r="P18" s="50"/>
    </row>
    <row r="19" spans="2:16" x14ac:dyDescent="0.25">
      <c r="B19" s="63" t="s">
        <v>99</v>
      </c>
      <c r="C19" s="28" t="s">
        <v>109</v>
      </c>
      <c r="D19" s="61">
        <v>337</v>
      </c>
      <c r="E19" s="28" t="s">
        <v>168</v>
      </c>
      <c r="F19" s="28" t="s">
        <v>164</v>
      </c>
      <c r="G19" s="35">
        <f>G15*D6^2</f>
        <v>61.221436077057788</v>
      </c>
      <c r="H19" s="28" t="s">
        <v>103</v>
      </c>
      <c r="I19" s="28" t="s">
        <v>54</v>
      </c>
      <c r="J19" s="133">
        <f>(D8*9.81)+J16</f>
        <v>2421.3992524446376</v>
      </c>
      <c r="L19" s="147" t="s">
        <v>126</v>
      </c>
      <c r="M19" s="148"/>
      <c r="N19" s="149"/>
      <c r="O19" s="150"/>
      <c r="P19" s="50"/>
    </row>
    <row r="20" spans="2:16" x14ac:dyDescent="0.25">
      <c r="B20" s="63" t="s">
        <v>26</v>
      </c>
      <c r="C20" s="28" t="s">
        <v>24</v>
      </c>
      <c r="D20" s="61">
        <v>1.47</v>
      </c>
      <c r="E20" s="28" t="s">
        <v>169</v>
      </c>
      <c r="F20" s="28" t="s">
        <v>165</v>
      </c>
      <c r="G20" s="35">
        <f>G16*D7^2</f>
        <v>61.403642732049036</v>
      </c>
      <c r="H20" s="30" t="s">
        <v>113</v>
      </c>
      <c r="I20" s="28" t="s">
        <v>55</v>
      </c>
      <c r="J20" s="60">
        <f>(D9*9.81)-J16</f>
        <v>1424.1207475553626</v>
      </c>
      <c r="L20" s="151" t="s">
        <v>125</v>
      </c>
      <c r="M20" s="46"/>
      <c r="N20" s="46"/>
      <c r="O20" s="152"/>
      <c r="P20" s="50"/>
    </row>
    <row r="21" spans="2:16" x14ac:dyDescent="0.25">
      <c r="B21" s="63" t="s">
        <v>27</v>
      </c>
      <c r="C21" s="28" t="s">
        <v>25</v>
      </c>
      <c r="D21" s="61">
        <v>1.52</v>
      </c>
      <c r="E21" s="195" t="s">
        <v>182</v>
      </c>
      <c r="F21" s="192" t="s">
        <v>180</v>
      </c>
      <c r="G21" s="194">
        <f>(G17+G18)/2</f>
        <v>25.141401050788087</v>
      </c>
      <c r="H21" s="30" t="s">
        <v>110</v>
      </c>
      <c r="I21" s="28" t="s">
        <v>56</v>
      </c>
      <c r="J21" s="60">
        <f>(D10*9.81)+J17</f>
        <v>3318.692578227884</v>
      </c>
      <c r="L21" s="153" t="s">
        <v>131</v>
      </c>
      <c r="M21" s="46"/>
      <c r="N21" s="46"/>
      <c r="O21" s="152"/>
    </row>
    <row r="22" spans="2:16" ht="13.8" thickBot="1" x14ac:dyDescent="0.3">
      <c r="B22" s="63" t="s">
        <v>29</v>
      </c>
      <c r="C22" s="28" t="s">
        <v>28</v>
      </c>
      <c r="D22" s="61">
        <v>2.5499999999999998</v>
      </c>
      <c r="E22" s="195" t="s">
        <v>183</v>
      </c>
      <c r="F22" s="192" t="s">
        <v>181</v>
      </c>
      <c r="G22" s="193">
        <f>(G19+G20)/2</f>
        <v>61.312539404553412</v>
      </c>
      <c r="H22" s="28" t="s">
        <v>41</v>
      </c>
      <c r="I22" s="28" t="s">
        <v>57</v>
      </c>
      <c r="J22" s="135">
        <f>(D11*9.81)-J17</f>
        <v>781.88742177211611</v>
      </c>
      <c r="L22" s="154" t="s">
        <v>130</v>
      </c>
      <c r="M22" s="155"/>
      <c r="N22" s="155"/>
      <c r="O22" s="156"/>
    </row>
    <row r="23" spans="2:16" x14ac:dyDescent="0.25">
      <c r="B23" s="164" t="s">
        <v>136</v>
      </c>
      <c r="C23" s="165" t="s">
        <v>184</v>
      </c>
      <c r="D23" s="61">
        <v>0.28000000000000003</v>
      </c>
      <c r="E23" s="28" t="s">
        <v>37</v>
      </c>
      <c r="F23" s="30" t="s">
        <v>116</v>
      </c>
      <c r="G23" s="196">
        <f>(G9*D22)/G10</f>
        <v>1.1828845641162355</v>
      </c>
      <c r="H23" s="28"/>
      <c r="I23" s="134" t="s">
        <v>162</v>
      </c>
      <c r="J23" s="136">
        <f>SUM(J19, J20, J21, J22)</f>
        <v>7946.1</v>
      </c>
    </row>
    <row r="24" spans="2:16" ht="13.8" thickBot="1" x14ac:dyDescent="0.3">
      <c r="B24" s="166" t="s">
        <v>135</v>
      </c>
      <c r="C24" s="167" t="s">
        <v>185</v>
      </c>
      <c r="D24" s="168">
        <v>0.28000000000000003</v>
      </c>
      <c r="E24" s="28" t="s">
        <v>38</v>
      </c>
      <c r="F24" s="28" t="s">
        <v>47</v>
      </c>
      <c r="G24" s="49" t="s">
        <v>188</v>
      </c>
      <c r="H24" s="28"/>
      <c r="I24" s="58" t="s">
        <v>163</v>
      </c>
      <c r="J24" s="137">
        <f>G11*9.81</f>
        <v>7946.1</v>
      </c>
    </row>
    <row r="25" spans="2:16" x14ac:dyDescent="0.25">
      <c r="B25" s="186" t="s">
        <v>172</v>
      </c>
      <c r="C25" s="28" t="s">
        <v>65</v>
      </c>
      <c r="D25" s="61">
        <v>0.45</v>
      </c>
      <c r="E25" s="28" t="s">
        <v>39</v>
      </c>
      <c r="F25" s="28" t="s">
        <v>44</v>
      </c>
      <c r="G25" s="49">
        <v>0.05</v>
      </c>
      <c r="H25" s="28"/>
      <c r="I25" s="28"/>
      <c r="J25" s="132"/>
    </row>
    <row r="26" spans="2:16" ht="13.8" thickBot="1" x14ac:dyDescent="0.3">
      <c r="B26" s="63" t="s">
        <v>63</v>
      </c>
      <c r="C26" s="28" t="s">
        <v>64</v>
      </c>
      <c r="D26" s="43">
        <f>((D25*G11)-((D12+D13)*D23)-((D14+D15)*D24))/G10</f>
        <v>0.43809650759797381</v>
      </c>
      <c r="E26" s="28" t="s">
        <v>40</v>
      </c>
      <c r="F26" s="28" t="s">
        <v>45</v>
      </c>
      <c r="G26" s="197">
        <f>G25+D27</f>
        <v>0.11</v>
      </c>
      <c r="H26" s="28"/>
      <c r="I26" s="28"/>
      <c r="J26" s="131"/>
    </row>
    <row r="27" spans="2:16" ht="13.8" thickBot="1" x14ac:dyDescent="0.3">
      <c r="B27" s="63" t="s">
        <v>35</v>
      </c>
      <c r="C27" s="30" t="s">
        <v>173</v>
      </c>
      <c r="D27" s="61">
        <v>0.06</v>
      </c>
      <c r="E27" s="28" t="s">
        <v>69</v>
      </c>
      <c r="F27" s="28" t="s">
        <v>46</v>
      </c>
      <c r="G27" s="197">
        <f>D26-G25-D27</f>
        <v>0.32809650759797382</v>
      </c>
      <c r="H27" s="28" t="s">
        <v>67</v>
      </c>
      <c r="I27" s="55" t="s">
        <v>68</v>
      </c>
      <c r="J27" s="199">
        <f>G11*D1*D25 /AVERAGE(D20,D21)</f>
        <v>1974.8829431438128</v>
      </c>
      <c r="L27" s="157" t="s">
        <v>127</v>
      </c>
      <c r="M27" s="149"/>
      <c r="N27" s="149"/>
      <c r="O27" s="158"/>
      <c r="P27" s="150"/>
    </row>
    <row r="28" spans="2:16" ht="13.8" thickBot="1" x14ac:dyDescent="0.3">
      <c r="B28" s="182" t="s">
        <v>36</v>
      </c>
      <c r="C28" s="187" t="s">
        <v>174</v>
      </c>
      <c r="D28" s="183">
        <v>0.17</v>
      </c>
      <c r="E28" s="64"/>
      <c r="F28" s="64"/>
      <c r="G28" s="184"/>
      <c r="H28" s="64"/>
      <c r="I28" s="64"/>
      <c r="J28" s="185"/>
      <c r="L28" s="159" t="s">
        <v>167</v>
      </c>
      <c r="M28" s="155"/>
      <c r="N28" s="155"/>
      <c r="O28" s="160"/>
      <c r="P28" s="156"/>
    </row>
    <row r="29" spans="2:16" x14ac:dyDescent="0.25">
      <c r="B29" s="202" t="s">
        <v>189</v>
      </c>
      <c r="C29" s="195" t="s">
        <v>190</v>
      </c>
      <c r="D29" s="203">
        <f>J19-J20</f>
        <v>997.27850488927493</v>
      </c>
      <c r="E29" s="36"/>
      <c r="F29" s="36"/>
      <c r="G29" s="200"/>
      <c r="H29" s="36"/>
      <c r="I29" s="36"/>
      <c r="J29" s="200"/>
      <c r="L29" s="201"/>
      <c r="M29" s="46"/>
      <c r="N29" s="46"/>
      <c r="O29" s="46"/>
      <c r="P29" s="46"/>
    </row>
    <row r="30" spans="2:16" x14ac:dyDescent="0.25">
      <c r="B30" s="202" t="s">
        <v>191</v>
      </c>
      <c r="C30" s="195" t="s">
        <v>192</v>
      </c>
      <c r="D30" s="206">
        <f>J21-J22</f>
        <v>2536.8051564557682</v>
      </c>
      <c r="L30" s="139"/>
      <c r="M30" s="139"/>
      <c r="N30" s="139"/>
      <c r="O30" s="139"/>
    </row>
    <row r="31" spans="2:16" x14ac:dyDescent="0.25">
      <c r="B31" s="202" t="s">
        <v>193</v>
      </c>
      <c r="C31" s="195" t="s">
        <v>194</v>
      </c>
      <c r="D31" s="206">
        <f>D29-D30</f>
        <v>-1539.5266515664932</v>
      </c>
      <c r="L31" s="139"/>
      <c r="M31" s="139"/>
      <c r="N31" s="139"/>
      <c r="O31" s="139"/>
    </row>
    <row r="32" spans="2:16" x14ac:dyDescent="0.25">
      <c r="B32" s="202" t="s">
        <v>195</v>
      </c>
      <c r="C32" s="195" t="s">
        <v>196</v>
      </c>
      <c r="D32" s="206">
        <f>J17/J27*100</f>
        <v>69.293452707097032</v>
      </c>
      <c r="L32" s="139"/>
      <c r="M32" s="139"/>
      <c r="N32" s="139"/>
      <c r="O32" s="139"/>
    </row>
    <row r="33" spans="2:15" ht="13.8" thickBot="1" x14ac:dyDescent="0.3">
      <c r="B33" s="204"/>
      <c r="C33" s="205"/>
      <c r="L33" s="139"/>
      <c r="M33" s="139"/>
      <c r="N33" s="139"/>
      <c r="O33" s="139"/>
    </row>
    <row r="34" spans="2:15" ht="18" customHeight="1" thickBot="1" x14ac:dyDescent="0.3">
      <c r="D34" s="145" t="s">
        <v>120</v>
      </c>
      <c r="E34" s="146"/>
      <c r="G34" s="191"/>
      <c r="H34" s="39"/>
      <c r="I34" s="39"/>
      <c r="L34" s="138"/>
      <c r="M34" s="138"/>
      <c r="N34" s="138"/>
      <c r="O34" s="138"/>
    </row>
    <row r="35" spans="2:15" ht="14.4" thickBot="1" x14ac:dyDescent="0.3">
      <c r="G35" s="39"/>
      <c r="I35" s="39"/>
    </row>
    <row r="36" spans="2:15" ht="18" thickBot="1" x14ac:dyDescent="0.35">
      <c r="C36" s="163" t="s">
        <v>179</v>
      </c>
      <c r="F36" s="161" t="s">
        <v>123</v>
      </c>
      <c r="H36" s="40"/>
    </row>
    <row r="37" spans="2:15" ht="14.4" thickBot="1" x14ac:dyDescent="0.3">
      <c r="F37" s="162" t="s">
        <v>124</v>
      </c>
    </row>
    <row r="39" spans="2:15" x14ac:dyDescent="0.25">
      <c r="B39" s="54"/>
    </row>
    <row r="40" spans="2:15" x14ac:dyDescent="0.25">
      <c r="B40" s="50"/>
      <c r="C40" s="142"/>
      <c r="D40" s="50"/>
    </row>
    <row r="41" spans="2:15" x14ac:dyDescent="0.25">
      <c r="B41" s="50"/>
      <c r="C41" s="142"/>
      <c r="D41" s="50"/>
    </row>
    <row r="43" spans="2:15" x14ac:dyDescent="0.25">
      <c r="D43" t="s">
        <v>186</v>
      </c>
      <c r="G43" t="s">
        <v>59</v>
      </c>
    </row>
    <row r="44" spans="2:15" x14ac:dyDescent="0.25">
      <c r="G44">
        <f>(G8*D1*D27)/D20</f>
        <v>132.97224489795917</v>
      </c>
    </row>
    <row r="46" spans="2:15" x14ac:dyDescent="0.25">
      <c r="G46" t="s">
        <v>62</v>
      </c>
    </row>
    <row r="47" spans="2:15" x14ac:dyDescent="0.25">
      <c r="G47">
        <f>(G9*D1*D28)/D21</f>
        <v>315.26052631578943</v>
      </c>
    </row>
    <row r="49" spans="7:7" x14ac:dyDescent="0.25">
      <c r="G49" t="s">
        <v>30</v>
      </c>
    </row>
    <row r="50" spans="7:7" x14ac:dyDescent="0.25">
      <c r="G50">
        <f>(J8*D20*G21)/2</f>
        <v>0.37624329326096373</v>
      </c>
    </row>
    <row r="52" spans="7:7" x14ac:dyDescent="0.25">
      <c r="G52" t="s">
        <v>33</v>
      </c>
    </row>
    <row r="53" spans="7:7" x14ac:dyDescent="0.25">
      <c r="G53">
        <f>(J8*D21*G22)/2</f>
        <v>0.94875668349104136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CF370-02E4-4227-9E4F-A1FA7F15152C}">
  <dimension ref="B1:P53"/>
  <sheetViews>
    <sheetView zoomScale="93" zoomScaleNormal="93" workbookViewId="0">
      <selection activeCell="D1" sqref="D1"/>
    </sheetView>
  </sheetViews>
  <sheetFormatPr defaultRowHeight="13.2" x14ac:dyDescent="0.25"/>
  <cols>
    <col min="3" max="3" width="51.6640625" customWidth="1"/>
    <col min="6" max="6" width="41.6640625" customWidth="1"/>
    <col min="7" max="7" width="13.6640625" customWidth="1"/>
    <col min="9" max="9" width="53.44140625" customWidth="1"/>
    <col min="10" max="10" width="12.109375" customWidth="1"/>
    <col min="11" max="11" width="7.44140625" customWidth="1"/>
    <col min="12" max="14" width="9.109375" customWidth="1"/>
    <col min="15" max="15" width="11.109375" customWidth="1"/>
    <col min="16" max="16" width="10.109375" customWidth="1"/>
  </cols>
  <sheetData>
    <row r="1" spans="2:16" ht="18" thickBot="1" x14ac:dyDescent="0.35">
      <c r="C1" s="31" t="s">
        <v>114</v>
      </c>
      <c r="D1" s="51">
        <v>7</v>
      </c>
      <c r="F1" s="45" t="s">
        <v>171</v>
      </c>
      <c r="G1" s="44"/>
    </row>
    <row r="2" spans="2:16" ht="13.8" thickBot="1" x14ac:dyDescent="0.3"/>
    <row r="3" spans="2:16" ht="16.2" thickBot="1" x14ac:dyDescent="0.35">
      <c r="B3" s="37" t="s">
        <v>31</v>
      </c>
      <c r="C3" s="38"/>
      <c r="D3" s="38"/>
      <c r="E3" s="38" t="s">
        <v>32</v>
      </c>
      <c r="F3" s="38"/>
      <c r="G3" s="38"/>
      <c r="H3" s="38" t="s">
        <v>34</v>
      </c>
      <c r="I3" s="38"/>
      <c r="J3" s="175"/>
    </row>
    <row r="4" spans="2:16" ht="14.4" thickBot="1" x14ac:dyDescent="0.3">
      <c r="B4" s="176" t="s">
        <v>86</v>
      </c>
      <c r="C4" s="180" t="s">
        <v>175</v>
      </c>
      <c r="D4" s="178">
        <v>1</v>
      </c>
      <c r="E4" s="177" t="s">
        <v>95</v>
      </c>
      <c r="F4" s="177" t="s">
        <v>70</v>
      </c>
      <c r="G4" s="198">
        <v>225</v>
      </c>
      <c r="H4" s="180" t="s">
        <v>66</v>
      </c>
      <c r="I4" s="180" t="s">
        <v>121</v>
      </c>
      <c r="J4" s="181">
        <f>((D20^2*G21)/2)*1000</f>
        <v>49255.691768826626</v>
      </c>
      <c r="M4" s="42"/>
    </row>
    <row r="5" spans="2:16" ht="12" customHeight="1" thickBot="1" x14ac:dyDescent="0.3">
      <c r="B5" s="63" t="s">
        <v>87</v>
      </c>
      <c r="C5" s="180" t="s">
        <v>176</v>
      </c>
      <c r="D5" s="61">
        <v>1</v>
      </c>
      <c r="E5" s="28" t="s">
        <v>96</v>
      </c>
      <c r="F5" s="28" t="s">
        <v>2</v>
      </c>
      <c r="G5" s="179">
        <f>D9-D13</f>
        <v>225</v>
      </c>
      <c r="H5" s="28" t="s">
        <v>42</v>
      </c>
      <c r="I5" s="28" t="s">
        <v>51</v>
      </c>
      <c r="J5" s="181">
        <f>((D21^2*G22)/2)*1000</f>
        <v>49255.691768826626</v>
      </c>
      <c r="M5" s="41"/>
    </row>
    <row r="6" spans="2:16" ht="16.5" customHeight="1" thickBot="1" x14ac:dyDescent="0.3">
      <c r="B6" s="63" t="s">
        <v>88</v>
      </c>
      <c r="C6" s="180" t="s">
        <v>177</v>
      </c>
      <c r="D6" s="61">
        <v>1</v>
      </c>
      <c r="E6" s="28" t="s">
        <v>97</v>
      </c>
      <c r="F6" s="28" t="s">
        <v>72</v>
      </c>
      <c r="G6" s="179">
        <f>D10-D14</f>
        <v>225</v>
      </c>
      <c r="H6" s="28" t="s">
        <v>43</v>
      </c>
      <c r="I6" s="28" t="s">
        <v>50</v>
      </c>
      <c r="J6" s="52">
        <f>J4+J5</f>
        <v>98511.383537653252</v>
      </c>
      <c r="L6" s="189" t="s">
        <v>170</v>
      </c>
      <c r="M6" s="190"/>
    </row>
    <row r="7" spans="2:16" x14ac:dyDescent="0.25">
      <c r="B7" s="63" t="s">
        <v>58</v>
      </c>
      <c r="C7" s="180" t="s">
        <v>178</v>
      </c>
      <c r="D7" s="61">
        <v>1</v>
      </c>
      <c r="E7" s="28" t="s">
        <v>0</v>
      </c>
      <c r="F7" s="28" t="s">
        <v>71</v>
      </c>
      <c r="G7" s="179">
        <f>D11-D15</f>
        <v>225</v>
      </c>
      <c r="H7" s="28" t="s">
        <v>48</v>
      </c>
      <c r="I7" s="28" t="s">
        <v>49</v>
      </c>
      <c r="J7" s="52">
        <f>G10*G27*D1+D20</f>
        <v>1663.9999999999995</v>
      </c>
    </row>
    <row r="8" spans="2:16" ht="13.8" x14ac:dyDescent="0.3">
      <c r="B8" s="63" t="s">
        <v>89</v>
      </c>
      <c r="C8" s="28" t="s">
        <v>78</v>
      </c>
      <c r="D8" s="61">
        <v>250</v>
      </c>
      <c r="E8" s="30" t="s">
        <v>23</v>
      </c>
      <c r="F8" s="28" t="s">
        <v>19</v>
      </c>
      <c r="G8" s="32">
        <f>G4+G5</f>
        <v>450</v>
      </c>
      <c r="H8" s="171" t="s">
        <v>122</v>
      </c>
      <c r="I8" s="30" t="s">
        <v>133</v>
      </c>
      <c r="J8" s="188">
        <f>J7/J6</f>
        <v>1.6891448888888883E-2</v>
      </c>
      <c r="K8" s="59">
        <f>J8*180/3.142</f>
        <v>0.96768325907065533</v>
      </c>
      <c r="L8" s="56" t="s">
        <v>132</v>
      </c>
      <c r="P8" s="47"/>
    </row>
    <row r="9" spans="2:16" ht="13.8" thickBot="1" x14ac:dyDescent="0.3">
      <c r="B9" s="63" t="s">
        <v>90</v>
      </c>
      <c r="C9" s="28" t="s">
        <v>79</v>
      </c>
      <c r="D9" s="61">
        <v>250</v>
      </c>
      <c r="E9" s="28" t="s">
        <v>22</v>
      </c>
      <c r="F9" s="28" t="s">
        <v>20</v>
      </c>
      <c r="G9" s="32">
        <f>G6+G7</f>
        <v>450</v>
      </c>
      <c r="H9" s="28" t="s">
        <v>30</v>
      </c>
      <c r="I9" s="28" t="s">
        <v>52</v>
      </c>
      <c r="J9" s="57">
        <f>J8*AVERAGE(G17,G18)*D20*1000/2</f>
        <v>554.6666666666664</v>
      </c>
      <c r="P9" s="36"/>
    </row>
    <row r="10" spans="2:16" ht="13.8" thickBot="1" x14ac:dyDescent="0.3">
      <c r="B10" s="63" t="s">
        <v>91</v>
      </c>
      <c r="C10" s="28" t="s">
        <v>80</v>
      </c>
      <c r="D10" s="61">
        <v>250</v>
      </c>
      <c r="E10" s="165" t="s">
        <v>119</v>
      </c>
      <c r="F10" s="165" t="s">
        <v>117</v>
      </c>
      <c r="G10" s="48">
        <f>G8+G9</f>
        <v>900</v>
      </c>
      <c r="H10" s="141" t="s">
        <v>33</v>
      </c>
      <c r="I10" s="30" t="s">
        <v>53</v>
      </c>
      <c r="J10" s="57">
        <f>(J8*G22*D21)/2*1000</f>
        <v>554.6666666666664</v>
      </c>
      <c r="L10" s="143" t="s">
        <v>134</v>
      </c>
      <c r="M10" s="144"/>
      <c r="P10" s="36"/>
    </row>
    <row r="11" spans="2:16" ht="13.8" thickBot="1" x14ac:dyDescent="0.3">
      <c r="B11" s="63" t="s">
        <v>1</v>
      </c>
      <c r="C11" s="28" t="s">
        <v>81</v>
      </c>
      <c r="D11" s="61">
        <v>250</v>
      </c>
      <c r="E11" s="165" t="s">
        <v>115</v>
      </c>
      <c r="F11" s="165" t="s">
        <v>118</v>
      </c>
      <c r="G11" s="169">
        <f>D8+D9+D10+D11</f>
        <v>1000</v>
      </c>
      <c r="H11" s="29"/>
      <c r="I11" s="29"/>
      <c r="J11" s="53"/>
      <c r="K11" s="27"/>
      <c r="P11" s="50"/>
    </row>
    <row r="12" spans="2:16" ht="13.8" thickBot="1" x14ac:dyDescent="0.3">
      <c r="B12" s="63" t="s">
        <v>92</v>
      </c>
      <c r="C12" s="28" t="s">
        <v>82</v>
      </c>
      <c r="D12" s="62">
        <v>25</v>
      </c>
      <c r="E12" s="170" t="s">
        <v>128</v>
      </c>
      <c r="F12" s="170" t="s">
        <v>129</v>
      </c>
      <c r="G12" s="169">
        <f>D12+D13+D14+D15</f>
        <v>100</v>
      </c>
      <c r="H12" s="28" t="s">
        <v>59</v>
      </c>
      <c r="I12" s="30" t="s">
        <v>156</v>
      </c>
      <c r="J12" s="52">
        <f>((G8)*D1*D27)/D20</f>
        <v>210</v>
      </c>
      <c r="L12" s="143" t="s">
        <v>166</v>
      </c>
      <c r="M12" s="144"/>
      <c r="P12" s="36"/>
    </row>
    <row r="13" spans="2:16" x14ac:dyDescent="0.25">
      <c r="B13" s="63" t="s">
        <v>93</v>
      </c>
      <c r="C13" s="28" t="s">
        <v>83</v>
      </c>
      <c r="D13" s="61">
        <v>25</v>
      </c>
      <c r="E13" s="30" t="s">
        <v>111</v>
      </c>
      <c r="F13" s="28" t="s">
        <v>73</v>
      </c>
      <c r="G13" s="34">
        <f>D16/5.71</f>
        <v>43.782837127845887</v>
      </c>
      <c r="H13" s="28" t="s">
        <v>62</v>
      </c>
      <c r="I13" s="30" t="s">
        <v>157</v>
      </c>
      <c r="J13" s="52">
        <f>J11+G9*D1*D28/D21</f>
        <v>420</v>
      </c>
      <c r="P13" s="36"/>
    </row>
    <row r="14" spans="2:16" x14ac:dyDescent="0.25">
      <c r="B14" s="63" t="s">
        <v>94</v>
      </c>
      <c r="C14" s="28" t="s">
        <v>84</v>
      </c>
      <c r="D14" s="61">
        <v>25</v>
      </c>
      <c r="E14" s="30" t="s">
        <v>112</v>
      </c>
      <c r="F14" s="28" t="s">
        <v>74</v>
      </c>
      <c r="G14" s="34">
        <f>D17/5.71</f>
        <v>43.782837127845887</v>
      </c>
      <c r="H14" s="28" t="s">
        <v>60</v>
      </c>
      <c r="I14" s="30" t="s">
        <v>158</v>
      </c>
      <c r="J14" s="52">
        <f>(D12+D13)*D1*D23/D20</f>
        <v>64.166666666666671</v>
      </c>
    </row>
    <row r="15" spans="2:16" x14ac:dyDescent="0.25">
      <c r="B15" s="63" t="s">
        <v>21</v>
      </c>
      <c r="C15" s="28" t="s">
        <v>85</v>
      </c>
      <c r="D15" s="61">
        <v>25</v>
      </c>
      <c r="E15" s="28" t="s">
        <v>98</v>
      </c>
      <c r="F15" s="28" t="s">
        <v>75</v>
      </c>
      <c r="G15" s="34">
        <f>D18/5.71</f>
        <v>43.782837127845887</v>
      </c>
      <c r="H15" s="28" t="s">
        <v>61</v>
      </c>
      <c r="I15" s="30" t="s">
        <v>159</v>
      </c>
      <c r="J15" s="52">
        <f>(D14+D15)*D1*D24/D21</f>
        <v>64.166666666666671</v>
      </c>
      <c r="L15" s="129"/>
    </row>
    <row r="16" spans="2:16" x14ac:dyDescent="0.25">
      <c r="B16" s="63" t="s">
        <v>104</v>
      </c>
      <c r="C16" s="28" t="s">
        <v>106</v>
      </c>
      <c r="D16" s="61">
        <v>250</v>
      </c>
      <c r="E16" s="28" t="s">
        <v>99</v>
      </c>
      <c r="F16" s="28" t="s">
        <v>76</v>
      </c>
      <c r="G16" s="34">
        <f>D19/5.71</f>
        <v>43.782837127845887</v>
      </c>
      <c r="H16" s="28"/>
      <c r="I16" s="165" t="s">
        <v>160</v>
      </c>
      <c r="J16" s="173">
        <f>J9+J12+J14</f>
        <v>828.83333333333303</v>
      </c>
    </row>
    <row r="17" spans="2:16" ht="13.8" thickBot="1" x14ac:dyDescent="0.3">
      <c r="B17" s="63" t="s">
        <v>105</v>
      </c>
      <c r="C17" s="28" t="s">
        <v>107</v>
      </c>
      <c r="D17" s="61">
        <v>250</v>
      </c>
      <c r="E17" s="28" t="s">
        <v>100</v>
      </c>
      <c r="F17" s="28" t="s">
        <v>77</v>
      </c>
      <c r="G17" s="34">
        <f>G13*D5^2</f>
        <v>43.782837127845887</v>
      </c>
      <c r="H17" s="28"/>
      <c r="I17" s="165" t="s">
        <v>161</v>
      </c>
      <c r="J17" s="174">
        <f>J10+J13+J15</f>
        <v>1038.833333333333</v>
      </c>
      <c r="L17" s="129"/>
      <c r="P17" s="50"/>
    </row>
    <row r="18" spans="2:16" ht="13.8" thickBot="1" x14ac:dyDescent="0.3">
      <c r="B18" s="63" t="s">
        <v>98</v>
      </c>
      <c r="C18" s="28" t="s">
        <v>108</v>
      </c>
      <c r="D18" s="61">
        <v>250</v>
      </c>
      <c r="E18" s="28" t="s">
        <v>101</v>
      </c>
      <c r="F18" s="28" t="s">
        <v>102</v>
      </c>
      <c r="G18" s="130">
        <f>G14*D5^2</f>
        <v>43.782837127845887</v>
      </c>
      <c r="H18" s="28"/>
      <c r="I18" s="172" t="s">
        <v>187</v>
      </c>
      <c r="J18" s="140">
        <f>J16+J17</f>
        <v>1867.6666666666661</v>
      </c>
      <c r="P18" s="50"/>
    </row>
    <row r="19" spans="2:16" x14ac:dyDescent="0.25">
      <c r="B19" s="63" t="s">
        <v>99</v>
      </c>
      <c r="C19" s="28" t="s">
        <v>109</v>
      </c>
      <c r="D19" s="61">
        <v>250</v>
      </c>
      <c r="E19" s="28" t="s">
        <v>168</v>
      </c>
      <c r="F19" s="28" t="s">
        <v>164</v>
      </c>
      <c r="G19" s="35">
        <f>G15*D6^2</f>
        <v>43.782837127845887</v>
      </c>
      <c r="H19" s="28" t="s">
        <v>103</v>
      </c>
      <c r="I19" s="28" t="s">
        <v>54</v>
      </c>
      <c r="J19" s="133">
        <f>(D8*9.81)+J16</f>
        <v>3281.333333333333</v>
      </c>
      <c r="L19" s="147" t="s">
        <v>126</v>
      </c>
      <c r="M19" s="148"/>
      <c r="N19" s="149"/>
      <c r="O19" s="150"/>
      <c r="P19" s="50"/>
    </row>
    <row r="20" spans="2:16" x14ac:dyDescent="0.25">
      <c r="B20" s="63" t="s">
        <v>26</v>
      </c>
      <c r="C20" s="28" t="s">
        <v>24</v>
      </c>
      <c r="D20" s="61">
        <v>1.5</v>
      </c>
      <c r="E20" s="28" t="s">
        <v>169</v>
      </c>
      <c r="F20" s="28" t="s">
        <v>165</v>
      </c>
      <c r="G20" s="35">
        <f>G16*D7^2</f>
        <v>43.782837127845887</v>
      </c>
      <c r="H20" s="30" t="s">
        <v>113</v>
      </c>
      <c r="I20" s="28" t="s">
        <v>55</v>
      </c>
      <c r="J20" s="60">
        <f>(D9*9.81)-J16</f>
        <v>1623.666666666667</v>
      </c>
      <c r="L20" s="151" t="s">
        <v>125</v>
      </c>
      <c r="M20" s="46"/>
      <c r="N20" s="46"/>
      <c r="O20" s="152"/>
      <c r="P20" s="50"/>
    </row>
    <row r="21" spans="2:16" x14ac:dyDescent="0.25">
      <c r="B21" s="63" t="s">
        <v>27</v>
      </c>
      <c r="C21" s="28" t="s">
        <v>25</v>
      </c>
      <c r="D21" s="61">
        <v>1.5</v>
      </c>
      <c r="E21" s="195" t="s">
        <v>182</v>
      </c>
      <c r="F21" s="192" t="s">
        <v>180</v>
      </c>
      <c r="G21" s="194">
        <f>(G17+G18)/2</f>
        <v>43.782837127845887</v>
      </c>
      <c r="H21" s="30" t="s">
        <v>110</v>
      </c>
      <c r="I21" s="28" t="s">
        <v>56</v>
      </c>
      <c r="J21" s="60">
        <f>(D10*9.81)+J17</f>
        <v>3491.333333333333</v>
      </c>
      <c r="L21" s="153" t="s">
        <v>131</v>
      </c>
      <c r="M21" s="46"/>
      <c r="N21" s="46"/>
      <c r="O21" s="152"/>
    </row>
    <row r="22" spans="2:16" ht="13.8" thickBot="1" x14ac:dyDescent="0.3">
      <c r="B22" s="63" t="s">
        <v>29</v>
      </c>
      <c r="C22" s="28" t="s">
        <v>28</v>
      </c>
      <c r="D22" s="61">
        <v>2.5</v>
      </c>
      <c r="E22" s="195" t="s">
        <v>183</v>
      </c>
      <c r="F22" s="192" t="s">
        <v>181</v>
      </c>
      <c r="G22" s="193">
        <f>(G19+G20)/2</f>
        <v>43.782837127845887</v>
      </c>
      <c r="H22" s="28" t="s">
        <v>41</v>
      </c>
      <c r="I22" s="28" t="s">
        <v>57</v>
      </c>
      <c r="J22" s="135">
        <f>(D11*9.81)-J17</f>
        <v>1413.666666666667</v>
      </c>
      <c r="L22" s="154" t="s">
        <v>130</v>
      </c>
      <c r="M22" s="155"/>
      <c r="N22" s="155"/>
      <c r="O22" s="156"/>
    </row>
    <row r="23" spans="2:16" x14ac:dyDescent="0.25">
      <c r="B23" s="164" t="s">
        <v>136</v>
      </c>
      <c r="C23" s="165" t="s">
        <v>184</v>
      </c>
      <c r="D23" s="61">
        <v>0.27500000000000002</v>
      </c>
      <c r="E23" s="28" t="s">
        <v>37</v>
      </c>
      <c r="F23" s="30" t="s">
        <v>116</v>
      </c>
      <c r="G23" s="196">
        <f>(G9*D22)/G10</f>
        <v>1.25</v>
      </c>
      <c r="H23" s="28"/>
      <c r="I23" s="134" t="s">
        <v>162</v>
      </c>
      <c r="J23" s="136">
        <f>SUM(J19, J20, J21, J22)</f>
        <v>9810</v>
      </c>
    </row>
    <row r="24" spans="2:16" ht="13.8" thickBot="1" x14ac:dyDescent="0.3">
      <c r="B24" s="166" t="s">
        <v>135</v>
      </c>
      <c r="C24" s="167" t="s">
        <v>185</v>
      </c>
      <c r="D24" s="168">
        <v>0.27500000000000002</v>
      </c>
      <c r="E24" s="28" t="s">
        <v>38</v>
      </c>
      <c r="F24" s="28" t="s">
        <v>47</v>
      </c>
      <c r="G24" s="49" t="s">
        <v>188</v>
      </c>
      <c r="H24" s="28"/>
      <c r="I24" s="58" t="s">
        <v>163</v>
      </c>
      <c r="J24" s="137">
        <f>G11*9.81</f>
        <v>9810</v>
      </c>
    </row>
    <row r="25" spans="2:16" x14ac:dyDescent="0.25">
      <c r="B25" s="186" t="s">
        <v>172</v>
      </c>
      <c r="C25" s="28" t="s">
        <v>65</v>
      </c>
      <c r="D25" s="61">
        <v>0.4</v>
      </c>
      <c r="E25" s="28" t="s">
        <v>39</v>
      </c>
      <c r="F25" s="28" t="s">
        <v>44</v>
      </c>
      <c r="G25" s="49">
        <v>0.05</v>
      </c>
      <c r="H25" s="28"/>
      <c r="I25" s="28"/>
      <c r="J25" s="132"/>
    </row>
    <row r="26" spans="2:16" ht="13.8" thickBot="1" x14ac:dyDescent="0.3">
      <c r="B26" s="63" t="s">
        <v>63</v>
      </c>
      <c r="C26" s="28" t="s">
        <v>64</v>
      </c>
      <c r="D26" s="43">
        <f>((D25*G11)-((D12+D13)*D23)-((D14+D15)*D24))/G10</f>
        <v>0.41388888888888886</v>
      </c>
      <c r="E26" s="28" t="s">
        <v>40</v>
      </c>
      <c r="F26" s="28" t="s">
        <v>45</v>
      </c>
      <c r="G26" s="197">
        <f>G25+D27</f>
        <v>0.15000000000000002</v>
      </c>
      <c r="H26" s="28"/>
      <c r="I26" s="28"/>
      <c r="J26" s="131"/>
    </row>
    <row r="27" spans="2:16" ht="13.8" thickBot="1" x14ac:dyDescent="0.3">
      <c r="B27" s="63" t="s">
        <v>35</v>
      </c>
      <c r="C27" s="30" t="s">
        <v>173</v>
      </c>
      <c r="D27" s="61">
        <v>0.1</v>
      </c>
      <c r="E27" s="28" t="s">
        <v>69</v>
      </c>
      <c r="F27" s="28" t="s">
        <v>46</v>
      </c>
      <c r="G27" s="197">
        <f>D26-G25-D27</f>
        <v>0.26388888888888884</v>
      </c>
      <c r="H27" s="28" t="s">
        <v>67</v>
      </c>
      <c r="I27" s="55" t="s">
        <v>68</v>
      </c>
      <c r="J27" s="199">
        <f>G11*D1*D25 /AVERAGE(D20,D21)</f>
        <v>1866.6666666666667</v>
      </c>
      <c r="L27" s="157" t="s">
        <v>127</v>
      </c>
      <c r="M27" s="149"/>
      <c r="N27" s="149"/>
      <c r="O27" s="158"/>
      <c r="P27" s="150"/>
    </row>
    <row r="28" spans="2:16" ht="13.8" thickBot="1" x14ac:dyDescent="0.3">
      <c r="B28" s="182" t="s">
        <v>36</v>
      </c>
      <c r="C28" s="187" t="s">
        <v>174</v>
      </c>
      <c r="D28" s="183">
        <v>0.2</v>
      </c>
      <c r="E28" s="64"/>
      <c r="F28" s="64"/>
      <c r="G28" s="184"/>
      <c r="H28" s="64"/>
      <c r="I28" s="64"/>
      <c r="J28" s="185"/>
      <c r="L28" s="159" t="s">
        <v>167</v>
      </c>
      <c r="M28" s="155"/>
      <c r="N28" s="155"/>
      <c r="O28" s="160"/>
      <c r="P28" s="156"/>
    </row>
    <row r="29" spans="2:16" x14ac:dyDescent="0.25">
      <c r="B29" s="202" t="s">
        <v>189</v>
      </c>
      <c r="C29" s="195" t="s">
        <v>190</v>
      </c>
      <c r="D29" s="203">
        <f>J19-J20</f>
        <v>1657.6666666666661</v>
      </c>
      <c r="E29" s="36"/>
      <c r="F29" s="36"/>
      <c r="G29" s="200"/>
      <c r="H29" s="36"/>
      <c r="I29" s="36"/>
      <c r="J29" s="200"/>
      <c r="L29" s="201"/>
      <c r="M29" s="46"/>
      <c r="N29" s="46"/>
      <c r="O29" s="46"/>
      <c r="P29" s="46"/>
    </row>
    <row r="30" spans="2:16" x14ac:dyDescent="0.25">
      <c r="B30" s="202" t="s">
        <v>191</v>
      </c>
      <c r="C30" s="195" t="s">
        <v>192</v>
      </c>
      <c r="D30" s="206">
        <f>J21-J22</f>
        <v>2077.6666666666661</v>
      </c>
      <c r="L30" s="139"/>
      <c r="M30" s="139"/>
      <c r="N30" s="139"/>
      <c r="O30" s="139"/>
    </row>
    <row r="31" spans="2:16" x14ac:dyDescent="0.25">
      <c r="B31" s="202" t="s">
        <v>193</v>
      </c>
      <c r="C31" s="195" t="s">
        <v>194</v>
      </c>
      <c r="D31" s="206">
        <f>D29-D30</f>
        <v>-420</v>
      </c>
      <c r="L31" s="139"/>
      <c r="M31" s="139"/>
      <c r="N31" s="139"/>
      <c r="O31" s="139"/>
    </row>
    <row r="32" spans="2:16" x14ac:dyDescent="0.25">
      <c r="B32" s="202" t="s">
        <v>195</v>
      </c>
      <c r="C32" s="195" t="s">
        <v>196</v>
      </c>
      <c r="D32" s="206">
        <f>J17/J27*100</f>
        <v>55.651785714285694</v>
      </c>
      <c r="L32" s="139"/>
      <c r="M32" s="139"/>
      <c r="N32" s="139"/>
      <c r="O32" s="139"/>
    </row>
    <row r="33" spans="2:15" ht="13.8" thickBot="1" x14ac:dyDescent="0.3">
      <c r="B33" s="204"/>
      <c r="C33" s="205"/>
      <c r="L33" s="139"/>
      <c r="M33" s="139"/>
      <c r="N33" s="139"/>
      <c r="O33" s="139"/>
    </row>
    <row r="34" spans="2:15" ht="18" customHeight="1" thickBot="1" x14ac:dyDescent="0.3">
      <c r="D34" s="145" t="s">
        <v>120</v>
      </c>
      <c r="E34" s="146"/>
      <c r="G34" s="191"/>
      <c r="H34" s="39"/>
      <c r="I34" s="39"/>
      <c r="L34" s="138"/>
      <c r="M34" s="138"/>
      <c r="N34" s="138"/>
      <c r="O34" s="138"/>
    </row>
    <row r="35" spans="2:15" ht="14.4" thickBot="1" x14ac:dyDescent="0.3">
      <c r="G35" s="39"/>
      <c r="I35" s="39"/>
    </row>
    <row r="36" spans="2:15" ht="18" thickBot="1" x14ac:dyDescent="0.35">
      <c r="C36" s="163" t="s">
        <v>179</v>
      </c>
      <c r="F36" s="161" t="s">
        <v>123</v>
      </c>
      <c r="H36" s="40"/>
    </row>
    <row r="37" spans="2:15" ht="14.4" thickBot="1" x14ac:dyDescent="0.3">
      <c r="F37" s="162" t="s">
        <v>124</v>
      </c>
    </row>
    <row r="39" spans="2:15" x14ac:dyDescent="0.25">
      <c r="B39" s="54"/>
    </row>
    <row r="40" spans="2:15" x14ac:dyDescent="0.25">
      <c r="B40" s="50"/>
      <c r="C40" s="142"/>
      <c r="D40" s="50"/>
    </row>
    <row r="41" spans="2:15" x14ac:dyDescent="0.25">
      <c r="B41" s="50"/>
      <c r="C41" s="142"/>
      <c r="D41" s="50"/>
    </row>
    <row r="43" spans="2:15" x14ac:dyDescent="0.25">
      <c r="D43" t="s">
        <v>186</v>
      </c>
      <c r="G43" t="s">
        <v>59</v>
      </c>
    </row>
    <row r="44" spans="2:15" x14ac:dyDescent="0.25">
      <c r="G44">
        <f>(G8*D1*D27)/D20</f>
        <v>210</v>
      </c>
    </row>
    <row r="46" spans="2:15" x14ac:dyDescent="0.25">
      <c r="G46" t="s">
        <v>62</v>
      </c>
    </row>
    <row r="47" spans="2:15" x14ac:dyDescent="0.25">
      <c r="G47">
        <f>(G9*D1*D28)/D21</f>
        <v>420</v>
      </c>
    </row>
    <row r="49" spans="7:7" x14ac:dyDescent="0.25">
      <c r="G49" t="s">
        <v>30</v>
      </c>
    </row>
    <row r="50" spans="7:7" x14ac:dyDescent="0.25">
      <c r="G50">
        <f>(J8*D20*G21)/2</f>
        <v>0.55466666666666653</v>
      </c>
    </row>
    <row r="52" spans="7:7" x14ac:dyDescent="0.25">
      <c r="G52" t="s">
        <v>33</v>
      </c>
    </row>
    <row r="53" spans="7:7" x14ac:dyDescent="0.25">
      <c r="G53">
        <f>(J8*D21*G22)/2</f>
        <v>0.55466666666666653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49"/>
  <sheetViews>
    <sheetView zoomScale="93" zoomScaleNormal="93" workbookViewId="0">
      <selection activeCell="D1" sqref="D1"/>
    </sheetView>
  </sheetViews>
  <sheetFormatPr defaultRowHeight="13.2" x14ac:dyDescent="0.25"/>
  <cols>
    <col min="3" max="3" width="51.6640625" customWidth="1"/>
    <col min="6" max="6" width="41.6640625" customWidth="1"/>
    <col min="7" max="7" width="13.6640625" customWidth="1"/>
    <col min="9" max="9" width="53.44140625" customWidth="1"/>
    <col min="10" max="10" width="12.109375" customWidth="1"/>
    <col min="11" max="11" width="7.44140625" customWidth="1"/>
    <col min="12" max="14" width="9.109375" customWidth="1"/>
    <col min="15" max="15" width="11.109375" customWidth="1"/>
    <col min="16" max="16" width="10.109375" customWidth="1"/>
  </cols>
  <sheetData>
    <row r="1" spans="2:16" ht="18" thickBot="1" x14ac:dyDescent="0.35">
      <c r="C1" s="31" t="s">
        <v>114</v>
      </c>
      <c r="D1" s="51">
        <v>7</v>
      </c>
      <c r="F1" s="45" t="s">
        <v>171</v>
      </c>
      <c r="G1" s="44"/>
    </row>
    <row r="2" spans="2:16" ht="13.8" thickBot="1" x14ac:dyDescent="0.3"/>
    <row r="3" spans="2:16" ht="16.2" thickBot="1" x14ac:dyDescent="0.35">
      <c r="B3" s="37" t="s">
        <v>31</v>
      </c>
      <c r="C3" s="38"/>
      <c r="D3" s="38"/>
      <c r="E3" s="38" t="s">
        <v>32</v>
      </c>
      <c r="F3" s="38"/>
      <c r="G3" s="38"/>
      <c r="H3" s="38" t="s">
        <v>34</v>
      </c>
      <c r="I3" s="38"/>
      <c r="J3" s="175"/>
    </row>
    <row r="4" spans="2:16" ht="14.4" thickBot="1" x14ac:dyDescent="0.3">
      <c r="B4" s="176" t="s">
        <v>86</v>
      </c>
      <c r="C4" s="180" t="s">
        <v>175</v>
      </c>
      <c r="D4" s="178">
        <v>1</v>
      </c>
      <c r="E4" s="177" t="s">
        <v>95</v>
      </c>
      <c r="F4" s="177" t="s">
        <v>70</v>
      </c>
      <c r="G4" s="198">
        <v>225</v>
      </c>
      <c r="H4" s="180" t="s">
        <v>66</v>
      </c>
      <c r="I4" s="180" t="s">
        <v>121</v>
      </c>
      <c r="J4" s="181">
        <f>((D20^2*G21)/2)*1000</f>
        <v>49255.691768826626</v>
      </c>
      <c r="M4" s="42"/>
    </row>
    <row r="5" spans="2:16" ht="12" customHeight="1" thickBot="1" x14ac:dyDescent="0.3">
      <c r="B5" s="63" t="s">
        <v>87</v>
      </c>
      <c r="C5" s="180" t="s">
        <v>176</v>
      </c>
      <c r="D5" s="61">
        <v>1</v>
      </c>
      <c r="E5" s="28" t="s">
        <v>96</v>
      </c>
      <c r="F5" s="28" t="s">
        <v>2</v>
      </c>
      <c r="G5" s="179">
        <f>D9-D13</f>
        <v>225</v>
      </c>
      <c r="H5" s="28" t="s">
        <v>42</v>
      </c>
      <c r="I5" s="28" t="s">
        <v>51</v>
      </c>
      <c r="J5" s="181">
        <f>((D21^2*G22)/2)*1000</f>
        <v>49255.691768826626</v>
      </c>
      <c r="M5" s="41"/>
    </row>
    <row r="6" spans="2:16" ht="16.5" customHeight="1" thickBot="1" x14ac:dyDescent="0.3">
      <c r="B6" s="63" t="s">
        <v>88</v>
      </c>
      <c r="C6" s="180" t="s">
        <v>177</v>
      </c>
      <c r="D6" s="61">
        <v>1</v>
      </c>
      <c r="E6" s="28" t="s">
        <v>97</v>
      </c>
      <c r="F6" s="28" t="s">
        <v>72</v>
      </c>
      <c r="G6" s="179">
        <f>D10-D14</f>
        <v>225</v>
      </c>
      <c r="H6" s="28" t="s">
        <v>43</v>
      </c>
      <c r="I6" s="28" t="s">
        <v>50</v>
      </c>
      <c r="J6" s="52">
        <f>J4+J5</f>
        <v>98511.383537653252</v>
      </c>
      <c r="L6" s="189" t="s">
        <v>170</v>
      </c>
      <c r="M6" s="190"/>
    </row>
    <row r="7" spans="2:16" x14ac:dyDescent="0.25">
      <c r="B7" s="63" t="s">
        <v>58</v>
      </c>
      <c r="C7" s="180" t="s">
        <v>178</v>
      </c>
      <c r="D7" s="61">
        <v>1</v>
      </c>
      <c r="E7" s="28" t="s">
        <v>0</v>
      </c>
      <c r="F7" s="28" t="s">
        <v>71</v>
      </c>
      <c r="G7" s="179">
        <f>D11-D15</f>
        <v>225</v>
      </c>
      <c r="H7" s="28" t="s">
        <v>48</v>
      </c>
      <c r="I7" s="28" t="s">
        <v>49</v>
      </c>
      <c r="J7" s="52">
        <f>G10*G27*D1+D20</f>
        <v>1663.9999999999995</v>
      </c>
    </row>
    <row r="8" spans="2:16" ht="13.8" x14ac:dyDescent="0.3">
      <c r="B8" s="63" t="s">
        <v>89</v>
      </c>
      <c r="C8" s="28" t="s">
        <v>78</v>
      </c>
      <c r="D8" s="61">
        <v>250</v>
      </c>
      <c r="E8" s="30" t="s">
        <v>23</v>
      </c>
      <c r="F8" s="28" t="s">
        <v>19</v>
      </c>
      <c r="G8" s="32">
        <f>G4+G5</f>
        <v>450</v>
      </c>
      <c r="H8" s="171" t="s">
        <v>122</v>
      </c>
      <c r="I8" s="30" t="s">
        <v>133</v>
      </c>
      <c r="J8" s="188">
        <f>J7/J6</f>
        <v>1.6891448888888883E-2</v>
      </c>
      <c r="K8" s="59">
        <f>J8*180/3.142</f>
        <v>0.96768325907065533</v>
      </c>
      <c r="L8" s="56" t="s">
        <v>132</v>
      </c>
      <c r="P8" s="47"/>
    </row>
    <row r="9" spans="2:16" ht="13.8" thickBot="1" x14ac:dyDescent="0.3">
      <c r="B9" s="63" t="s">
        <v>90</v>
      </c>
      <c r="C9" s="28" t="s">
        <v>79</v>
      </c>
      <c r="D9" s="61">
        <v>250</v>
      </c>
      <c r="E9" s="28" t="s">
        <v>22</v>
      </c>
      <c r="F9" s="28" t="s">
        <v>20</v>
      </c>
      <c r="G9" s="32">
        <f>G6+G7</f>
        <v>450</v>
      </c>
      <c r="H9" s="28" t="s">
        <v>30</v>
      </c>
      <c r="I9" s="28" t="s">
        <v>52</v>
      </c>
      <c r="J9" s="57">
        <f>J8*AVERAGE(G17,G18)*D20*1000/2</f>
        <v>554.6666666666664</v>
      </c>
      <c r="P9" s="36"/>
    </row>
    <row r="10" spans="2:16" ht="13.8" thickBot="1" x14ac:dyDescent="0.3">
      <c r="B10" s="63" t="s">
        <v>91</v>
      </c>
      <c r="C10" s="28" t="s">
        <v>80</v>
      </c>
      <c r="D10" s="61">
        <v>250</v>
      </c>
      <c r="E10" s="165" t="s">
        <v>119</v>
      </c>
      <c r="F10" s="165" t="s">
        <v>117</v>
      </c>
      <c r="G10" s="48">
        <f>G8+G9</f>
        <v>900</v>
      </c>
      <c r="H10" s="141" t="s">
        <v>33</v>
      </c>
      <c r="I10" s="30" t="s">
        <v>53</v>
      </c>
      <c r="J10" s="57">
        <f>(J8*G22*D21)/2*1000</f>
        <v>554.6666666666664</v>
      </c>
      <c r="L10" s="143" t="s">
        <v>134</v>
      </c>
      <c r="M10" s="144"/>
      <c r="P10" s="36"/>
    </row>
    <row r="11" spans="2:16" ht="13.8" thickBot="1" x14ac:dyDescent="0.3">
      <c r="B11" s="63" t="s">
        <v>1</v>
      </c>
      <c r="C11" s="28" t="s">
        <v>81</v>
      </c>
      <c r="D11" s="61">
        <v>250</v>
      </c>
      <c r="E11" s="165" t="s">
        <v>115</v>
      </c>
      <c r="F11" s="165" t="s">
        <v>118</v>
      </c>
      <c r="G11" s="169">
        <f>D8+D9+D10+D11</f>
        <v>1000</v>
      </c>
      <c r="H11" s="29"/>
      <c r="I11" s="29"/>
      <c r="J11" s="53"/>
      <c r="K11" s="27"/>
      <c r="P11" s="50"/>
    </row>
    <row r="12" spans="2:16" ht="13.8" thickBot="1" x14ac:dyDescent="0.3">
      <c r="B12" s="63" t="s">
        <v>92</v>
      </c>
      <c r="C12" s="28" t="s">
        <v>82</v>
      </c>
      <c r="D12" s="62">
        <v>25</v>
      </c>
      <c r="E12" s="170" t="s">
        <v>128</v>
      </c>
      <c r="F12" s="170" t="s">
        <v>129</v>
      </c>
      <c r="G12" s="169">
        <f>D12+D13+D14+D15</f>
        <v>100</v>
      </c>
      <c r="H12" s="28" t="s">
        <v>59</v>
      </c>
      <c r="I12" s="30" t="s">
        <v>156</v>
      </c>
      <c r="J12" s="52">
        <f>((G8)*D1*D27)/D20</f>
        <v>210</v>
      </c>
      <c r="L12" s="143" t="s">
        <v>166</v>
      </c>
      <c r="M12" s="144"/>
      <c r="P12" s="36"/>
    </row>
    <row r="13" spans="2:16" x14ac:dyDescent="0.25">
      <c r="B13" s="63" t="s">
        <v>93</v>
      </c>
      <c r="C13" s="28" t="s">
        <v>83</v>
      </c>
      <c r="D13" s="61">
        <v>25</v>
      </c>
      <c r="E13" s="30" t="s">
        <v>111</v>
      </c>
      <c r="F13" s="28" t="s">
        <v>73</v>
      </c>
      <c r="G13" s="34">
        <f>D16/5.71</f>
        <v>43.782837127845887</v>
      </c>
      <c r="H13" s="28" t="s">
        <v>62</v>
      </c>
      <c r="I13" s="30" t="s">
        <v>157</v>
      </c>
      <c r="J13" s="52">
        <f>J11+G9*D1*D28/D21</f>
        <v>420</v>
      </c>
      <c r="P13" s="36"/>
    </row>
    <row r="14" spans="2:16" x14ac:dyDescent="0.25">
      <c r="B14" s="63" t="s">
        <v>94</v>
      </c>
      <c r="C14" s="28" t="s">
        <v>84</v>
      </c>
      <c r="D14" s="61">
        <v>25</v>
      </c>
      <c r="E14" s="30" t="s">
        <v>112</v>
      </c>
      <c r="F14" s="28" t="s">
        <v>74</v>
      </c>
      <c r="G14" s="34">
        <f>D17/5.71</f>
        <v>43.782837127845887</v>
      </c>
      <c r="H14" s="28" t="s">
        <v>60</v>
      </c>
      <c r="I14" s="30" t="s">
        <v>158</v>
      </c>
      <c r="J14" s="52">
        <f>(D12+D13)*D1*D23/D20</f>
        <v>64.166666666666671</v>
      </c>
    </row>
    <row r="15" spans="2:16" x14ac:dyDescent="0.25">
      <c r="B15" s="63" t="s">
        <v>21</v>
      </c>
      <c r="C15" s="28" t="s">
        <v>85</v>
      </c>
      <c r="D15" s="61">
        <v>25</v>
      </c>
      <c r="E15" s="28" t="s">
        <v>98</v>
      </c>
      <c r="F15" s="28" t="s">
        <v>75</v>
      </c>
      <c r="G15" s="34">
        <f>D18/5.71</f>
        <v>43.782837127845887</v>
      </c>
      <c r="H15" s="28" t="s">
        <v>61</v>
      </c>
      <c r="I15" s="30" t="s">
        <v>159</v>
      </c>
      <c r="J15" s="52">
        <f>(D14+D15)*D1*D24/D21</f>
        <v>64.166666666666671</v>
      </c>
      <c r="L15" s="129"/>
    </row>
    <row r="16" spans="2:16" x14ac:dyDescent="0.25">
      <c r="B16" s="63" t="s">
        <v>104</v>
      </c>
      <c r="C16" s="28" t="s">
        <v>106</v>
      </c>
      <c r="D16" s="61">
        <v>250</v>
      </c>
      <c r="E16" s="28" t="s">
        <v>99</v>
      </c>
      <c r="F16" s="28" t="s">
        <v>76</v>
      </c>
      <c r="G16" s="34">
        <f>D19/5.71</f>
        <v>43.782837127845887</v>
      </c>
      <c r="H16" s="28"/>
      <c r="I16" s="165" t="s">
        <v>160</v>
      </c>
      <c r="J16" s="173">
        <f>J9+J12+J14</f>
        <v>828.83333333333303</v>
      </c>
    </row>
    <row r="17" spans="2:16" ht="13.8" thickBot="1" x14ac:dyDescent="0.3">
      <c r="B17" s="63" t="s">
        <v>105</v>
      </c>
      <c r="C17" s="28" t="s">
        <v>107</v>
      </c>
      <c r="D17" s="61">
        <v>250</v>
      </c>
      <c r="E17" s="28" t="s">
        <v>100</v>
      </c>
      <c r="F17" s="28" t="s">
        <v>77</v>
      </c>
      <c r="G17" s="34">
        <f>G13*D5^2</f>
        <v>43.782837127845887</v>
      </c>
      <c r="H17" s="28"/>
      <c r="I17" s="165" t="s">
        <v>161</v>
      </c>
      <c r="J17" s="174">
        <f>J10+J13+J15</f>
        <v>1038.833333333333</v>
      </c>
      <c r="L17" s="129"/>
      <c r="P17" s="50"/>
    </row>
    <row r="18" spans="2:16" ht="13.8" thickBot="1" x14ac:dyDescent="0.3">
      <c r="B18" s="63" t="s">
        <v>98</v>
      </c>
      <c r="C18" s="28" t="s">
        <v>108</v>
      </c>
      <c r="D18" s="61">
        <v>250</v>
      </c>
      <c r="E18" s="28" t="s">
        <v>101</v>
      </c>
      <c r="F18" s="28" t="s">
        <v>102</v>
      </c>
      <c r="G18" s="130">
        <f>G14*D5^2</f>
        <v>43.782837127845887</v>
      </c>
      <c r="H18" s="28"/>
      <c r="I18" s="172" t="s">
        <v>187</v>
      </c>
      <c r="J18" s="140">
        <f>J16+J17</f>
        <v>1867.6666666666661</v>
      </c>
      <c r="P18" s="50"/>
    </row>
    <row r="19" spans="2:16" x14ac:dyDescent="0.25">
      <c r="B19" s="63" t="s">
        <v>99</v>
      </c>
      <c r="C19" s="28" t="s">
        <v>109</v>
      </c>
      <c r="D19" s="61">
        <v>250</v>
      </c>
      <c r="E19" s="28" t="s">
        <v>168</v>
      </c>
      <c r="F19" s="28" t="s">
        <v>164</v>
      </c>
      <c r="G19" s="35">
        <f>G15*D6^2</f>
        <v>43.782837127845887</v>
      </c>
      <c r="H19" s="28" t="s">
        <v>103</v>
      </c>
      <c r="I19" s="28" t="s">
        <v>54</v>
      </c>
      <c r="J19" s="133">
        <f>(D8*9.81)+J16</f>
        <v>3281.333333333333</v>
      </c>
      <c r="L19" s="147" t="s">
        <v>126</v>
      </c>
      <c r="M19" s="148"/>
      <c r="N19" s="149"/>
      <c r="O19" s="150"/>
      <c r="P19" s="50"/>
    </row>
    <row r="20" spans="2:16" x14ac:dyDescent="0.25">
      <c r="B20" s="63" t="s">
        <v>26</v>
      </c>
      <c r="C20" s="28" t="s">
        <v>24</v>
      </c>
      <c r="D20" s="61">
        <v>1.5</v>
      </c>
      <c r="E20" s="28" t="s">
        <v>169</v>
      </c>
      <c r="F20" s="28" t="s">
        <v>165</v>
      </c>
      <c r="G20" s="35">
        <f>G16*D7^2</f>
        <v>43.782837127845887</v>
      </c>
      <c r="H20" s="30" t="s">
        <v>113</v>
      </c>
      <c r="I20" s="28" t="s">
        <v>55</v>
      </c>
      <c r="J20" s="60">
        <f>(D9*9.81)-J16</f>
        <v>1623.666666666667</v>
      </c>
      <c r="L20" s="151" t="s">
        <v>125</v>
      </c>
      <c r="M20" s="46"/>
      <c r="N20" s="46"/>
      <c r="O20" s="152"/>
      <c r="P20" s="50"/>
    </row>
    <row r="21" spans="2:16" x14ac:dyDescent="0.25">
      <c r="B21" s="63" t="s">
        <v>27</v>
      </c>
      <c r="C21" s="28" t="s">
        <v>25</v>
      </c>
      <c r="D21" s="61">
        <v>1.5</v>
      </c>
      <c r="E21" s="195" t="s">
        <v>182</v>
      </c>
      <c r="F21" s="192" t="s">
        <v>180</v>
      </c>
      <c r="G21" s="194">
        <f>(G17+G18)/2</f>
        <v>43.782837127845887</v>
      </c>
      <c r="H21" s="30" t="s">
        <v>110</v>
      </c>
      <c r="I21" s="28" t="s">
        <v>56</v>
      </c>
      <c r="J21" s="60">
        <f>(D10*9.81)+J17</f>
        <v>3491.333333333333</v>
      </c>
      <c r="L21" s="153" t="s">
        <v>131</v>
      </c>
      <c r="M21" s="46"/>
      <c r="N21" s="46"/>
      <c r="O21" s="152"/>
    </row>
    <row r="22" spans="2:16" ht="13.8" thickBot="1" x14ac:dyDescent="0.3">
      <c r="B22" s="63" t="s">
        <v>29</v>
      </c>
      <c r="C22" s="28" t="s">
        <v>28</v>
      </c>
      <c r="D22" s="61">
        <v>2.5</v>
      </c>
      <c r="E22" s="195" t="s">
        <v>183</v>
      </c>
      <c r="F22" s="192" t="s">
        <v>181</v>
      </c>
      <c r="G22" s="193">
        <f>(G19+G20)/2</f>
        <v>43.782837127845887</v>
      </c>
      <c r="H22" s="28" t="s">
        <v>41</v>
      </c>
      <c r="I22" s="28" t="s">
        <v>57</v>
      </c>
      <c r="J22" s="135">
        <f>(D11*9.81)-J17</f>
        <v>1413.666666666667</v>
      </c>
      <c r="L22" s="154" t="s">
        <v>130</v>
      </c>
      <c r="M22" s="155"/>
      <c r="N22" s="155"/>
      <c r="O22" s="156"/>
    </row>
    <row r="23" spans="2:16" x14ac:dyDescent="0.25">
      <c r="B23" s="164" t="s">
        <v>136</v>
      </c>
      <c r="C23" s="165" t="s">
        <v>184</v>
      </c>
      <c r="D23" s="61">
        <v>0.27500000000000002</v>
      </c>
      <c r="E23" s="28" t="s">
        <v>37</v>
      </c>
      <c r="F23" s="30" t="s">
        <v>116</v>
      </c>
      <c r="G23" s="196">
        <f>(G9*D22)/G10</f>
        <v>1.25</v>
      </c>
      <c r="H23" s="28"/>
      <c r="I23" s="134" t="s">
        <v>162</v>
      </c>
      <c r="J23" s="136">
        <f>SUM(J19, J20, J21, J22)</f>
        <v>9810</v>
      </c>
    </row>
    <row r="24" spans="2:16" ht="13.8" thickBot="1" x14ac:dyDescent="0.3">
      <c r="B24" s="166" t="s">
        <v>135</v>
      </c>
      <c r="C24" s="167" t="s">
        <v>185</v>
      </c>
      <c r="D24" s="168">
        <v>0.27500000000000002</v>
      </c>
      <c r="E24" s="28" t="s">
        <v>38</v>
      </c>
      <c r="F24" s="28" t="s">
        <v>47</v>
      </c>
      <c r="G24" s="49" t="s">
        <v>188</v>
      </c>
      <c r="H24" s="28"/>
      <c r="I24" s="58" t="s">
        <v>163</v>
      </c>
      <c r="J24" s="137">
        <f>G11*9.81</f>
        <v>9810</v>
      </c>
    </row>
    <row r="25" spans="2:16" x14ac:dyDescent="0.25">
      <c r="B25" s="186" t="s">
        <v>172</v>
      </c>
      <c r="C25" s="28" t="s">
        <v>65</v>
      </c>
      <c r="D25" s="61">
        <v>0.4</v>
      </c>
      <c r="E25" s="28" t="s">
        <v>39</v>
      </c>
      <c r="F25" s="28" t="s">
        <v>44</v>
      </c>
      <c r="G25" s="49">
        <v>0.05</v>
      </c>
      <c r="H25" s="28"/>
      <c r="I25" s="28"/>
      <c r="J25" s="132"/>
    </row>
    <row r="26" spans="2:16" ht="13.8" thickBot="1" x14ac:dyDescent="0.3">
      <c r="B26" s="63" t="s">
        <v>63</v>
      </c>
      <c r="C26" s="28" t="s">
        <v>64</v>
      </c>
      <c r="D26" s="43">
        <f>((D25*G11)-((D12+D13)*D23)-((D14+D15)*D24))/G10</f>
        <v>0.41388888888888886</v>
      </c>
      <c r="E26" s="28" t="s">
        <v>40</v>
      </c>
      <c r="F26" s="28" t="s">
        <v>45</v>
      </c>
      <c r="G26" s="197">
        <f>G25+D27</f>
        <v>0.15000000000000002</v>
      </c>
      <c r="H26" s="28"/>
      <c r="I26" s="28"/>
      <c r="J26" s="131"/>
    </row>
    <row r="27" spans="2:16" ht="13.8" thickBot="1" x14ac:dyDescent="0.3">
      <c r="B27" s="63" t="s">
        <v>35</v>
      </c>
      <c r="C27" s="30" t="s">
        <v>173</v>
      </c>
      <c r="D27" s="61">
        <v>0.1</v>
      </c>
      <c r="E27" s="28" t="s">
        <v>69</v>
      </c>
      <c r="F27" s="28" t="s">
        <v>46</v>
      </c>
      <c r="G27" s="197">
        <f>D26-G25-D27</f>
        <v>0.26388888888888884</v>
      </c>
      <c r="H27" s="28" t="s">
        <v>67</v>
      </c>
      <c r="I27" s="55" t="s">
        <v>68</v>
      </c>
      <c r="J27" s="199">
        <f>G11*D1*D25 /AVERAGE(D20,D21)</f>
        <v>1866.6666666666667</v>
      </c>
      <c r="L27" s="157" t="s">
        <v>127</v>
      </c>
      <c r="M27" s="149"/>
      <c r="N27" s="149"/>
      <c r="O27" s="158"/>
      <c r="P27" s="150"/>
    </row>
    <row r="28" spans="2:16" ht="13.8" thickBot="1" x14ac:dyDescent="0.3">
      <c r="B28" s="182" t="s">
        <v>36</v>
      </c>
      <c r="C28" s="187" t="s">
        <v>174</v>
      </c>
      <c r="D28" s="183">
        <v>0.2</v>
      </c>
      <c r="E28" s="64"/>
      <c r="F28" s="64"/>
      <c r="G28" s="184"/>
      <c r="H28" s="64"/>
      <c r="I28" s="64"/>
      <c r="J28" s="185"/>
      <c r="L28" s="159" t="s">
        <v>167</v>
      </c>
      <c r="M28" s="155"/>
      <c r="N28" s="155"/>
      <c r="O28" s="160"/>
      <c r="P28" s="156"/>
    </row>
    <row r="29" spans="2:16" ht="13.8" thickBot="1" x14ac:dyDescent="0.3">
      <c r="L29" s="139"/>
      <c r="M29" s="139"/>
      <c r="N29" s="139"/>
      <c r="O29" s="139"/>
    </row>
    <row r="30" spans="2:16" ht="14.4" thickBot="1" x14ac:dyDescent="0.3">
      <c r="D30" s="145" t="s">
        <v>120</v>
      </c>
      <c r="E30" s="146"/>
      <c r="G30" s="191"/>
      <c r="H30" s="39"/>
      <c r="I30" s="39"/>
      <c r="L30" s="138"/>
      <c r="M30" s="138"/>
      <c r="N30" s="138"/>
      <c r="O30" s="138"/>
    </row>
    <row r="31" spans="2:16" ht="14.4" thickBot="1" x14ac:dyDescent="0.3">
      <c r="G31" s="39"/>
      <c r="I31" s="39"/>
    </row>
    <row r="32" spans="2:16" ht="18" thickBot="1" x14ac:dyDescent="0.35">
      <c r="C32" s="163" t="s">
        <v>179</v>
      </c>
      <c r="F32" s="161" t="s">
        <v>123</v>
      </c>
      <c r="H32" s="40"/>
    </row>
    <row r="33" spans="2:7" ht="14.4" thickBot="1" x14ac:dyDescent="0.3">
      <c r="F33" s="162" t="s">
        <v>124</v>
      </c>
    </row>
    <row r="35" spans="2:7" x14ac:dyDescent="0.25">
      <c r="B35" s="54"/>
    </row>
    <row r="36" spans="2:7" x14ac:dyDescent="0.25">
      <c r="B36" s="50"/>
      <c r="C36" s="142"/>
      <c r="D36" s="50"/>
    </row>
    <row r="37" spans="2:7" x14ac:dyDescent="0.25">
      <c r="B37" s="50"/>
      <c r="C37" s="142"/>
      <c r="D37" s="50"/>
    </row>
    <row r="39" spans="2:7" x14ac:dyDescent="0.25">
      <c r="D39" t="s">
        <v>186</v>
      </c>
      <c r="G39" t="s">
        <v>59</v>
      </c>
    </row>
    <row r="40" spans="2:7" x14ac:dyDescent="0.25">
      <c r="G40">
        <f>(G8*D1*D27)/D20</f>
        <v>210</v>
      </c>
    </row>
    <row r="42" spans="2:7" x14ac:dyDescent="0.25">
      <c r="G42" t="s">
        <v>62</v>
      </c>
    </row>
    <row r="43" spans="2:7" x14ac:dyDescent="0.25">
      <c r="G43">
        <f>(G9*D1*D28)/D21</f>
        <v>420</v>
      </c>
    </row>
    <row r="45" spans="2:7" x14ac:dyDescent="0.25">
      <c r="G45" t="s">
        <v>30</v>
      </c>
    </row>
    <row r="46" spans="2:7" x14ac:dyDescent="0.25">
      <c r="G46">
        <f>(J8*D20*G21)/2</f>
        <v>0.55466666666666653</v>
      </c>
    </row>
    <row r="48" spans="2:7" x14ac:dyDescent="0.25">
      <c r="G48" t="s">
        <v>33</v>
      </c>
    </row>
    <row r="49" spans="7:7" x14ac:dyDescent="0.25">
      <c r="G49">
        <f>(J8*D21*G22)/2</f>
        <v>0.55466666666666653</v>
      </c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H23"/>
  <sheetViews>
    <sheetView topLeftCell="B1" workbookViewId="0">
      <selection activeCell="J16" sqref="J16"/>
    </sheetView>
  </sheetViews>
  <sheetFormatPr defaultRowHeight="13.2" x14ac:dyDescent="0.25"/>
  <cols>
    <col min="6" max="6" width="12.109375" customWidth="1"/>
  </cols>
  <sheetData>
    <row r="4" spans="3:8" ht="13.8" thickBot="1" x14ac:dyDescent="0.3"/>
    <row r="5" spans="3:8" ht="17.399999999999999" x14ac:dyDescent="0.3">
      <c r="C5" s="2" t="s">
        <v>3</v>
      </c>
      <c r="D5" s="3"/>
      <c r="E5" s="3"/>
      <c r="F5" s="3"/>
      <c r="G5" s="4"/>
      <c r="H5" s="5"/>
    </row>
    <row r="6" spans="3:8" ht="17.399999999999999" x14ac:dyDescent="0.3">
      <c r="C6" s="17"/>
      <c r="D6" s="7"/>
      <c r="E6" s="7"/>
      <c r="F6" s="7"/>
      <c r="G6" s="18"/>
      <c r="H6" s="19"/>
    </row>
    <row r="7" spans="3:8" x14ac:dyDescent="0.25">
      <c r="C7" s="6" t="s">
        <v>18</v>
      </c>
      <c r="D7" s="7"/>
      <c r="E7" s="7"/>
      <c r="F7" s="7"/>
      <c r="G7" s="7"/>
      <c r="H7" s="8">
        <v>1</v>
      </c>
    </row>
    <row r="8" spans="3:8" x14ac:dyDescent="0.25">
      <c r="C8" s="6"/>
      <c r="D8" s="7"/>
      <c r="E8" s="11"/>
      <c r="F8" s="7"/>
      <c r="G8" s="9" t="s">
        <v>4</v>
      </c>
      <c r="H8" s="25">
        <v>9806.65</v>
      </c>
    </row>
    <row r="9" spans="3:8" x14ac:dyDescent="0.25">
      <c r="C9" s="6"/>
      <c r="D9" s="7"/>
      <c r="E9" s="7"/>
      <c r="F9" s="7"/>
      <c r="G9" s="9" t="s">
        <v>5</v>
      </c>
      <c r="H9" s="33">
        <v>0.17512678000000001</v>
      </c>
    </row>
    <row r="10" spans="3:8" x14ac:dyDescent="0.25">
      <c r="C10" s="6"/>
      <c r="D10" s="7"/>
      <c r="E10" s="7"/>
      <c r="F10" s="7"/>
      <c r="G10" s="9"/>
      <c r="H10" s="25"/>
    </row>
    <row r="11" spans="3:8" x14ac:dyDescent="0.25">
      <c r="C11" s="12"/>
      <c r="D11" s="7"/>
      <c r="E11" s="7"/>
      <c r="F11" s="7"/>
      <c r="G11" s="9" t="s">
        <v>6</v>
      </c>
      <c r="H11" s="25">
        <v>175.126777258</v>
      </c>
    </row>
    <row r="12" spans="3:8" x14ac:dyDescent="0.25">
      <c r="C12" s="6"/>
      <c r="D12" s="7"/>
      <c r="E12" s="7"/>
      <c r="F12" s="7"/>
      <c r="G12" s="9" t="s">
        <v>7</v>
      </c>
      <c r="H12" s="25">
        <v>1.7857959999999999E-2</v>
      </c>
    </row>
    <row r="13" spans="3:8" x14ac:dyDescent="0.25">
      <c r="C13" s="6"/>
      <c r="D13" s="7"/>
      <c r="E13" s="7"/>
      <c r="F13" s="7"/>
      <c r="G13" s="9" t="s">
        <v>8</v>
      </c>
      <c r="H13" s="25">
        <v>0.10197162</v>
      </c>
    </row>
    <row r="14" spans="3:8" x14ac:dyDescent="0.25">
      <c r="C14" s="10"/>
      <c r="D14" s="9"/>
      <c r="E14" s="13"/>
      <c r="F14" s="7"/>
      <c r="G14" s="9" t="s">
        <v>9</v>
      </c>
      <c r="H14" s="25">
        <v>5.7101490500000001</v>
      </c>
    </row>
    <row r="15" spans="3:8" x14ac:dyDescent="0.25">
      <c r="C15" s="10"/>
      <c r="D15" s="7"/>
      <c r="E15" s="7"/>
      <c r="F15" s="7"/>
      <c r="G15" s="9" t="s">
        <v>10</v>
      </c>
      <c r="H15" s="25">
        <v>1000</v>
      </c>
    </row>
    <row r="16" spans="3:8" x14ac:dyDescent="0.25">
      <c r="C16" s="10"/>
      <c r="D16" s="7"/>
      <c r="E16" s="7"/>
      <c r="F16" s="7"/>
      <c r="G16" s="9" t="s">
        <v>11</v>
      </c>
      <c r="H16" s="25">
        <v>1E-3</v>
      </c>
    </row>
    <row r="17" spans="3:8" x14ac:dyDescent="0.25">
      <c r="C17" s="10"/>
      <c r="D17" s="7"/>
      <c r="E17" s="7"/>
      <c r="F17" s="7"/>
      <c r="G17" s="9" t="s">
        <v>12</v>
      </c>
      <c r="H17" s="25">
        <v>1.0197E-4</v>
      </c>
    </row>
    <row r="18" spans="3:8" x14ac:dyDescent="0.25">
      <c r="C18" s="10"/>
      <c r="D18" s="7"/>
      <c r="E18" s="7"/>
      <c r="F18" s="7"/>
      <c r="G18" s="9" t="s">
        <v>13</v>
      </c>
      <c r="H18" s="26">
        <v>5.7101499999999998E-3</v>
      </c>
    </row>
    <row r="19" spans="3:8" x14ac:dyDescent="0.25">
      <c r="C19" s="10"/>
      <c r="D19" s="7"/>
      <c r="E19" s="13" t="s">
        <v>14</v>
      </c>
      <c r="F19" s="13" t="s">
        <v>15</v>
      </c>
      <c r="G19" s="13" t="s">
        <v>16</v>
      </c>
      <c r="H19" s="14" t="s">
        <v>17</v>
      </c>
    </row>
    <row r="20" spans="3:8" x14ac:dyDescent="0.25">
      <c r="C20" s="15" t="s">
        <v>14</v>
      </c>
      <c r="D20" s="1">
        <v>148.85776300000003</v>
      </c>
      <c r="E20" s="20">
        <v>148.85776300000003</v>
      </c>
      <c r="F20" s="20">
        <v>148857.76300000004</v>
      </c>
      <c r="G20" s="20">
        <v>15.179267242686063</v>
      </c>
      <c r="H20" s="21">
        <v>850.00001397957533</v>
      </c>
    </row>
    <row r="21" spans="3:8" x14ac:dyDescent="0.25">
      <c r="C21" s="15" t="s">
        <v>15</v>
      </c>
      <c r="D21" s="1">
        <v>100</v>
      </c>
      <c r="E21" s="20">
        <v>0.1</v>
      </c>
      <c r="F21" s="20">
        <v>100</v>
      </c>
      <c r="G21" s="20">
        <v>1.0196999999999999E-2</v>
      </c>
      <c r="H21" s="21">
        <v>0.57101499999999994</v>
      </c>
    </row>
    <row r="22" spans="3:8" x14ac:dyDescent="0.25">
      <c r="C22" s="15" t="s">
        <v>16</v>
      </c>
      <c r="D22" s="1">
        <v>1.0197162000000001E-2</v>
      </c>
      <c r="E22" s="20">
        <v>9.9999998727300005E-2</v>
      </c>
      <c r="F22" s="20">
        <v>99.99999872730001</v>
      </c>
      <c r="G22" s="20">
        <v>1.0197162000000001E-2</v>
      </c>
      <c r="H22" s="21">
        <v>0.57101489731274868</v>
      </c>
    </row>
    <row r="23" spans="3:8" ht="13.8" thickBot="1" x14ac:dyDescent="0.3">
      <c r="C23" s="16" t="s">
        <v>17</v>
      </c>
      <c r="D23" s="22">
        <v>900</v>
      </c>
      <c r="E23" s="23">
        <v>157.614102</v>
      </c>
      <c r="F23" s="23">
        <v>157614.09953219999</v>
      </c>
      <c r="G23" s="23">
        <v>16.072164000000001</v>
      </c>
      <c r="H23" s="24">
        <v>900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L23"/>
  <sheetViews>
    <sheetView workbookViewId="0">
      <selection activeCell="F20" sqref="F20"/>
    </sheetView>
  </sheetViews>
  <sheetFormatPr defaultRowHeight="13.2" x14ac:dyDescent="0.25"/>
  <cols>
    <col min="2" max="2" width="3.88671875" customWidth="1"/>
    <col min="3" max="3" width="19.6640625" customWidth="1"/>
    <col min="8" max="8" width="12.33203125" customWidth="1"/>
    <col min="12" max="12" width="21.109375" customWidth="1"/>
  </cols>
  <sheetData>
    <row r="2" spans="3:12" ht="24.6" x14ac:dyDescent="0.4">
      <c r="C2" s="128" t="s">
        <v>155</v>
      </c>
      <c r="D2" s="128"/>
      <c r="E2" s="128"/>
    </row>
    <row r="4" spans="3:12" ht="13.8" thickBot="1" x14ac:dyDescent="0.3"/>
    <row r="5" spans="3:12" ht="15.6" x14ac:dyDescent="0.3">
      <c r="C5" s="65"/>
      <c r="D5" s="66"/>
      <c r="E5" s="66"/>
      <c r="F5" s="66"/>
      <c r="G5" s="66"/>
      <c r="H5" s="67">
        <f>H7/H11</f>
        <v>0.5</v>
      </c>
      <c r="I5" s="68"/>
      <c r="J5" s="69"/>
      <c r="K5" s="68"/>
      <c r="L5" s="70"/>
    </row>
    <row r="6" spans="3:12" ht="15.6" x14ac:dyDescent="0.3">
      <c r="C6" s="71"/>
      <c r="D6" s="72"/>
      <c r="E6" s="73"/>
      <c r="F6" s="73"/>
      <c r="G6" s="73"/>
      <c r="H6" s="74" t="s">
        <v>137</v>
      </c>
      <c r="I6" s="73"/>
      <c r="J6" s="73"/>
      <c r="K6" s="73"/>
      <c r="L6" s="75"/>
    </row>
    <row r="7" spans="3:12" ht="15.6" thickBot="1" x14ac:dyDescent="0.3">
      <c r="C7" s="71"/>
      <c r="D7" s="73"/>
      <c r="E7" s="73"/>
      <c r="F7" s="73"/>
      <c r="G7" s="73"/>
      <c r="H7" s="76">
        <f>F9+J9</f>
        <v>4905</v>
      </c>
      <c r="I7" s="73"/>
      <c r="J7" s="73"/>
      <c r="K7" s="73"/>
      <c r="L7" s="75"/>
    </row>
    <row r="8" spans="3:12" ht="16.2" thickBot="1" x14ac:dyDescent="0.35">
      <c r="C8" s="71"/>
      <c r="D8" s="73"/>
      <c r="E8" s="77"/>
      <c r="F8" s="78">
        <f>F9/H11</f>
        <v>0.33448861705742439</v>
      </c>
      <c r="G8" s="79" t="s">
        <v>138</v>
      </c>
      <c r="H8" s="80"/>
      <c r="I8" s="81" t="s">
        <v>139</v>
      </c>
      <c r="J8" s="82">
        <f>J9/H11</f>
        <v>0.16551138294257564</v>
      </c>
      <c r="K8" s="73"/>
      <c r="L8" s="75"/>
    </row>
    <row r="9" spans="3:12" ht="16.2" thickBot="1" x14ac:dyDescent="0.35">
      <c r="C9" s="83" t="s">
        <v>140</v>
      </c>
      <c r="D9" s="84" t="s">
        <v>141</v>
      </c>
      <c r="E9" s="85">
        <f>F9-J9</f>
        <v>1657.6666666666661</v>
      </c>
      <c r="F9" s="86">
        <f>'Live calc'!J19</f>
        <v>3281.333333333333</v>
      </c>
      <c r="G9" s="87"/>
      <c r="H9" s="88"/>
      <c r="I9" s="89"/>
      <c r="J9" s="90">
        <f>'Live calc'!J20</f>
        <v>1623.666666666667</v>
      </c>
      <c r="K9" s="73"/>
      <c r="L9" s="75"/>
    </row>
    <row r="10" spans="3:12" ht="16.2" thickBot="1" x14ac:dyDescent="0.35">
      <c r="C10" s="71"/>
      <c r="D10" s="91"/>
      <c r="E10" s="73"/>
      <c r="F10" s="91"/>
      <c r="G10" s="92"/>
      <c r="H10" s="88"/>
      <c r="I10" s="93"/>
      <c r="J10" s="94"/>
      <c r="K10" s="73"/>
      <c r="L10" s="75"/>
    </row>
    <row r="11" spans="3:12" ht="16.2" thickBot="1" x14ac:dyDescent="0.35">
      <c r="C11" s="71"/>
      <c r="D11" s="95" t="s">
        <v>142</v>
      </c>
      <c r="E11" s="96">
        <f>F11/H11</f>
        <v>0.69038396194359486</v>
      </c>
      <c r="F11" s="97">
        <f>F9+F13</f>
        <v>6772.6666666666661</v>
      </c>
      <c r="G11" s="98"/>
      <c r="H11" s="99">
        <f>H7+H14</f>
        <v>9810</v>
      </c>
      <c r="I11" s="98"/>
      <c r="J11" s="100">
        <f>J9+J13</f>
        <v>3037.3333333333339</v>
      </c>
      <c r="K11" s="101">
        <f>J11/H11</f>
        <v>0.30961603805640509</v>
      </c>
      <c r="L11" s="102" t="s">
        <v>143</v>
      </c>
    </row>
    <row r="12" spans="3:12" ht="16.2" thickBot="1" x14ac:dyDescent="0.35">
      <c r="C12" s="103" t="s">
        <v>144</v>
      </c>
      <c r="D12" s="104" t="s">
        <v>145</v>
      </c>
      <c r="E12" s="105">
        <f>E13-E9</f>
        <v>420</v>
      </c>
      <c r="F12" s="106">
        <f>F13/H11</f>
        <v>0.35589534488617053</v>
      </c>
      <c r="G12" s="92"/>
      <c r="H12" s="88"/>
      <c r="I12" s="93"/>
      <c r="J12" s="107">
        <f>J13/H11</f>
        <v>0.14410465511382944</v>
      </c>
      <c r="K12" s="73"/>
      <c r="L12" s="75"/>
    </row>
    <row r="13" spans="3:12" ht="16.2" thickBot="1" x14ac:dyDescent="0.35">
      <c r="C13" s="83" t="s">
        <v>146</v>
      </c>
      <c r="D13" s="108" t="s">
        <v>147</v>
      </c>
      <c r="E13" s="85">
        <f>F13-J13</f>
        <v>2077.6666666666661</v>
      </c>
      <c r="F13" s="86">
        <f>'Live calc'!J21</f>
        <v>3491.333333333333</v>
      </c>
      <c r="G13" s="109" t="s">
        <v>148</v>
      </c>
      <c r="H13" s="110"/>
      <c r="I13" s="111" t="s">
        <v>149</v>
      </c>
      <c r="J13" s="112">
        <f>'Live calc'!J22</f>
        <v>1413.666666666667</v>
      </c>
      <c r="K13" s="73"/>
      <c r="L13" s="75"/>
    </row>
    <row r="14" spans="3:12" ht="16.2" thickBot="1" x14ac:dyDescent="0.35">
      <c r="C14" s="71"/>
      <c r="D14" s="113"/>
      <c r="E14" s="114" t="s">
        <v>150</v>
      </c>
      <c r="F14" s="115">
        <f>F13-F9</f>
        <v>210</v>
      </c>
      <c r="G14" s="77"/>
      <c r="H14" s="116">
        <f>F13+J13</f>
        <v>4905</v>
      </c>
      <c r="I14" s="77"/>
      <c r="J14" s="117">
        <f>J13-J9</f>
        <v>-210</v>
      </c>
      <c r="K14" s="118" t="s">
        <v>151</v>
      </c>
      <c r="L14" s="102"/>
    </row>
    <row r="15" spans="3:12" ht="16.2" thickBot="1" x14ac:dyDescent="0.35">
      <c r="C15" s="71"/>
      <c r="D15" s="91"/>
      <c r="E15" s="119" t="s">
        <v>152</v>
      </c>
      <c r="F15" s="120">
        <f>(F13+J9)/H11</f>
        <v>0.5214067278287462</v>
      </c>
      <c r="G15" s="73"/>
      <c r="H15" s="121" t="s">
        <v>153</v>
      </c>
      <c r="I15" s="73"/>
      <c r="J15" s="73"/>
      <c r="K15" s="73"/>
      <c r="L15" s="75"/>
    </row>
    <row r="16" spans="3:12" ht="16.2" thickBot="1" x14ac:dyDescent="0.35">
      <c r="C16" s="122"/>
      <c r="D16" s="113"/>
      <c r="E16" s="114" t="s">
        <v>154</v>
      </c>
      <c r="F16" s="123">
        <f>F13-J9</f>
        <v>1867.6666666666661</v>
      </c>
      <c r="G16" s="124"/>
      <c r="H16" s="125">
        <f>H14/H11</f>
        <v>0.5</v>
      </c>
      <c r="I16" s="124"/>
      <c r="J16" s="124"/>
      <c r="K16" s="126"/>
      <c r="L16" s="127"/>
    </row>
    <row r="19" spans="5:10" x14ac:dyDescent="0.25">
      <c r="E19">
        <v>156</v>
      </c>
    </row>
    <row r="23" spans="5:10" x14ac:dyDescent="0.25">
      <c r="J23" s="5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CBB502496A1146A491A9F165EDE067" ma:contentTypeVersion="0" ma:contentTypeDescription="Create a new document." ma:contentTypeScope="" ma:versionID="6a2700d902c5d2ec858e13932a7c5e1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fee3eb741f5708c01c290cc92aa4d1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1FB3F5-C84A-4263-8D3C-7B1D21D553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C80FA31-66B0-44E2-82A5-785CC32BDD9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5DD0C8F-2AC8-44AF-9299-314EDA2823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Q6</vt:lpstr>
      <vt:lpstr>Q5</vt:lpstr>
      <vt:lpstr>Q4</vt:lpstr>
      <vt:lpstr>Q3</vt:lpstr>
      <vt:lpstr>Q2</vt:lpstr>
      <vt:lpstr>Q1</vt:lpstr>
      <vt:lpstr>Live calc</vt:lpstr>
      <vt:lpstr>Spring Rate Conversion</vt:lpstr>
      <vt:lpstr>Load Spliits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Ian</cp:lastModifiedBy>
  <cp:lastPrinted>2011-02-13T19:11:45Z</cp:lastPrinted>
  <dcterms:created xsi:type="dcterms:W3CDTF">2008-02-09T17:39:24Z</dcterms:created>
  <dcterms:modified xsi:type="dcterms:W3CDTF">2020-05-04T13:58:44Z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0x01010087CBB502496A1146A491A9F165EDE067</vt:lpwstr>
  </property>
</Properties>
</file>