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_\Desktop\"/>
    </mc:Choice>
  </mc:AlternateContent>
  <xr:revisionPtr revIDLastSave="0" documentId="13_ncr:1_{D626EB91-6B9B-481C-91C3-D2C0688E4E4E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EX1" sheetId="4" r:id="rId1"/>
    <sheet name="EX2" sheetId="5" r:id="rId2"/>
    <sheet name="EX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6" i="5" l="1"/>
  <c r="S16" i="5"/>
  <c r="T16" i="5"/>
  <c r="S17" i="5"/>
  <c r="AC17" i="5" s="1"/>
  <c r="T17" i="5"/>
  <c r="S18" i="5"/>
  <c r="AC18" i="5" s="1"/>
  <c r="T18" i="5"/>
  <c r="S19" i="5"/>
  <c r="AC19" i="5" s="1"/>
  <c r="T19" i="5"/>
  <c r="S20" i="5"/>
  <c r="AC20" i="5" s="1"/>
  <c r="T20" i="5"/>
  <c r="S21" i="5"/>
  <c r="T21" i="5"/>
  <c r="AC21" i="5"/>
  <c r="L12" i="4"/>
  <c r="M12" i="4"/>
  <c r="M20" i="4" s="1"/>
  <c r="N12" i="4"/>
  <c r="O12" i="4"/>
  <c r="L13" i="4"/>
  <c r="M13" i="4"/>
  <c r="N13" i="4"/>
  <c r="L14" i="4"/>
  <c r="M14" i="4"/>
  <c r="N14" i="4"/>
  <c r="T14" i="4"/>
  <c r="O13" i="4" s="1"/>
  <c r="L15" i="4"/>
  <c r="M15" i="4"/>
  <c r="N15" i="4"/>
  <c r="O15" i="4"/>
  <c r="T15" i="4"/>
  <c r="O14" i="4" s="1"/>
  <c r="L16" i="4"/>
  <c r="M16" i="4"/>
  <c r="N16" i="4"/>
  <c r="O16" i="4"/>
  <c r="T16" i="4"/>
  <c r="L17" i="4"/>
  <c r="M17" i="4"/>
  <c r="N17" i="4"/>
  <c r="T17" i="4"/>
  <c r="T18" i="4"/>
  <c r="O17" i="4" s="1"/>
  <c r="L20" i="4"/>
  <c r="N20" i="4"/>
  <c r="O20" i="4"/>
  <c r="F14" i="4" s="1"/>
  <c r="O21" i="4"/>
  <c r="F15" i="4" s="1"/>
  <c r="O22" i="4"/>
  <c r="O23" i="4"/>
  <c r="F17" i="4" s="1"/>
  <c r="O24" i="4"/>
  <c r="F18" i="4" s="1"/>
  <c r="O25" i="4"/>
  <c r="F19" i="4" s="1"/>
  <c r="E14" i="4"/>
  <c r="F16" i="4"/>
  <c r="E22" i="4"/>
  <c r="E23" i="4"/>
  <c r="E24" i="4"/>
  <c r="E25" i="4"/>
  <c r="E26" i="4"/>
  <c r="L7" i="3"/>
  <c r="Y11" i="3" l="1"/>
  <c r="Y10" i="3"/>
  <c r="Y9" i="3"/>
  <c r="Y8" i="3"/>
  <c r="Y11" i="5" l="1"/>
  <c r="Y10" i="5"/>
  <c r="Y9" i="5"/>
  <c r="Y8" i="5"/>
  <c r="Y7" i="5"/>
  <c r="J8" i="5" l="1"/>
  <c r="J9" i="5"/>
  <c r="J10" i="5"/>
  <c r="J11" i="5"/>
  <c r="J7" i="5"/>
  <c r="Y7" i="3"/>
  <c r="Y6" i="4"/>
  <c r="Y7" i="4"/>
  <c r="Y8" i="4"/>
  <c r="Y9" i="4"/>
  <c r="Y5" i="4"/>
  <c r="X5" i="4" l="1"/>
  <c r="N9" i="3"/>
  <c r="X9" i="3" s="1"/>
  <c r="R9" i="3" s="1"/>
  <c r="N8" i="5"/>
  <c r="X8" i="5" s="1"/>
  <c r="R8" i="5" s="1"/>
  <c r="E8" i="5"/>
  <c r="E9" i="5"/>
  <c r="N9" i="5" s="1"/>
  <c r="X9" i="5" s="1"/>
  <c r="E10" i="5"/>
  <c r="N10" i="5" s="1"/>
  <c r="X10" i="5" s="1"/>
  <c r="R10" i="5" s="1"/>
  <c r="E11" i="5"/>
  <c r="N11" i="5" s="1"/>
  <c r="X11" i="5" s="1"/>
  <c r="E7" i="5"/>
  <c r="N7" i="5" s="1"/>
  <c r="X7" i="5" s="1"/>
  <c r="R7" i="5" s="1"/>
  <c r="S10" i="3"/>
  <c r="V8" i="3"/>
  <c r="V9" i="3"/>
  <c r="V10" i="3"/>
  <c r="V11" i="3"/>
  <c r="V7" i="3"/>
  <c r="V5" i="4"/>
  <c r="U9" i="3"/>
  <c r="U11" i="3"/>
  <c r="M8" i="3"/>
  <c r="M9" i="3"/>
  <c r="M10" i="3"/>
  <c r="M11" i="3"/>
  <c r="M7" i="3"/>
  <c r="M5" i="4"/>
  <c r="L8" i="3"/>
  <c r="U8" i="3" s="1"/>
  <c r="L9" i="3"/>
  <c r="L10" i="3"/>
  <c r="U10" i="3" s="1"/>
  <c r="L11" i="3"/>
  <c r="U7" i="3"/>
  <c r="L5" i="4"/>
  <c r="I6" i="4"/>
  <c r="S6" i="4" s="1"/>
  <c r="I7" i="4"/>
  <c r="S7" i="4" s="1"/>
  <c r="I8" i="4"/>
  <c r="S8" i="4" s="1"/>
  <c r="I9" i="4"/>
  <c r="S9" i="4" s="1"/>
  <c r="I5" i="4"/>
  <c r="S5" i="4" s="1"/>
  <c r="X6" i="4"/>
  <c r="X7" i="4"/>
  <c r="X8" i="4"/>
  <c r="X9" i="4"/>
  <c r="D8" i="5"/>
  <c r="D9" i="5"/>
  <c r="D10" i="5"/>
  <c r="D11" i="5"/>
  <c r="D7" i="5"/>
  <c r="V8" i="5"/>
  <c r="V9" i="5"/>
  <c r="V10" i="5"/>
  <c r="V11" i="5"/>
  <c r="V7" i="5"/>
  <c r="U9" i="5"/>
  <c r="M8" i="5"/>
  <c r="U8" i="5" s="1"/>
  <c r="M9" i="5"/>
  <c r="M10" i="5"/>
  <c r="M11" i="5"/>
  <c r="M7" i="5"/>
  <c r="L8" i="5"/>
  <c r="L9" i="5"/>
  <c r="L10" i="5"/>
  <c r="U10" i="5" s="1"/>
  <c r="L11" i="5"/>
  <c r="L7" i="5"/>
  <c r="J8" i="3"/>
  <c r="J9" i="3"/>
  <c r="J10" i="3"/>
  <c r="J11" i="3"/>
  <c r="J7" i="3"/>
  <c r="I8" i="3"/>
  <c r="S8" i="3" s="1"/>
  <c r="I9" i="3"/>
  <c r="S9" i="3" s="1"/>
  <c r="I10" i="3"/>
  <c r="I11" i="3"/>
  <c r="S11" i="3" s="1"/>
  <c r="I7" i="3"/>
  <c r="S7" i="3" s="1"/>
  <c r="E8" i="3"/>
  <c r="N8" i="3" s="1"/>
  <c r="X8" i="3" s="1"/>
  <c r="R8" i="3" s="1"/>
  <c r="E9" i="3"/>
  <c r="E10" i="3"/>
  <c r="N10" i="3" s="1"/>
  <c r="X10" i="3" s="1"/>
  <c r="R10" i="3" s="1"/>
  <c r="E11" i="3"/>
  <c r="N11" i="3" s="1"/>
  <c r="E7" i="3"/>
  <c r="N7" i="3" s="1"/>
  <c r="D8" i="3"/>
  <c r="D9" i="3"/>
  <c r="D10" i="3"/>
  <c r="D11" i="3"/>
  <c r="D7" i="3"/>
  <c r="D6" i="4"/>
  <c r="D7" i="4"/>
  <c r="D8" i="4"/>
  <c r="D9" i="4"/>
  <c r="D5" i="4"/>
  <c r="V6" i="4"/>
  <c r="V7" i="4"/>
  <c r="V8" i="4"/>
  <c r="V9" i="4"/>
  <c r="M6" i="4"/>
  <c r="M7" i="4"/>
  <c r="M8" i="4"/>
  <c r="M9" i="4"/>
  <c r="J6" i="4"/>
  <c r="J7" i="4"/>
  <c r="J8" i="4"/>
  <c r="J9" i="4"/>
  <c r="J5" i="4"/>
  <c r="L6" i="4"/>
  <c r="L7" i="4"/>
  <c r="L8" i="4"/>
  <c r="L9" i="4"/>
  <c r="E6" i="4"/>
  <c r="E7" i="4"/>
  <c r="E8" i="4"/>
  <c r="E9" i="4"/>
  <c r="E5" i="4"/>
  <c r="I8" i="5"/>
  <c r="S8" i="5" s="1"/>
  <c r="I9" i="5"/>
  <c r="S9" i="5" s="1"/>
  <c r="I10" i="5"/>
  <c r="S10" i="5" s="1"/>
  <c r="I11" i="5"/>
  <c r="S11" i="5" s="1"/>
  <c r="I7" i="5"/>
  <c r="S7" i="5" s="1"/>
  <c r="X7" i="3" l="1"/>
  <c r="R7" i="3" s="1"/>
  <c r="X11" i="3"/>
  <c r="R11" i="3" s="1"/>
  <c r="R9" i="5"/>
  <c r="U11" i="5"/>
  <c r="U7" i="5"/>
  <c r="R11" i="5"/>
  <c r="T11" i="5" s="1"/>
  <c r="T7" i="5"/>
  <c r="U9" i="4"/>
  <c r="U7" i="4"/>
  <c r="U6" i="4"/>
  <c r="U5" i="4"/>
  <c r="U8" i="4"/>
  <c r="R7" i="4"/>
  <c r="W7" i="4" s="1"/>
  <c r="R5" i="4"/>
  <c r="W5" i="4" s="1"/>
  <c r="R6" i="4"/>
  <c r="W6" i="4" s="1"/>
  <c r="R9" i="4"/>
  <c r="W9" i="4" s="1"/>
  <c r="R8" i="4"/>
  <c r="W8" i="4" s="1"/>
  <c r="T8" i="5"/>
  <c r="W8" i="5"/>
  <c r="T10" i="5"/>
  <c r="W10" i="5"/>
  <c r="W9" i="5"/>
  <c r="T9" i="5"/>
  <c r="W11" i="5"/>
  <c r="W8" i="3"/>
  <c r="T8" i="3"/>
  <c r="W9" i="3"/>
  <c r="T9" i="3"/>
  <c r="W10" i="3"/>
  <c r="T10" i="3"/>
  <c r="W11" i="3" l="1"/>
  <c r="T11" i="3"/>
  <c r="W7" i="3"/>
  <c r="T7" i="3"/>
  <c r="T5" i="4"/>
  <c r="T7" i="4"/>
  <c r="T6" i="4"/>
  <c r="T9" i="4"/>
  <c r="T8" i="4"/>
  <c r="W7" i="5"/>
</calcChain>
</file>

<file path=xl/sharedStrings.xml><?xml version="1.0" encoding="utf-8"?>
<sst xmlns="http://schemas.openxmlformats.org/spreadsheetml/2006/main" count="137" uniqueCount="74">
  <si>
    <t xml:space="preserve">Experiment 1 </t>
  </si>
  <si>
    <t>Hot Flow (L/Min)</t>
  </si>
  <si>
    <t xml:space="preserve">Tw1 </t>
  </si>
  <si>
    <t>TW2</t>
  </si>
  <si>
    <t>ΔTw</t>
  </si>
  <si>
    <t>Average Tw</t>
  </si>
  <si>
    <t>TW3</t>
  </si>
  <si>
    <t>TA1</t>
  </si>
  <si>
    <t>TA2</t>
  </si>
  <si>
    <t>ΔTA</t>
  </si>
  <si>
    <t>Average TA</t>
  </si>
  <si>
    <t>TA3</t>
  </si>
  <si>
    <t>cPW</t>
  </si>
  <si>
    <t>cPA</t>
  </si>
  <si>
    <t>CEB</t>
  </si>
  <si>
    <t>ñ</t>
  </si>
  <si>
    <t>LMTD</t>
  </si>
  <si>
    <t>U</t>
  </si>
  <si>
    <t>Experiment 2</t>
  </si>
  <si>
    <t>Experiment 3</t>
  </si>
  <si>
    <t>Ma</t>
  </si>
  <si>
    <t>`</t>
  </si>
  <si>
    <t>c_pw</t>
  </si>
  <si>
    <t>c_pa</t>
  </si>
  <si>
    <t>Q̇a (J)</t>
  </si>
  <si>
    <t>Mw (Kg/s)</t>
  </si>
  <si>
    <t>Q̇w (J)</t>
  </si>
  <si>
    <t>C_EB</t>
  </si>
  <si>
    <t>M_W</t>
  </si>
  <si>
    <t>M_A</t>
  </si>
  <si>
    <t>Q̇_w</t>
  </si>
  <si>
    <t>c_PA</t>
  </si>
  <si>
    <t>Q̇_a</t>
  </si>
  <si>
    <t>ρ_A</t>
  </si>
  <si>
    <t>ρ_W</t>
  </si>
  <si>
    <t>η_w</t>
  </si>
  <si>
    <t>η_a</t>
  </si>
  <si>
    <t>T_A3</t>
  </si>
  <si>
    <t>Δ_TA</t>
  </si>
  <si>
    <t>T_A2</t>
  </si>
  <si>
    <t>T_A1</t>
  </si>
  <si>
    <t>T_W3</t>
  </si>
  <si>
    <t>Δ_Tw</t>
  </si>
  <si>
    <t>T_W2</t>
  </si>
  <si>
    <t xml:space="preserve">T_w1 </t>
  </si>
  <si>
    <r>
      <rPr>
        <b/>
        <sz val="11"/>
        <color theme="1"/>
        <rFont val="Arial"/>
        <family val="2"/>
      </rPr>
      <t>Ambient Pressure</t>
    </r>
    <r>
      <rPr>
        <sz val="11"/>
        <color theme="1"/>
        <rFont val="Arial"/>
        <family val="2"/>
      </rPr>
      <t>: 1034 Mbar</t>
    </r>
  </si>
  <si>
    <r>
      <rPr>
        <b/>
        <sz val="11"/>
        <color theme="1"/>
        <rFont val="Arial"/>
        <family val="2"/>
      </rPr>
      <t>Heat Exchanger:</t>
    </r>
    <r>
      <rPr>
        <sz val="11"/>
        <color theme="1"/>
        <rFont val="Arial"/>
        <family val="2"/>
      </rPr>
      <t xml:space="preserve"> TD 1007 32 TUBE Heat Exchanger</t>
    </r>
  </si>
  <si>
    <r>
      <rPr>
        <b/>
        <sz val="11"/>
        <color theme="1"/>
        <rFont val="Arial"/>
        <family val="2"/>
      </rPr>
      <t>Pipe connection:</t>
    </r>
    <r>
      <rPr>
        <sz val="11"/>
        <color theme="1"/>
        <rFont val="Arial"/>
        <family val="2"/>
      </rPr>
      <t xml:space="preserve"> 2 PARALLEL BANKS of 16 TUBES IN SERIES</t>
    </r>
  </si>
  <si>
    <r>
      <rPr>
        <b/>
        <sz val="11"/>
        <color theme="1"/>
        <rFont val="Arial"/>
        <family val="2"/>
      </rPr>
      <t>Orifice Diameter (Ø):</t>
    </r>
    <r>
      <rPr>
        <sz val="11"/>
        <color theme="1"/>
        <rFont val="Arial"/>
        <family val="2"/>
      </rPr>
      <t xml:space="preserve"> 100.11mm </t>
    </r>
  </si>
  <si>
    <r>
      <rPr>
        <b/>
        <sz val="11"/>
        <color theme="1"/>
        <rFont val="Arial"/>
        <family val="2"/>
      </rPr>
      <t>Area  =</t>
    </r>
    <r>
      <rPr>
        <sz val="11"/>
        <color theme="1"/>
        <rFont val="Arial"/>
        <family val="2"/>
      </rPr>
      <t xml:space="preserve"> 0.1558 m²</t>
    </r>
  </si>
  <si>
    <r>
      <rPr>
        <b/>
        <sz val="11"/>
        <color theme="1"/>
        <rFont val="Arial"/>
        <family val="2"/>
      </rPr>
      <t>Water Flow:</t>
    </r>
    <r>
      <rPr>
        <sz val="11"/>
        <color theme="1"/>
        <rFont val="Arial"/>
        <family val="2"/>
      </rPr>
      <t xml:space="preserve"> 0.25 L/MIN</t>
    </r>
  </si>
  <si>
    <r>
      <rPr>
        <b/>
        <sz val="11"/>
        <color theme="1"/>
        <rFont val="Arial"/>
        <family val="2"/>
      </rPr>
      <t>Area =</t>
    </r>
    <r>
      <rPr>
        <sz val="11"/>
        <color theme="1"/>
        <rFont val="Arial"/>
        <family val="2"/>
      </rPr>
      <t xml:space="preserve"> 0.1558 m²</t>
    </r>
  </si>
  <si>
    <r>
      <rPr>
        <b/>
        <sz val="11"/>
        <color theme="1"/>
        <rFont val="Arial"/>
        <family val="2"/>
      </rPr>
      <t>Ambient Pressure:</t>
    </r>
    <r>
      <rPr>
        <sz val="11"/>
        <color theme="1"/>
        <rFont val="Arial"/>
        <family val="2"/>
      </rPr>
      <t xml:space="preserve"> 1034 Mbar</t>
    </r>
  </si>
  <si>
    <r>
      <rPr>
        <b/>
        <sz val="11"/>
        <color theme="1"/>
        <rFont val="Arial"/>
        <family val="2"/>
      </rPr>
      <t>Orifice Δp =</t>
    </r>
    <r>
      <rPr>
        <sz val="11"/>
        <color theme="1"/>
        <rFont val="Arial"/>
        <family val="2"/>
      </rPr>
      <t xml:space="preserve"> 250 Pa</t>
    </r>
  </si>
  <si>
    <r>
      <rPr>
        <b/>
        <sz val="11"/>
        <color theme="1"/>
        <rFont val="Arial"/>
        <family val="2"/>
      </rPr>
      <t xml:space="preserve">Area = </t>
    </r>
    <r>
      <rPr>
        <sz val="11"/>
        <color theme="1"/>
        <rFont val="Arial"/>
        <family val="2"/>
      </rPr>
      <t>0.1558 m²</t>
    </r>
  </si>
  <si>
    <t>ηW (%)</t>
  </si>
  <si>
    <t>ηA (%)</t>
  </si>
  <si>
    <t>ñ (%)</t>
  </si>
  <si>
    <t>ρW (Kg.m^-3)</t>
  </si>
  <si>
    <t>ρA(Kg.m^-3)</t>
  </si>
  <si>
    <t xml:space="preserve">T_W1 </t>
  </si>
  <si>
    <t>η_W (%)</t>
  </si>
  <si>
    <t>η_A (%)</t>
  </si>
  <si>
    <t>Q̇_a (J)</t>
  </si>
  <si>
    <t>Q̇_w (J)</t>
  </si>
  <si>
    <r>
      <rPr>
        <b/>
        <sz val="11"/>
        <color theme="1"/>
        <rFont val="Arial"/>
        <family val="2"/>
      </rPr>
      <t>Heater temperature:</t>
    </r>
    <r>
      <rPr>
        <sz val="11"/>
        <color theme="1"/>
        <rFont val="Arial"/>
        <family val="2"/>
      </rPr>
      <t xml:space="preserve"> 60°c (All Temp in °c)</t>
    </r>
  </si>
  <si>
    <r>
      <rPr>
        <b/>
        <sz val="11"/>
        <color theme="1"/>
        <rFont val="Arial"/>
        <family val="2"/>
      </rPr>
      <t>Heater temperature:</t>
    </r>
    <r>
      <rPr>
        <sz val="11"/>
        <color theme="1"/>
        <rFont val="Arial"/>
        <family val="2"/>
      </rPr>
      <t xml:space="preserve"> 45°c (All Temp in °c)</t>
    </r>
  </si>
  <si>
    <t>Average T_A</t>
  </si>
  <si>
    <t>Average T_W</t>
  </si>
  <si>
    <t>M_a (Kg/s.m³)</t>
  </si>
  <si>
    <t>M_w (Kg/s.m³)</t>
  </si>
  <si>
    <t>Q̇_w (W)</t>
  </si>
  <si>
    <t>Q̇_a (W)</t>
  </si>
  <si>
    <t>M_a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</si>
</sst>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 applyBorder="1"/>
    <xf numFmtId="0" fontId="2" fillId="0" borderId="0" xfId="0" applyFont="1"/>
    <xf numFmtId="0" fontId="2" fillId="0" borderId="1" xfId="0" applyFont="1" applyBorder="1" applyAlignment="1">
      <alignment textRotation="90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164" fontId="2" fillId="0" borderId="1" xfId="0" applyNumberFormat="1" applyFont="1" applyBorder="1" applyAlignment="1">
      <alignment horizontal="left" inden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64" fontId="0" fillId="0" borderId="0" xfId="0" applyNumberFormat="1"/>
    <xf numFmtId="164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2" fontId="2" fillId="0" borderId="1" xfId="0" applyNumberFormat="1" applyFont="1" applyFill="1" applyBorder="1"/>
    <xf numFmtId="164" fontId="0" fillId="0" borderId="1" xfId="0" applyNumberFormat="1" applyFill="1" applyBorder="1"/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/>
              <a:t>Temperature</a:t>
            </a:r>
            <a:r>
              <a:rPr lang="en-GB" sz="1600" baseline="0"/>
              <a:t> efficiences </a:t>
            </a:r>
            <a:endParaRPr lang="en-GB" sz="16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'EX1'!$L$20</c:f>
              <c:strCache>
                <c:ptCount val="1"/>
                <c:pt idx="0">
                  <c:v>η_W (%)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'EX1'!$O$21:$O$25</c:f>
              <c:numCache>
                <c:formatCode>General</c:formatCode>
                <c:ptCount val="5"/>
                <c:pt idx="0">
                  <c:v>4.0000000000000001E-3</c:v>
                </c:pt>
                <c:pt idx="1">
                  <c:v>1.2E-2</c:v>
                </c:pt>
                <c:pt idx="2">
                  <c:v>2.1000000000000001E-2</c:v>
                </c:pt>
                <c:pt idx="3">
                  <c:v>2.9000000000000001E-2</c:v>
                </c:pt>
                <c:pt idx="4">
                  <c:v>3.6999999999999998E-2</c:v>
                </c:pt>
              </c:numCache>
            </c:numRef>
          </c:cat>
          <c:val>
            <c:numRef>
              <c:f>'EX1'!$L$21:$L$25</c:f>
              <c:numCache>
                <c:formatCode>General</c:formatCode>
                <c:ptCount val="5"/>
                <c:pt idx="0">
                  <c:v>63.286999999999999</c:v>
                </c:pt>
                <c:pt idx="1">
                  <c:v>28.977</c:v>
                </c:pt>
                <c:pt idx="2">
                  <c:v>19.047000000000001</c:v>
                </c:pt>
                <c:pt idx="3">
                  <c:v>14.285</c:v>
                </c:pt>
                <c:pt idx="4">
                  <c:v>11.324999999999999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C8-4999-A3FE-547CBD3CCB33}"/>
            </c:ext>
          </c:extLst>
        </c:ser>
        <c:ser>
          <c:idx val="1"/>
          <c:order val="1"/>
          <c:tx>
            <c:strRef>
              <c:f>'EX1'!$M$20</c:f>
              <c:strCache>
                <c:ptCount val="1"/>
                <c:pt idx="0">
                  <c:v>η_A (%)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'EX1'!$O$21:$O$25</c:f>
              <c:numCache>
                <c:formatCode>General</c:formatCode>
                <c:ptCount val="5"/>
                <c:pt idx="0">
                  <c:v>4.0000000000000001E-3</c:v>
                </c:pt>
                <c:pt idx="1">
                  <c:v>1.2E-2</c:v>
                </c:pt>
                <c:pt idx="2">
                  <c:v>2.1000000000000001E-2</c:v>
                </c:pt>
                <c:pt idx="3">
                  <c:v>2.9000000000000001E-2</c:v>
                </c:pt>
                <c:pt idx="4">
                  <c:v>3.6999999999999998E-2</c:v>
                </c:pt>
              </c:numCache>
            </c:numRef>
          </c:cat>
          <c:val>
            <c:numRef>
              <c:f>'EX1'!$M$21:$M$25</c:f>
              <c:numCache>
                <c:formatCode>General</c:formatCode>
                <c:ptCount val="5"/>
                <c:pt idx="0">
                  <c:v>9.3149999999999995</c:v>
                </c:pt>
                <c:pt idx="1">
                  <c:v>13.068</c:v>
                </c:pt>
                <c:pt idx="2">
                  <c:v>14.285</c:v>
                </c:pt>
                <c:pt idx="3">
                  <c:v>14.56</c:v>
                </c:pt>
                <c:pt idx="4">
                  <c:v>15.468999999999999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C8-4999-A3FE-547CBD3CCB33}"/>
            </c:ext>
          </c:extLst>
        </c:ser>
        <c:ser>
          <c:idx val="2"/>
          <c:order val="2"/>
          <c:tx>
            <c:strRef>
              <c:f>'EX1'!$N$20</c:f>
              <c:strCache>
                <c:ptCount val="1"/>
                <c:pt idx="0">
                  <c:v>ñ (%)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'EX1'!$O$21:$O$25</c:f>
              <c:numCache>
                <c:formatCode>General</c:formatCode>
                <c:ptCount val="5"/>
                <c:pt idx="0">
                  <c:v>4.0000000000000001E-3</c:v>
                </c:pt>
                <c:pt idx="1">
                  <c:v>1.2E-2</c:v>
                </c:pt>
                <c:pt idx="2">
                  <c:v>2.1000000000000001E-2</c:v>
                </c:pt>
                <c:pt idx="3">
                  <c:v>2.9000000000000001E-2</c:v>
                </c:pt>
                <c:pt idx="4">
                  <c:v>3.6999999999999998E-2</c:v>
                </c:pt>
              </c:numCache>
            </c:numRef>
          </c:cat>
          <c:val>
            <c:numRef>
              <c:f>'EX1'!$N$21:$N$25</c:f>
              <c:numCache>
                <c:formatCode>General</c:formatCode>
                <c:ptCount val="5"/>
                <c:pt idx="0">
                  <c:v>36.301000000000002</c:v>
                </c:pt>
                <c:pt idx="1">
                  <c:v>21.023</c:v>
                </c:pt>
                <c:pt idx="2">
                  <c:v>16.667000000000002</c:v>
                </c:pt>
                <c:pt idx="3">
                  <c:v>14.423</c:v>
                </c:pt>
                <c:pt idx="4">
                  <c:v>13.398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C8-4999-A3FE-547CBD3CCB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6924463"/>
        <c:axId val="1816878895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'EX1'!$O$20</c15:sqref>
                        </c15:formulaRef>
                      </c:ext>
                    </c:extLst>
                    <c:strCache>
                      <c:ptCount val="1"/>
                      <c:pt idx="0">
                        <c:v>M_w (Kg/s.m³)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'EX1'!$O$21:$O$25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4.0000000000000001E-3</c:v>
                      </c:pt>
                      <c:pt idx="1">
                        <c:v>1.2E-2</c:v>
                      </c:pt>
                      <c:pt idx="2">
                        <c:v>2.1000000000000001E-2</c:v>
                      </c:pt>
                      <c:pt idx="3">
                        <c:v>2.9000000000000001E-2</c:v>
                      </c:pt>
                      <c:pt idx="4">
                        <c:v>3.6999999999999998E-2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'EX1'!$O$21:$O$25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4.0000000000000001E-3</c:v>
                      </c:pt>
                      <c:pt idx="1">
                        <c:v>1.2E-2</c:v>
                      </c:pt>
                      <c:pt idx="2">
                        <c:v>2.1000000000000001E-2</c:v>
                      </c:pt>
                      <c:pt idx="3">
                        <c:v>2.9000000000000001E-2</c:v>
                      </c:pt>
                      <c:pt idx="4">
                        <c:v>3.6999999999999998E-2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13C8-4999-A3FE-547CBD3CCB33}"/>
                  </c:ext>
                </c:extLst>
              </c15:ser>
            </c15:filteredLineSeries>
          </c:ext>
        </c:extLst>
      </c:lineChart>
      <c:catAx>
        <c:axId val="18169244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Mass</a:t>
                </a:r>
                <a:r>
                  <a:rPr lang="en-GB" sz="1400" baseline="0"/>
                  <a:t> flow rate of water (Kg/s-1</a:t>
                </a:r>
                <a:r>
                  <a:rPr lang="en-GB" baseline="0"/>
                  <a:t>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6878895"/>
        <c:crosses val="autoZero"/>
        <c:auto val="1"/>
        <c:lblAlgn val="ctr"/>
        <c:lblOffset val="100"/>
        <c:noMultiLvlLbl val="0"/>
      </c:catAx>
      <c:valAx>
        <c:axId val="181687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Temperature</a:t>
                </a:r>
                <a:r>
                  <a:rPr lang="en-GB" sz="1400" baseline="0"/>
                  <a:t> (%)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69244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/>
              <a:t>Heat</a:t>
            </a:r>
            <a:r>
              <a:rPr lang="en-GB" sz="1600" baseline="0"/>
              <a:t> omitted by the heat exchanger</a:t>
            </a:r>
            <a:endParaRPr lang="en-GB" sz="16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'EX1'!$R$13</c:f>
              <c:strCache>
                <c:ptCount val="1"/>
                <c:pt idx="0">
                  <c:v>Q̇_w (W)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'EX1'!$T$21:$T$25</c:f>
              <c:numCache>
                <c:formatCode>General</c:formatCode>
                <c:ptCount val="5"/>
                <c:pt idx="0">
                  <c:v>4.0000000000000001E-3</c:v>
                </c:pt>
                <c:pt idx="1">
                  <c:v>1.2E-2</c:v>
                </c:pt>
                <c:pt idx="2">
                  <c:v>2.1000000000000001E-2</c:v>
                </c:pt>
                <c:pt idx="3">
                  <c:v>2.9000000000000001E-2</c:v>
                </c:pt>
                <c:pt idx="4">
                  <c:v>3.6999999999999998E-2</c:v>
                </c:pt>
              </c:numCache>
            </c:numRef>
          </c:cat>
          <c:val>
            <c:numRef>
              <c:f>'EX1'!$R$21:$R$25</c:f>
              <c:numCache>
                <c:formatCode>0.000</c:formatCode>
                <c:ptCount val="5"/>
                <c:pt idx="0">
                  <c:v>392.41400766414</c:v>
                </c:pt>
                <c:pt idx="1">
                  <c:v>518.50933005900004</c:v>
                </c:pt>
                <c:pt idx="2">
                  <c:v>575.43359776986699</c:v>
                </c:pt>
                <c:pt idx="3">
                  <c:v>615.61258038280005</c:v>
                </c:pt>
                <c:pt idx="4">
                  <c:v>623.68188394289905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57-4973-8B10-08585D69E26A}"/>
            </c:ext>
          </c:extLst>
        </c:ser>
        <c:ser>
          <c:idx val="1"/>
          <c:order val="1"/>
          <c:tx>
            <c:strRef>
              <c:f>'EX1'!$S$13</c:f>
              <c:strCache>
                <c:ptCount val="1"/>
                <c:pt idx="0">
                  <c:v>Q̇_a (W)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'EX1'!$T$21:$T$25</c:f>
              <c:numCache>
                <c:formatCode>General</c:formatCode>
                <c:ptCount val="5"/>
                <c:pt idx="0">
                  <c:v>4.0000000000000001E-3</c:v>
                </c:pt>
                <c:pt idx="1">
                  <c:v>1.2E-2</c:v>
                </c:pt>
                <c:pt idx="2">
                  <c:v>2.1000000000000001E-2</c:v>
                </c:pt>
                <c:pt idx="3">
                  <c:v>2.9000000000000001E-2</c:v>
                </c:pt>
                <c:pt idx="4">
                  <c:v>3.6999999999999998E-2</c:v>
                </c:pt>
              </c:numCache>
            </c:numRef>
          </c:cat>
          <c:val>
            <c:numRef>
              <c:f>'EX1'!$S$21:$S$25</c:f>
              <c:numCache>
                <c:formatCode>0.000</c:formatCode>
                <c:ptCount val="5"/>
                <c:pt idx="0">
                  <c:v>390.6520779076647</c:v>
                </c:pt>
                <c:pt idx="1">
                  <c:v>528.52928187507609</c:v>
                </c:pt>
                <c:pt idx="2">
                  <c:v>585.97811686149737</c:v>
                </c:pt>
                <c:pt idx="3">
                  <c:v>608.95765085606592</c:v>
                </c:pt>
                <c:pt idx="4">
                  <c:v>643.4269518479183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57-4973-8B10-08585D69E2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8594207"/>
        <c:axId val="1721431647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'EX1'!$T$13</c15:sqref>
                        </c15:formulaRef>
                      </c:ext>
                    </c:extLst>
                    <c:strCache>
                      <c:ptCount val="1"/>
                      <c:pt idx="0">
                        <c:v>M_w (Kg/s.m³)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'EX1'!$T$21:$T$25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4.0000000000000001E-3</c:v>
                      </c:pt>
                      <c:pt idx="1">
                        <c:v>1.2E-2</c:v>
                      </c:pt>
                      <c:pt idx="2">
                        <c:v>2.1000000000000001E-2</c:v>
                      </c:pt>
                      <c:pt idx="3">
                        <c:v>2.9000000000000001E-2</c:v>
                      </c:pt>
                      <c:pt idx="4">
                        <c:v>3.6999999999999998E-2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'EX1'!$T$14:$T$18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3.6873187499999995E-2</c:v>
                      </c:pt>
                      <c:pt idx="1">
                        <c:v>2.8696937499999998E-2</c:v>
                      </c:pt>
                      <c:pt idx="2">
                        <c:v>2.051245833333333E-2</c:v>
                      </c:pt>
                      <c:pt idx="3">
                        <c:v>1.23221875E-2</c:v>
                      </c:pt>
                      <c:pt idx="4">
                        <c:v>4.1177875000000001E-3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F357-4973-8B10-08585D69E26A}"/>
                  </c:ext>
                </c:extLst>
              </c15:ser>
            </c15:filteredLineSeries>
          </c:ext>
        </c:extLst>
      </c:lineChart>
      <c:catAx>
        <c:axId val="17885942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Mass</a:t>
                </a:r>
                <a:r>
                  <a:rPr lang="en-GB" sz="1400" baseline="0"/>
                  <a:t> flow rate of water (Kg/s-1)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0.32609151765318595"/>
              <c:y val="0.839790393658305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1431647"/>
        <c:crosses val="autoZero"/>
        <c:auto val="1"/>
        <c:lblAlgn val="ctr"/>
        <c:lblOffset val="100"/>
        <c:noMultiLvlLbl val="0"/>
      </c:catAx>
      <c:valAx>
        <c:axId val="1721431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Power Water</a:t>
                </a:r>
                <a:r>
                  <a:rPr lang="en-GB" sz="1400" baseline="0"/>
                  <a:t> + Air (Watts)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859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Heat</a:t>
            </a:r>
            <a:r>
              <a:rPr lang="en-US" sz="1600" baseline="0"/>
              <a:t> transfer co-effienct</a:t>
            </a:r>
            <a:endParaRPr lang="en-US" sz="16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'EX1'!$E$14</c:f>
              <c:strCache>
                <c:ptCount val="1"/>
                <c:pt idx="0">
                  <c:v>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'EX1'!$F$15:$F$19</c:f>
              <c:numCache>
                <c:formatCode>General</c:formatCode>
                <c:ptCount val="5"/>
                <c:pt idx="0">
                  <c:v>4.0000000000000001E-3</c:v>
                </c:pt>
                <c:pt idx="1">
                  <c:v>1.2E-2</c:v>
                </c:pt>
                <c:pt idx="2">
                  <c:v>2.1000000000000001E-2</c:v>
                </c:pt>
                <c:pt idx="3">
                  <c:v>2.9000000000000001E-2</c:v>
                </c:pt>
                <c:pt idx="4">
                  <c:v>3.6999999999999998E-2</c:v>
                </c:pt>
              </c:numCache>
            </c:numRef>
          </c:cat>
          <c:val>
            <c:numRef>
              <c:f>'EX1'!$E$15:$E$19</c:f>
              <c:numCache>
                <c:formatCode>General</c:formatCode>
                <c:ptCount val="5"/>
                <c:pt idx="0">
                  <c:v>123.05800000000001</c:v>
                </c:pt>
                <c:pt idx="1">
                  <c:v>122.66800000000001</c:v>
                </c:pt>
                <c:pt idx="2">
                  <c:v>125.845</c:v>
                </c:pt>
                <c:pt idx="3">
                  <c:v>128.06899999999999</c:v>
                </c:pt>
                <c:pt idx="4">
                  <c:v>128.72399999999999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B2-442B-9F45-D6E3C99043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9561935"/>
        <c:axId val="1784888063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'EX1'!$F$14</c15:sqref>
                        </c15:formulaRef>
                      </c:ext>
                    </c:extLst>
                    <c:strCache>
                      <c:ptCount val="1"/>
                      <c:pt idx="0">
                        <c:v>M_w (Kg/s.m³)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'EX1'!$F$15:$F$19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4.0000000000000001E-3</c:v>
                      </c:pt>
                      <c:pt idx="1">
                        <c:v>1.2E-2</c:v>
                      </c:pt>
                      <c:pt idx="2">
                        <c:v>2.1000000000000001E-2</c:v>
                      </c:pt>
                      <c:pt idx="3">
                        <c:v>2.9000000000000001E-2</c:v>
                      </c:pt>
                      <c:pt idx="4">
                        <c:v>3.6999999999999998E-2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'EX1'!$F$15:$F$19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4.0000000000000001E-3</c:v>
                      </c:pt>
                      <c:pt idx="1">
                        <c:v>1.2E-2</c:v>
                      </c:pt>
                      <c:pt idx="2">
                        <c:v>2.1000000000000001E-2</c:v>
                      </c:pt>
                      <c:pt idx="3">
                        <c:v>2.9000000000000001E-2</c:v>
                      </c:pt>
                      <c:pt idx="4">
                        <c:v>3.6999999999999998E-2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FBB2-442B-9F45-D6E3C99043FA}"/>
                  </c:ext>
                </c:extLst>
              </c15:ser>
            </c15:filteredLineSeries>
          </c:ext>
        </c:extLst>
      </c:lineChart>
      <c:catAx>
        <c:axId val="18095619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Mass</a:t>
                </a:r>
                <a:r>
                  <a:rPr lang="en-GB" sz="1600" baseline="0"/>
                  <a:t> flow rate (Kg/s-1)</a:t>
                </a:r>
                <a:endParaRPr lang="en-GB" sz="1600"/>
              </a:p>
            </c:rich>
          </c:tx>
          <c:layout>
            <c:manualLayout>
              <c:xMode val="edge"/>
              <c:yMode val="edge"/>
              <c:x val="0.33348613260777832"/>
              <c:y val="0.823792033946473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4888063"/>
        <c:crosses val="autoZero"/>
        <c:auto val="1"/>
        <c:lblAlgn val="ctr"/>
        <c:lblOffset val="100"/>
        <c:noMultiLvlLbl val="0"/>
      </c:catAx>
      <c:valAx>
        <c:axId val="1784888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U</a:t>
                </a:r>
                <a:r>
                  <a:rPr lang="en-GB" sz="1400" baseline="0"/>
                  <a:t> (W.m-²K-1)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95619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/>
              <a:t>Heat omitted</a:t>
            </a:r>
            <a:r>
              <a:rPr lang="en-GB" sz="1600" baseline="0"/>
              <a:t> by heat exchanger </a:t>
            </a:r>
            <a:endParaRPr lang="en-GB" sz="16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'EX2'!$R$23</c:f>
              <c:strCache>
                <c:ptCount val="1"/>
                <c:pt idx="0">
                  <c:v>Q̇_w (W)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'EX2'!$T$24:$T$28</c:f>
              <c:numCache>
                <c:formatCode>0.000</c:formatCode>
                <c:ptCount val="5"/>
                <c:pt idx="0">
                  <c:v>0.05</c:v>
                </c:pt>
                <c:pt idx="1">
                  <c:v>7.0999999999999994E-2</c:v>
                </c:pt>
                <c:pt idx="2">
                  <c:v>8.6999999999999994E-2</c:v>
                </c:pt>
                <c:pt idx="3">
                  <c:v>0.1</c:v>
                </c:pt>
                <c:pt idx="4">
                  <c:v>0.112</c:v>
                </c:pt>
              </c:numCache>
            </c:numRef>
          </c:cat>
          <c:val>
            <c:numRef>
              <c:f>'EX2'!$R$24:$R$28</c:f>
              <c:numCache>
                <c:formatCode>0.00</c:formatCode>
                <c:ptCount val="5"/>
                <c:pt idx="0">
                  <c:v>310.24</c:v>
                </c:pt>
                <c:pt idx="1">
                  <c:v>322.43</c:v>
                </c:pt>
                <c:pt idx="2">
                  <c:v>337.91</c:v>
                </c:pt>
                <c:pt idx="3">
                  <c:v>343.14</c:v>
                </c:pt>
                <c:pt idx="4">
                  <c:v>363.72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92-4FD5-8D79-31E06A66F99D}"/>
            </c:ext>
          </c:extLst>
        </c:ser>
        <c:ser>
          <c:idx val="1"/>
          <c:order val="1"/>
          <c:tx>
            <c:strRef>
              <c:f>'EX2'!$S$23</c:f>
              <c:strCache>
                <c:ptCount val="1"/>
                <c:pt idx="0">
                  <c:v>Q̇_a (W)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'EX2'!$T$24:$T$28</c:f>
              <c:numCache>
                <c:formatCode>0.000</c:formatCode>
                <c:ptCount val="5"/>
                <c:pt idx="0">
                  <c:v>0.05</c:v>
                </c:pt>
                <c:pt idx="1">
                  <c:v>7.0999999999999994E-2</c:v>
                </c:pt>
                <c:pt idx="2">
                  <c:v>8.6999999999999994E-2</c:v>
                </c:pt>
                <c:pt idx="3">
                  <c:v>0.1</c:v>
                </c:pt>
                <c:pt idx="4">
                  <c:v>0.112</c:v>
                </c:pt>
              </c:numCache>
            </c:numRef>
          </c:cat>
          <c:val>
            <c:numRef>
              <c:f>'EX2'!$S$24:$S$28</c:f>
              <c:numCache>
                <c:formatCode>General</c:formatCode>
                <c:ptCount val="5"/>
                <c:pt idx="0">
                  <c:v>221.21</c:v>
                </c:pt>
                <c:pt idx="1">
                  <c:v>263.06</c:v>
                </c:pt>
                <c:pt idx="2">
                  <c:v>296.06</c:v>
                </c:pt>
                <c:pt idx="3">
                  <c:v>321.75</c:v>
                </c:pt>
                <c:pt idx="4">
                  <c:v>337.25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92-4FD5-8D79-31E06A66F9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1189295"/>
        <c:axId val="1784889311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'EX2'!$T$23</c15:sqref>
                        </c15:formulaRef>
                      </c:ext>
                    </c:extLst>
                    <c:strCache>
                      <c:ptCount val="1"/>
                      <c:pt idx="0">
                        <c:v>M_A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'EX2'!$T$24:$T$28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'EX2'!$T$24:$T$28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9E92-4FD5-8D79-31E06A66F99D}"/>
                  </c:ext>
                </c:extLst>
              </c15:ser>
            </c15:filteredLineSeries>
          </c:ext>
        </c:extLst>
      </c:lineChart>
      <c:catAx>
        <c:axId val="17311892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Mass</a:t>
                </a:r>
                <a:r>
                  <a:rPr lang="en-GB" sz="1600" baseline="0"/>
                  <a:t> flow air (Kg/s-1)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4889311"/>
        <c:crosses val="autoZero"/>
        <c:auto val="1"/>
        <c:lblAlgn val="ctr"/>
        <c:lblOffset val="100"/>
        <c:noMultiLvlLbl val="0"/>
      </c:catAx>
      <c:valAx>
        <c:axId val="1784889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Power</a:t>
                </a:r>
                <a:r>
                  <a:rPr lang="en-GB" sz="1600" baseline="0"/>
                  <a:t> (W)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11892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Temperature</a:t>
            </a:r>
            <a:r>
              <a:rPr lang="en-GB" sz="1800" baseline="0"/>
              <a:t> effiencies</a:t>
            </a:r>
            <a:endParaRPr lang="en-GB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'EX2'!$Y$23</c:f>
              <c:strCache>
                <c:ptCount val="1"/>
                <c:pt idx="0">
                  <c:v>ηW (%)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'EX2'!$AB$24:$AB$28</c:f>
              <c:numCache>
                <c:formatCode>General</c:formatCode>
                <c:ptCount val="5"/>
                <c:pt idx="0">
                  <c:v>0.70299999999999996</c:v>
                </c:pt>
                <c:pt idx="1">
                  <c:v>1.0840000000000001</c:v>
                </c:pt>
                <c:pt idx="2">
                  <c:v>1.409</c:v>
                </c:pt>
                <c:pt idx="3">
                  <c:v>1.696</c:v>
                </c:pt>
                <c:pt idx="4">
                  <c:v>1.9410000000000001</c:v>
                </c:pt>
              </c:numCache>
            </c:numRef>
          </c:cat>
          <c:val>
            <c:numRef>
              <c:f>'EX2'!$Y$24:$Y$28</c:f>
              <c:numCache>
                <c:formatCode>General</c:formatCode>
                <c:ptCount val="5"/>
                <c:pt idx="0">
                  <c:v>53.216000000000001</c:v>
                </c:pt>
                <c:pt idx="1">
                  <c:v>56.417999999999999</c:v>
                </c:pt>
                <c:pt idx="2">
                  <c:v>58.929000000000002</c:v>
                </c:pt>
                <c:pt idx="3">
                  <c:v>60.725000000000001</c:v>
                </c:pt>
                <c:pt idx="4">
                  <c:v>63.963999999999999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47-4E73-ABEC-A2AF377C2537}"/>
            </c:ext>
          </c:extLst>
        </c:ser>
        <c:ser>
          <c:idx val="1"/>
          <c:order val="1"/>
          <c:tx>
            <c:strRef>
              <c:f>'EX2'!$Z$23</c:f>
              <c:strCache>
                <c:ptCount val="1"/>
                <c:pt idx="0">
                  <c:v>ηA (%)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'EX2'!$AB$24:$AB$28</c:f>
              <c:numCache>
                <c:formatCode>General</c:formatCode>
                <c:ptCount val="5"/>
                <c:pt idx="0">
                  <c:v>0.70299999999999996</c:v>
                </c:pt>
                <c:pt idx="1">
                  <c:v>1.0840000000000001</c:v>
                </c:pt>
                <c:pt idx="2">
                  <c:v>1.409</c:v>
                </c:pt>
                <c:pt idx="3">
                  <c:v>1.696</c:v>
                </c:pt>
                <c:pt idx="4">
                  <c:v>1.9410000000000001</c:v>
                </c:pt>
              </c:numCache>
            </c:numRef>
          </c:cat>
          <c:val>
            <c:numRef>
              <c:f>'EX2'!$Z$24:$Z$28</c:f>
              <c:numCache>
                <c:formatCode>General</c:formatCode>
                <c:ptCount val="5"/>
                <c:pt idx="0">
                  <c:v>12.865</c:v>
                </c:pt>
                <c:pt idx="1">
                  <c:v>11.045</c:v>
                </c:pt>
                <c:pt idx="2">
                  <c:v>10.119</c:v>
                </c:pt>
                <c:pt idx="3">
                  <c:v>9.6669999999999998</c:v>
                </c:pt>
                <c:pt idx="4">
                  <c:v>9.0090000000000003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47-4E73-ABEC-A2AF377C2537}"/>
            </c:ext>
          </c:extLst>
        </c:ser>
        <c:ser>
          <c:idx val="2"/>
          <c:order val="2"/>
          <c:tx>
            <c:strRef>
              <c:f>'EX2'!$AA$23</c:f>
              <c:strCache>
                <c:ptCount val="1"/>
                <c:pt idx="0">
                  <c:v>ñ (%)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'EX2'!$AB$24:$AB$28</c:f>
              <c:numCache>
                <c:formatCode>General</c:formatCode>
                <c:ptCount val="5"/>
                <c:pt idx="0">
                  <c:v>0.70299999999999996</c:v>
                </c:pt>
                <c:pt idx="1">
                  <c:v>1.0840000000000001</c:v>
                </c:pt>
                <c:pt idx="2">
                  <c:v>1.409</c:v>
                </c:pt>
                <c:pt idx="3">
                  <c:v>1.696</c:v>
                </c:pt>
                <c:pt idx="4">
                  <c:v>1.9410000000000001</c:v>
                </c:pt>
              </c:numCache>
            </c:numRef>
          </c:cat>
          <c:val>
            <c:numRef>
              <c:f>'EX2'!$AA$24:$AA$28</c:f>
              <c:numCache>
                <c:formatCode>General</c:formatCode>
                <c:ptCount val="5"/>
                <c:pt idx="0">
                  <c:v>33.040999999999997</c:v>
                </c:pt>
                <c:pt idx="1">
                  <c:v>33.731000000000002</c:v>
                </c:pt>
                <c:pt idx="2">
                  <c:v>34.524000000000001</c:v>
                </c:pt>
                <c:pt idx="3">
                  <c:v>35.195999999999998</c:v>
                </c:pt>
                <c:pt idx="4">
                  <c:v>36.485999999999997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47-4E73-ABEC-A2AF377C25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522831"/>
        <c:axId val="1542071151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'EX2'!$AB$23</c15:sqref>
                        </c15:formulaRef>
                      </c:ext>
                    </c:extLst>
                    <c:strCache>
                      <c:ptCount val="1"/>
                      <c:pt idx="0">
                        <c:v>M_a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'EX2'!$AB$24:$AB$28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0.70299999999999996</c:v>
                      </c:pt>
                      <c:pt idx="1">
                        <c:v>1.0840000000000001</c:v>
                      </c:pt>
                      <c:pt idx="2">
                        <c:v>1.409</c:v>
                      </c:pt>
                      <c:pt idx="3">
                        <c:v>1.696</c:v>
                      </c:pt>
                      <c:pt idx="4">
                        <c:v>1.9410000000000001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'EX2'!$AB$24:$AB$28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0.70299999999999996</c:v>
                      </c:pt>
                      <c:pt idx="1">
                        <c:v>1.0840000000000001</c:v>
                      </c:pt>
                      <c:pt idx="2">
                        <c:v>1.409</c:v>
                      </c:pt>
                      <c:pt idx="3">
                        <c:v>1.696</c:v>
                      </c:pt>
                      <c:pt idx="4">
                        <c:v>1.9410000000000001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C047-4E73-ABEC-A2AF377C2537}"/>
                  </c:ext>
                </c:extLst>
              </c15:ser>
            </c15:filteredLineSeries>
          </c:ext>
        </c:extLst>
      </c:lineChart>
      <c:catAx>
        <c:axId val="1544522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Mass</a:t>
                </a:r>
                <a:r>
                  <a:rPr lang="en-GB" sz="1600" baseline="0"/>
                  <a:t> flow rate air (Kg/s-1)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2071151"/>
        <c:crosses val="autoZero"/>
        <c:auto val="1"/>
        <c:lblAlgn val="ctr"/>
        <c:lblOffset val="100"/>
        <c:noMultiLvlLbl val="0"/>
      </c:catAx>
      <c:valAx>
        <c:axId val="1542071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Temperature</a:t>
                </a:r>
                <a:r>
                  <a:rPr lang="en-GB" sz="1600" baseline="0"/>
                  <a:t> percentage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4522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Heat</a:t>
            </a:r>
            <a:r>
              <a:rPr lang="en-US" sz="1800" baseline="0"/>
              <a:t> transfer co-effienct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'EX2'!$G$26</c:f>
              <c:strCache>
                <c:ptCount val="1"/>
                <c:pt idx="0">
                  <c:v>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'EX2'!$H$20:$H$24</c:f>
              <c:numCache>
                <c:formatCode>General</c:formatCode>
                <c:ptCount val="5"/>
                <c:pt idx="0">
                  <c:v>0.05</c:v>
                </c:pt>
                <c:pt idx="1">
                  <c:v>7.0999999999999994E-2</c:v>
                </c:pt>
                <c:pt idx="2">
                  <c:v>8.6999999999999994E-2</c:v>
                </c:pt>
                <c:pt idx="3">
                  <c:v>0.1</c:v>
                </c:pt>
                <c:pt idx="4">
                  <c:v>0.112</c:v>
                </c:pt>
              </c:numCache>
            </c:numRef>
          </c:cat>
          <c:val>
            <c:numRef>
              <c:f>'EX2'!$G$27:$G$31</c:f>
              <c:numCache>
                <c:formatCode>General</c:formatCode>
                <c:ptCount val="5"/>
                <c:pt idx="0">
                  <c:v>95.263999999999996</c:v>
                </c:pt>
                <c:pt idx="1">
                  <c:v>102.813</c:v>
                </c:pt>
                <c:pt idx="2">
                  <c:v>109.631</c:v>
                </c:pt>
                <c:pt idx="3">
                  <c:v>115.051</c:v>
                </c:pt>
                <c:pt idx="4">
                  <c:v>125.693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D-424F-92A6-46D02D84B4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594671"/>
        <c:axId val="944179535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'EX2'!$H$26</c15:sqref>
                        </c15:formulaRef>
                      </c:ext>
                    </c:extLst>
                    <c:strCache>
                      <c:ptCount val="1"/>
                      <c:pt idx="0">
                        <c:v>M_A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'EX2'!$H$20:$H$24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'EX2'!$H$27:$H$31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5CDD-424F-92A6-46D02D84B4B0}"/>
                  </c:ext>
                </c:extLst>
              </c15:ser>
            </c15:filteredLineSeries>
          </c:ext>
        </c:extLst>
      </c:lineChart>
      <c:catAx>
        <c:axId val="15515946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Mass</a:t>
                </a:r>
                <a:r>
                  <a:rPr lang="en-GB" sz="1600" baseline="0"/>
                  <a:t> flow rate air (Kg/s-1)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4179535"/>
        <c:crosses val="autoZero"/>
        <c:auto val="1"/>
        <c:lblAlgn val="ctr"/>
        <c:lblOffset val="100"/>
        <c:noMultiLvlLbl val="0"/>
      </c:catAx>
      <c:valAx>
        <c:axId val="944179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U</a:t>
                </a:r>
                <a:r>
                  <a:rPr lang="en-GB" sz="1600" baseline="0"/>
                  <a:t> (W.m-²K-1)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15946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Heat</a:t>
            </a:r>
            <a:r>
              <a:rPr lang="en-GB" sz="1800" baseline="0"/>
              <a:t> omitted by heat exchanger</a:t>
            </a:r>
            <a:endParaRPr lang="en-GB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'EX3'!$R$24</c:f>
              <c:strCache>
                <c:ptCount val="1"/>
                <c:pt idx="0">
                  <c:v>Q̇_w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'EX3'!$T$25:$T$29</c:f>
              <c:numCache>
                <c:formatCode>0.000</c:formatCode>
                <c:ptCount val="5"/>
                <c:pt idx="0">
                  <c:v>0.05</c:v>
                </c:pt>
                <c:pt idx="1">
                  <c:v>7.0999999999999994E-2</c:v>
                </c:pt>
                <c:pt idx="2">
                  <c:v>8.6999999999999994E-2</c:v>
                </c:pt>
                <c:pt idx="3">
                  <c:v>0.1</c:v>
                </c:pt>
                <c:pt idx="4">
                  <c:v>0.112</c:v>
                </c:pt>
              </c:numCache>
            </c:numRef>
          </c:cat>
          <c:val>
            <c:numRef>
              <c:f>'EX3'!$R$25:$R$29</c:f>
              <c:numCache>
                <c:formatCode>0.00</c:formatCode>
                <c:ptCount val="5"/>
                <c:pt idx="0">
                  <c:v>210.56</c:v>
                </c:pt>
                <c:pt idx="1">
                  <c:v>231.35</c:v>
                </c:pt>
                <c:pt idx="2">
                  <c:v>91.16</c:v>
                </c:pt>
                <c:pt idx="3">
                  <c:v>259.13</c:v>
                </c:pt>
                <c:pt idx="4">
                  <c:v>124.25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55-4BE7-A537-1CD57823FFC2}"/>
            </c:ext>
          </c:extLst>
        </c:ser>
        <c:ser>
          <c:idx val="1"/>
          <c:order val="1"/>
          <c:tx>
            <c:strRef>
              <c:f>'EX3'!$S$24</c:f>
              <c:strCache>
                <c:ptCount val="1"/>
                <c:pt idx="0">
                  <c:v>Q̇_a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'EX3'!$T$25:$T$29</c:f>
              <c:numCache>
                <c:formatCode>0.000</c:formatCode>
                <c:ptCount val="5"/>
                <c:pt idx="0">
                  <c:v>0.05</c:v>
                </c:pt>
                <c:pt idx="1">
                  <c:v>7.0999999999999994E-2</c:v>
                </c:pt>
                <c:pt idx="2">
                  <c:v>8.6999999999999994E-2</c:v>
                </c:pt>
                <c:pt idx="3">
                  <c:v>0.1</c:v>
                </c:pt>
                <c:pt idx="4">
                  <c:v>0.112</c:v>
                </c:pt>
              </c:numCache>
            </c:numRef>
          </c:cat>
          <c:val>
            <c:numRef>
              <c:f>'EX3'!$S$25:$S$29</c:f>
              <c:numCache>
                <c:formatCode>0.00</c:formatCode>
                <c:ptCount val="5"/>
                <c:pt idx="0">
                  <c:v>337.25</c:v>
                </c:pt>
                <c:pt idx="1">
                  <c:v>303.52</c:v>
                </c:pt>
                <c:pt idx="2">
                  <c:v>269.8</c:v>
                </c:pt>
                <c:pt idx="3">
                  <c:v>247.31</c:v>
                </c:pt>
                <c:pt idx="4">
                  <c:v>224.83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55-4BE7-A537-1CD57823F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1942479"/>
        <c:axId val="1567969551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'EX3'!$T$24</c15:sqref>
                        </c15:formulaRef>
                      </c:ext>
                    </c:extLst>
                    <c:strCache>
                      <c:ptCount val="1"/>
                      <c:pt idx="0">
                        <c:v>M_A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'EX3'!$T$25:$T$29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'EX3'!$T$25:$T$29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2655-4BE7-A537-1CD57823FFC2}"/>
                  </c:ext>
                </c:extLst>
              </c15:ser>
            </c15:filteredLineSeries>
          </c:ext>
        </c:extLst>
      </c:lineChart>
      <c:catAx>
        <c:axId val="15719424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Mass</a:t>
                </a:r>
                <a:r>
                  <a:rPr lang="en-GB" sz="1600" baseline="0"/>
                  <a:t> flow rate air (Kg/s-1)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7969551"/>
        <c:crosses val="autoZero"/>
        <c:auto val="1"/>
        <c:lblAlgn val="ctr"/>
        <c:lblOffset val="100"/>
        <c:noMultiLvlLbl val="0"/>
      </c:catAx>
      <c:valAx>
        <c:axId val="15679695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Power</a:t>
                </a:r>
                <a:r>
                  <a:rPr lang="en-GB" sz="1600" baseline="0"/>
                  <a:t> (W)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1942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Temperature effiencies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'EX3'!$V$24</c:f>
              <c:strCache>
                <c:ptCount val="1"/>
                <c:pt idx="0">
                  <c:v>η_w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'EX3'!$Y$25:$Y$29</c:f>
              <c:numCache>
                <c:formatCode>0.000</c:formatCode>
                <c:ptCount val="5"/>
                <c:pt idx="0">
                  <c:v>0.05</c:v>
                </c:pt>
                <c:pt idx="1">
                  <c:v>7.0999999999999994E-2</c:v>
                </c:pt>
                <c:pt idx="2">
                  <c:v>8.6999999999999994E-2</c:v>
                </c:pt>
                <c:pt idx="3">
                  <c:v>0.1</c:v>
                </c:pt>
                <c:pt idx="4">
                  <c:v>0.112</c:v>
                </c:pt>
              </c:numCache>
            </c:numRef>
          </c:cat>
          <c:val>
            <c:numRef>
              <c:f>'EX3'!$V$25:$V$29</c:f>
              <c:numCache>
                <c:formatCode>0.000</c:formatCode>
                <c:ptCount val="5"/>
                <c:pt idx="0">
                  <c:v>51.914999999999999</c:v>
                </c:pt>
                <c:pt idx="1">
                  <c:v>56.302999999999997</c:v>
                </c:pt>
                <c:pt idx="2">
                  <c:v>22.082999999999998</c:v>
                </c:pt>
                <c:pt idx="3">
                  <c:v>63.024999999999999</c:v>
                </c:pt>
                <c:pt idx="4">
                  <c:v>31.303999999999998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F7-448F-950F-976B054A66CB}"/>
            </c:ext>
          </c:extLst>
        </c:ser>
        <c:ser>
          <c:idx val="1"/>
          <c:order val="1"/>
          <c:tx>
            <c:strRef>
              <c:f>'EX3'!$W$24</c:f>
              <c:strCache>
                <c:ptCount val="1"/>
                <c:pt idx="0">
                  <c:v>η_a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'EX3'!$Y$25:$Y$29</c:f>
              <c:numCache>
                <c:formatCode>0.000</c:formatCode>
                <c:ptCount val="5"/>
                <c:pt idx="0">
                  <c:v>0.05</c:v>
                </c:pt>
                <c:pt idx="1">
                  <c:v>7.0999999999999994E-2</c:v>
                </c:pt>
                <c:pt idx="2">
                  <c:v>8.6999999999999994E-2</c:v>
                </c:pt>
                <c:pt idx="3">
                  <c:v>0.1</c:v>
                </c:pt>
                <c:pt idx="4">
                  <c:v>0.112</c:v>
                </c:pt>
              </c:numCache>
            </c:numRef>
          </c:cat>
          <c:val>
            <c:numRef>
              <c:f>'EX3'!$W$25:$W$29</c:f>
              <c:numCache>
                <c:formatCode>0.000</c:formatCode>
                <c:ptCount val="5"/>
                <c:pt idx="0">
                  <c:v>12.766</c:v>
                </c:pt>
                <c:pt idx="1">
                  <c:v>11.345000000000001</c:v>
                </c:pt>
                <c:pt idx="2">
                  <c:v>10</c:v>
                </c:pt>
                <c:pt idx="3">
                  <c:v>9.2439999999999998</c:v>
                </c:pt>
                <c:pt idx="4">
                  <c:v>8.6959999999999997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F7-448F-950F-976B054A66CB}"/>
            </c:ext>
          </c:extLst>
        </c:ser>
        <c:ser>
          <c:idx val="2"/>
          <c:order val="2"/>
          <c:tx>
            <c:strRef>
              <c:f>'EX3'!$X$24</c:f>
              <c:strCache>
                <c:ptCount val="1"/>
                <c:pt idx="0">
                  <c:v>ñ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'EX3'!$Y$25:$Y$29</c:f>
              <c:numCache>
                <c:formatCode>0.000</c:formatCode>
                <c:ptCount val="5"/>
                <c:pt idx="0">
                  <c:v>0.05</c:v>
                </c:pt>
                <c:pt idx="1">
                  <c:v>7.0999999999999994E-2</c:v>
                </c:pt>
                <c:pt idx="2">
                  <c:v>8.6999999999999994E-2</c:v>
                </c:pt>
                <c:pt idx="3">
                  <c:v>0.1</c:v>
                </c:pt>
                <c:pt idx="4">
                  <c:v>0.112</c:v>
                </c:pt>
              </c:numCache>
            </c:numRef>
          </c:cat>
          <c:val>
            <c:numRef>
              <c:f>'EX3'!$X$25:$X$29</c:f>
              <c:numCache>
                <c:formatCode>0.000</c:formatCode>
                <c:ptCount val="5"/>
                <c:pt idx="0">
                  <c:v>32.340000000000003</c:v>
                </c:pt>
                <c:pt idx="1">
                  <c:v>33.823999999999998</c:v>
                </c:pt>
                <c:pt idx="2">
                  <c:v>6.0419999999999998</c:v>
                </c:pt>
                <c:pt idx="3">
                  <c:v>36.134</c:v>
                </c:pt>
                <c:pt idx="4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F7-448F-950F-976B054A66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549471"/>
        <c:axId val="1586687151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'EX3'!$Y$24</c15:sqref>
                        </c15:formulaRef>
                      </c:ext>
                    </c:extLst>
                    <c:strCache>
                      <c:ptCount val="1"/>
                      <c:pt idx="0">
                        <c:v>M_A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'EX3'!$Y$25:$Y$29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'EX3'!$Y$25:$Y$29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E3F7-448F-950F-976B054A66CB}"/>
                  </c:ext>
                </c:extLst>
              </c15:ser>
            </c15:filteredLineSeries>
          </c:ext>
        </c:extLst>
      </c:lineChart>
      <c:catAx>
        <c:axId val="15515494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0" i="0" u="none" strike="noStrike" baseline="0">
                    <a:effectLst/>
                  </a:rPr>
                  <a:t>Mass flow rate air (Kg/s-1)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6687151"/>
        <c:crosses val="autoZero"/>
        <c:auto val="1"/>
        <c:lblAlgn val="ctr"/>
        <c:lblOffset val="100"/>
        <c:noMultiLvlLbl val="0"/>
      </c:catAx>
      <c:valAx>
        <c:axId val="1586687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 b="0" i="0" baseline="0">
                    <a:effectLst/>
                  </a:rPr>
                  <a:t>Temperature percentage (%)</a:t>
                </a:r>
                <a:endParaRPr lang="en-GB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15494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Heat transfer co-effienct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'EX3'!$E$30</c:f>
              <c:strCache>
                <c:ptCount val="1"/>
                <c:pt idx="0">
                  <c:v>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'EX3'!$F$31:$F$35</c:f>
              <c:numCache>
                <c:formatCode>0.000</c:formatCode>
                <c:ptCount val="5"/>
                <c:pt idx="0">
                  <c:v>0.05</c:v>
                </c:pt>
                <c:pt idx="1">
                  <c:v>7.0999999999999994E-2</c:v>
                </c:pt>
                <c:pt idx="2">
                  <c:v>8.6999999999999994E-2</c:v>
                </c:pt>
                <c:pt idx="3">
                  <c:v>0.1</c:v>
                </c:pt>
                <c:pt idx="4">
                  <c:v>0.112</c:v>
                </c:pt>
              </c:numCache>
            </c:numRef>
          </c:cat>
          <c:val>
            <c:numRef>
              <c:f>'EX3'!$E$31:$E$35</c:f>
              <c:numCache>
                <c:formatCode>0.000</c:formatCode>
                <c:ptCount val="5"/>
                <c:pt idx="0">
                  <c:v>92.536000000000001</c:v>
                </c:pt>
                <c:pt idx="1">
                  <c:v>104.081</c:v>
                </c:pt>
                <c:pt idx="2">
                  <c:v>23.015000000000001</c:v>
                </c:pt>
                <c:pt idx="3">
                  <c:v>124.027</c:v>
                </c:pt>
                <c:pt idx="4">
                  <c:v>44.280999999999999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E9-43B9-8F91-296E8DEE9E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491487"/>
        <c:axId val="1586677999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'EX3'!$F$30</c15:sqref>
                        </c15:formulaRef>
                      </c:ext>
                    </c:extLst>
                    <c:strCache>
                      <c:ptCount val="1"/>
                      <c:pt idx="0">
                        <c:v>M_A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'EX3'!$F$31:$F$35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'EX3'!$F$31:$F$35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0.05</c:v>
                      </c:pt>
                      <c:pt idx="1">
                        <c:v>7.0999999999999994E-2</c:v>
                      </c:pt>
                      <c:pt idx="2">
                        <c:v>8.6999999999999994E-2</c:v>
                      </c:pt>
                      <c:pt idx="3">
                        <c:v>0.1</c:v>
                      </c:pt>
                      <c:pt idx="4">
                        <c:v>0.112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80E9-43B9-8F91-296E8DEE9E44}"/>
                  </c:ext>
                </c:extLst>
              </c15:ser>
            </c15:filteredLineSeries>
          </c:ext>
        </c:extLst>
      </c:lineChart>
      <c:catAx>
        <c:axId val="15664914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0" i="0" u="none" strike="noStrike" baseline="0">
                    <a:effectLst/>
                  </a:rPr>
                  <a:t>Mass flow rate air (Kg/s-1)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6677999"/>
        <c:crosses val="autoZero"/>
        <c:auto val="1"/>
        <c:lblAlgn val="ctr"/>
        <c:lblOffset val="100"/>
        <c:noMultiLvlLbl val="0"/>
      </c:catAx>
      <c:valAx>
        <c:axId val="1586677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 b="0" i="0" baseline="0">
                    <a:effectLst/>
                  </a:rPr>
                  <a:t>U (W.m-²K-1)</a:t>
                </a:r>
                <a:endParaRPr lang="en-GB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64914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154873</xdr:rowOff>
    </xdr:from>
    <xdr:to>
      <xdr:col>10</xdr:col>
      <xdr:colOff>294409</xdr:colOff>
      <xdr:row>27</xdr:row>
      <xdr:rowOff>155865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5EC7E63-B3A0-4631-B6B2-FB1C62F5A8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381000</xdr:colOff>
      <xdr:row>10</xdr:row>
      <xdr:rowOff>121227</xdr:rowOff>
    </xdr:from>
    <xdr:to>
      <xdr:col>17</xdr:col>
      <xdr:colOff>713977</xdr:colOff>
      <xdr:row>29</xdr:row>
      <xdr:rowOff>75283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0E1FD35-A555-48A8-87D1-823F650ACF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627276</xdr:colOff>
      <xdr:row>10</xdr:row>
      <xdr:rowOff>138545</xdr:rowOff>
    </xdr:from>
    <xdr:to>
      <xdr:col>25</xdr:col>
      <xdr:colOff>346364</xdr:colOff>
      <xdr:row>29</xdr:row>
      <xdr:rowOff>70290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B9391BC-ABA5-476C-A58B-D531EA610B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149679</xdr:colOff>
      <xdr:row>13</xdr:row>
      <xdr:rowOff>149678</xdr:rowOff>
    </xdr:from>
    <xdr:to>
      <xdr:col>12</xdr:col>
      <xdr:colOff>408214</xdr:colOff>
      <xdr:row>32</xdr:row>
      <xdr:rowOff>136072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34871A-38C1-4A9D-BC43-0F1437F701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81643</xdr:colOff>
      <xdr:row>13</xdr:row>
      <xdr:rowOff>70756</xdr:rowOff>
    </xdr:from>
    <xdr:to>
      <xdr:col>22</xdr:col>
      <xdr:colOff>591911</xdr:colOff>
      <xdr:row>32</xdr:row>
      <xdr:rowOff>68035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9085758-D629-42DF-850B-5811FC0CF7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802822</xdr:colOff>
      <xdr:row>13</xdr:row>
      <xdr:rowOff>81644</xdr:rowOff>
    </xdr:from>
    <xdr:to>
      <xdr:col>32</xdr:col>
      <xdr:colOff>340179</xdr:colOff>
      <xdr:row>32</xdr:row>
      <xdr:rowOff>68036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D125D74-5BF4-4F56-9A66-D7585B29A2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159886</xdr:rowOff>
    </xdr:from>
    <xdr:to>
      <xdr:col>9</xdr:col>
      <xdr:colOff>374196</xdr:colOff>
      <xdr:row>35</xdr:row>
      <xdr:rowOff>61914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5D77A9-A9D9-4B5E-8BC5-9B5A766BC7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503464</xdr:colOff>
      <xdr:row>14</xdr:row>
      <xdr:rowOff>170090</xdr:rowOff>
    </xdr:from>
    <xdr:to>
      <xdr:col>18</xdr:col>
      <xdr:colOff>459241</xdr:colOff>
      <xdr:row>35</xdr:row>
      <xdr:rowOff>115662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999E6DA-DCF7-4037-90D0-6F1F0B5122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496658</xdr:colOff>
      <xdr:row>14</xdr:row>
      <xdr:rowOff>170090</xdr:rowOff>
    </xdr:from>
    <xdr:to>
      <xdr:col>27</xdr:col>
      <xdr:colOff>370794</xdr:colOff>
      <xdr:row>35</xdr:row>
      <xdr:rowOff>102054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773B9A8-5332-46EC-833E-9EC0002BB6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6"/>
  <sheetViews>
    <sheetView topLeftCell="A4" zoomScale="55" zoomScaleNormal="55" workbookViewId="0">
      <selection activeCell="S33" sqref="S33:S34"/>
    </sheetView>
  </sheetViews>
  <sheetFormatPr defaultRowHeight="15" x14ac:dyDescent="0.25"/>
  <cols>
    <col min="1" max="1" width="6" customWidth="1"/>
    <col min="2" max="3" width="6.7109375" bestFit="1" customWidth="1"/>
    <col min="4" max="4" width="6.42578125" bestFit="1" customWidth="1"/>
    <col min="5" max="5" width="16.28515625" customWidth="1"/>
    <col min="6" max="6" width="15.140625" customWidth="1"/>
    <col min="7" max="7" width="7.140625" customWidth="1"/>
    <col min="8" max="8" width="6.7109375" customWidth="1"/>
    <col min="9" max="9" width="6.140625" bestFit="1" customWidth="1"/>
    <col min="10" max="10" width="6.85546875" customWidth="1"/>
    <col min="11" max="11" width="6.28515625" customWidth="1"/>
    <col min="12" max="12" width="14" customWidth="1"/>
    <col min="13" max="13" width="11.5703125" customWidth="1"/>
    <col min="14" max="14" width="10.85546875" customWidth="1"/>
    <col min="15" max="15" width="15.7109375" customWidth="1"/>
    <col min="16" max="16" width="8.28515625" customWidth="1"/>
    <col min="17" max="17" width="10.5703125" customWidth="1"/>
    <col min="18" max="18" width="11.42578125" customWidth="1"/>
    <col min="19" max="19" width="15.28515625" customWidth="1"/>
    <col min="20" max="20" width="15" customWidth="1"/>
    <col min="21" max="22" width="8.5703125" customWidth="1"/>
    <col min="23" max="23" width="9.85546875" customWidth="1"/>
    <col min="24" max="24" width="7.28515625" customWidth="1"/>
    <col min="25" max="25" width="7.42578125" customWidth="1"/>
  </cols>
  <sheetData>
    <row r="1" spans="1:27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9" t="s">
        <v>52</v>
      </c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2"/>
      <c r="Y1" s="2"/>
    </row>
    <row r="2" spans="1:27" x14ac:dyDescent="0.25">
      <c r="A2" s="21" t="s">
        <v>65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2"/>
      <c r="Y2" s="2"/>
    </row>
    <row r="3" spans="1:27" x14ac:dyDescent="0.25">
      <c r="A3" s="21" t="s">
        <v>53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2" t="s">
        <v>48</v>
      </c>
      <c r="M3" s="23"/>
      <c r="N3" s="23"/>
      <c r="O3" s="23"/>
      <c r="P3" s="23"/>
      <c r="Q3" s="24"/>
      <c r="R3" s="22" t="s">
        <v>54</v>
      </c>
      <c r="S3" s="23"/>
      <c r="T3" s="23"/>
      <c r="U3" s="23"/>
      <c r="V3" s="23"/>
      <c r="W3" s="24"/>
      <c r="X3" s="2"/>
      <c r="Y3" s="2"/>
    </row>
    <row r="4" spans="1:27" ht="98.25" customHeight="1" x14ac:dyDescent="0.25">
      <c r="A4" s="3" t="s">
        <v>1</v>
      </c>
      <c r="B4" s="4" t="s">
        <v>60</v>
      </c>
      <c r="C4" s="4" t="s">
        <v>43</v>
      </c>
      <c r="D4" s="4" t="s">
        <v>42</v>
      </c>
      <c r="E4" s="3" t="s">
        <v>68</v>
      </c>
      <c r="F4" s="4" t="s">
        <v>41</v>
      </c>
      <c r="G4" s="4" t="s">
        <v>40</v>
      </c>
      <c r="H4" s="4" t="s">
        <v>39</v>
      </c>
      <c r="I4" s="4" t="s">
        <v>38</v>
      </c>
      <c r="J4" s="3" t="s">
        <v>67</v>
      </c>
      <c r="K4" s="4" t="s">
        <v>37</v>
      </c>
      <c r="L4" s="4" t="s">
        <v>61</v>
      </c>
      <c r="M4" s="4" t="s">
        <v>62</v>
      </c>
      <c r="N4" s="4" t="s">
        <v>34</v>
      </c>
      <c r="O4" s="4" t="s">
        <v>33</v>
      </c>
      <c r="P4" s="4" t="s">
        <v>22</v>
      </c>
      <c r="Q4" s="4" t="s">
        <v>23</v>
      </c>
      <c r="R4" s="4" t="s">
        <v>64</v>
      </c>
      <c r="S4" s="4" t="s">
        <v>63</v>
      </c>
      <c r="T4" s="4" t="s">
        <v>27</v>
      </c>
      <c r="U4" s="4" t="s">
        <v>57</v>
      </c>
      <c r="V4" s="4" t="s">
        <v>16</v>
      </c>
      <c r="W4" s="4" t="s">
        <v>17</v>
      </c>
      <c r="X4" s="3" t="s">
        <v>70</v>
      </c>
      <c r="Y4" s="3" t="s">
        <v>69</v>
      </c>
    </row>
    <row r="5" spans="1:27" x14ac:dyDescent="0.25">
      <c r="A5" s="5">
        <v>2.25</v>
      </c>
      <c r="B5" s="4">
        <v>60.8</v>
      </c>
      <c r="C5" s="4">
        <v>56.7</v>
      </c>
      <c r="D5" s="4">
        <f>C5-B5</f>
        <v>-4.0999999999999943</v>
      </c>
      <c r="E5" s="6">
        <f>(B5+C5)/2</f>
        <v>58.75</v>
      </c>
      <c r="F5" s="4">
        <v>33.6</v>
      </c>
      <c r="G5" s="4">
        <v>24.6</v>
      </c>
      <c r="H5" s="4">
        <v>30.2</v>
      </c>
      <c r="I5" s="4">
        <f>H5-G5</f>
        <v>5.5999999999999979</v>
      </c>
      <c r="J5" s="4">
        <f>(G5+H5)/2</f>
        <v>27.4</v>
      </c>
      <c r="K5" s="4">
        <v>24.4</v>
      </c>
      <c r="L5" s="7">
        <f>(B5-C5)/(B5-G5)*100</f>
        <v>11.325966850828713</v>
      </c>
      <c r="M5" s="7">
        <f>(H5-G5)/(B5-G5)*100</f>
        <v>15.469613259668504</v>
      </c>
      <c r="N5" s="7">
        <v>983.28499999999997</v>
      </c>
      <c r="O5" s="7">
        <v>1.17</v>
      </c>
      <c r="P5" s="8">
        <v>4184</v>
      </c>
      <c r="Q5" s="7">
        <v>1005</v>
      </c>
      <c r="R5" s="7">
        <f>(X5*0.986)*(P5)*(D5)</f>
        <v>-623.68188394289905</v>
      </c>
      <c r="S5" s="9">
        <f>Y5*I5*Q5</f>
        <v>643.4269518479183</v>
      </c>
      <c r="T5" s="7">
        <f>(S5)/(R5)</f>
        <v>-1.0316588767661352</v>
      </c>
      <c r="U5" s="7">
        <f>(L5+M5)/2</f>
        <v>13.39779005524861</v>
      </c>
      <c r="V5" s="7">
        <f>((C5-H5)-(B5-G5))/LN((C5-H5)/(B5-G5))</f>
        <v>31.098277092579352</v>
      </c>
      <c r="W5" s="7">
        <f>(R5)/(0.1558*V5)</f>
        <v>-128.72394676581274</v>
      </c>
      <c r="X5" s="7">
        <f>(A5/60000)*N5</f>
        <v>3.6873187499999995E-2</v>
      </c>
      <c r="Y5" s="7">
        <f>(0.6)*(0.007878)*(SQRT(250*2*O5))</f>
        <v>0.11432603977397274</v>
      </c>
      <c r="Z5" s="1"/>
      <c r="AA5" s="1"/>
    </row>
    <row r="6" spans="1:27" x14ac:dyDescent="0.25">
      <c r="A6" s="5">
        <v>1.75</v>
      </c>
      <c r="B6" s="4">
        <v>61.2</v>
      </c>
      <c r="C6" s="4">
        <v>56</v>
      </c>
      <c r="D6" s="4">
        <f t="shared" ref="D6:D9" si="0">C6-B6</f>
        <v>-5.2000000000000028</v>
      </c>
      <c r="E6" s="6">
        <f t="shared" ref="E6:E9" si="1">(B6+C6)/2</f>
        <v>58.6</v>
      </c>
      <c r="F6" s="4">
        <v>34.200000000000003</v>
      </c>
      <c r="G6" s="4">
        <v>24.8</v>
      </c>
      <c r="H6" s="4">
        <v>30.1</v>
      </c>
      <c r="I6" s="4">
        <f t="shared" ref="I6:I9" si="2">H6-G6</f>
        <v>5.3000000000000007</v>
      </c>
      <c r="J6" s="4">
        <f t="shared" ref="J6:J9" si="3">(G6+H6)/2</f>
        <v>27.450000000000003</v>
      </c>
      <c r="K6" s="4">
        <v>24.6</v>
      </c>
      <c r="L6" s="7">
        <f t="shared" ref="L6:L9" si="4">(B6-C6)/(B6-G6)*100</f>
        <v>14.28571428571429</v>
      </c>
      <c r="M6" s="7">
        <f t="shared" ref="M6:M9" si="5">(H6-G6)/(B6-G6)*100</f>
        <v>14.560439560439562</v>
      </c>
      <c r="N6" s="7">
        <v>983.89499999999998</v>
      </c>
      <c r="O6" s="7">
        <v>1.17</v>
      </c>
      <c r="P6" s="8">
        <v>4184</v>
      </c>
      <c r="Q6" s="7">
        <v>1005</v>
      </c>
      <c r="R6" s="7">
        <f t="shared" ref="R6:R9" si="6">(X6*0.986)*(P6)*(D6)</f>
        <v>-615.61258038280039</v>
      </c>
      <c r="S6" s="9">
        <f t="shared" ref="S6:S9" si="7">Y6*I6*Q6</f>
        <v>608.95765085606592</v>
      </c>
      <c r="T6" s="7">
        <f t="shared" ref="T6:T9" si="8">(S6)/(R6)</f>
        <v>-0.98918974410400073</v>
      </c>
      <c r="U6" s="7">
        <f t="shared" ref="U6:U9" si="9">(L6+M6)/2</f>
        <v>14.423076923076927</v>
      </c>
      <c r="V6" s="7">
        <f t="shared" ref="V6:V9" si="10">((C6-H6)-(B6-G6))/LN((C6-H6)/(B6-G6))</f>
        <v>30.852788171865708</v>
      </c>
      <c r="W6" s="7">
        <f t="shared" ref="W6:W9" si="11">(R6)/(0.1558*V6)</f>
        <v>-128.06947097246635</v>
      </c>
      <c r="X6" s="7">
        <f t="shared" ref="X6:X9" si="12">(A6/60000)*N6</f>
        <v>2.8696937499999998E-2</v>
      </c>
      <c r="Y6" s="7">
        <f t="shared" ref="Y6:Y9" si="13">(0.6)*(0.007878)*(SQRT(250*2*O6))</f>
        <v>0.11432603977397274</v>
      </c>
    </row>
    <row r="7" spans="1:27" x14ac:dyDescent="0.25">
      <c r="A7" s="5">
        <v>1.25</v>
      </c>
      <c r="B7" s="4">
        <v>60.6</v>
      </c>
      <c r="C7" s="4">
        <v>53.8</v>
      </c>
      <c r="D7" s="4">
        <f t="shared" si="0"/>
        <v>-6.8000000000000043</v>
      </c>
      <c r="E7" s="6">
        <f t="shared" si="1"/>
        <v>57.2</v>
      </c>
      <c r="F7" s="4">
        <v>34.6</v>
      </c>
      <c r="G7" s="4">
        <v>24.9</v>
      </c>
      <c r="H7" s="4">
        <v>30</v>
      </c>
      <c r="I7" s="4">
        <f t="shared" si="2"/>
        <v>5.1000000000000014</v>
      </c>
      <c r="J7" s="4">
        <f t="shared" si="3"/>
        <v>27.45</v>
      </c>
      <c r="K7" s="4">
        <v>24.9</v>
      </c>
      <c r="L7" s="7">
        <f t="shared" si="4"/>
        <v>19.047619047619058</v>
      </c>
      <c r="M7" s="7">
        <f t="shared" si="5"/>
        <v>14.285714285714288</v>
      </c>
      <c r="N7" s="7">
        <v>984.59799999999996</v>
      </c>
      <c r="O7" s="7">
        <v>1.17</v>
      </c>
      <c r="P7" s="8">
        <v>4184</v>
      </c>
      <c r="Q7" s="7">
        <v>1005</v>
      </c>
      <c r="R7" s="7">
        <f t="shared" si="6"/>
        <v>-575.43359776986688</v>
      </c>
      <c r="S7" s="9">
        <f t="shared" si="7"/>
        <v>585.97811686149737</v>
      </c>
      <c r="T7" s="7">
        <f t="shared" si="8"/>
        <v>-1.0183244758952146</v>
      </c>
      <c r="U7" s="7">
        <f t="shared" si="9"/>
        <v>16.666666666666671</v>
      </c>
      <c r="V7" s="7">
        <f t="shared" si="10"/>
        <v>29.349011202279534</v>
      </c>
      <c r="W7" s="7">
        <f t="shared" si="11"/>
        <v>-125.84451404452437</v>
      </c>
      <c r="X7" s="7">
        <f t="shared" si="12"/>
        <v>2.051245833333333E-2</v>
      </c>
      <c r="Y7" s="7">
        <f t="shared" si="13"/>
        <v>0.11432603977397274</v>
      </c>
    </row>
    <row r="8" spans="1:27" x14ac:dyDescent="0.25">
      <c r="A8" s="5">
        <v>0.75</v>
      </c>
      <c r="B8" s="4">
        <v>59.9</v>
      </c>
      <c r="C8" s="4">
        <v>49.7</v>
      </c>
      <c r="D8" s="4">
        <f t="shared" si="0"/>
        <v>-10.199999999999996</v>
      </c>
      <c r="E8" s="6">
        <f t="shared" si="1"/>
        <v>54.8</v>
      </c>
      <c r="F8" s="4">
        <v>34.799999999999997</v>
      </c>
      <c r="G8" s="4">
        <v>24.7</v>
      </c>
      <c r="H8" s="4">
        <v>29.3</v>
      </c>
      <c r="I8" s="4">
        <f t="shared" si="2"/>
        <v>4.6000000000000014</v>
      </c>
      <c r="J8" s="4">
        <f t="shared" si="3"/>
        <v>27</v>
      </c>
      <c r="K8" s="4">
        <v>24.5</v>
      </c>
      <c r="L8" s="7">
        <f t="shared" si="4"/>
        <v>28.977272727272712</v>
      </c>
      <c r="M8" s="7">
        <f t="shared" si="5"/>
        <v>13.06818181818182</v>
      </c>
      <c r="N8" s="7">
        <v>985.77499999999998</v>
      </c>
      <c r="O8" s="7">
        <v>1.17</v>
      </c>
      <c r="P8" s="8">
        <v>4184</v>
      </c>
      <c r="Q8" s="7">
        <v>1005</v>
      </c>
      <c r="R8" s="7">
        <f t="shared" si="6"/>
        <v>-518.50933005899969</v>
      </c>
      <c r="S8" s="9">
        <f t="shared" si="7"/>
        <v>528.52928187507609</v>
      </c>
      <c r="T8" s="7">
        <f t="shared" si="8"/>
        <v>-1.019324535230516</v>
      </c>
      <c r="U8" s="7">
        <f t="shared" si="9"/>
        <v>21.022727272727266</v>
      </c>
      <c r="V8" s="7">
        <f t="shared" si="10"/>
        <v>27.130516284590747</v>
      </c>
      <c r="W8" s="7">
        <f t="shared" si="11"/>
        <v>-122.66793766735672</v>
      </c>
      <c r="X8" s="7">
        <f t="shared" si="12"/>
        <v>1.23221875E-2</v>
      </c>
      <c r="Y8" s="7">
        <f t="shared" si="13"/>
        <v>0.11432603977397274</v>
      </c>
    </row>
    <row r="9" spans="1:27" x14ac:dyDescent="0.25">
      <c r="A9" s="5">
        <v>0.25</v>
      </c>
      <c r="B9" s="4">
        <v>61</v>
      </c>
      <c r="C9" s="4">
        <v>37.9</v>
      </c>
      <c r="D9" s="4">
        <f t="shared" si="0"/>
        <v>-23.1</v>
      </c>
      <c r="E9" s="6">
        <f t="shared" si="1"/>
        <v>49.45</v>
      </c>
      <c r="F9" s="4">
        <v>34.9</v>
      </c>
      <c r="G9" s="4">
        <v>24.5</v>
      </c>
      <c r="H9" s="4">
        <v>27.9</v>
      </c>
      <c r="I9" s="4">
        <f t="shared" si="2"/>
        <v>3.3999999999999986</v>
      </c>
      <c r="J9" s="4">
        <f t="shared" si="3"/>
        <v>26.2</v>
      </c>
      <c r="K9" s="4">
        <v>24.2</v>
      </c>
      <c r="L9" s="7">
        <f t="shared" si="4"/>
        <v>63.287671232876718</v>
      </c>
      <c r="M9" s="7">
        <f t="shared" si="5"/>
        <v>9.3150684931506813</v>
      </c>
      <c r="N9" s="7">
        <v>988.26900000000001</v>
      </c>
      <c r="O9" s="7">
        <v>1.17</v>
      </c>
      <c r="P9" s="8">
        <v>4184</v>
      </c>
      <c r="Q9" s="7">
        <v>1005</v>
      </c>
      <c r="R9" s="7">
        <f t="shared" si="6"/>
        <v>-392.41400766414</v>
      </c>
      <c r="S9" s="9">
        <f t="shared" si="7"/>
        <v>390.6520779076647</v>
      </c>
      <c r="T9" s="7">
        <f t="shared" si="8"/>
        <v>-0.9955100232864692</v>
      </c>
      <c r="U9" s="7">
        <f t="shared" si="9"/>
        <v>36.301369863013697</v>
      </c>
      <c r="V9" s="7">
        <f t="shared" si="10"/>
        <v>20.467632612697031</v>
      </c>
      <c r="W9" s="7">
        <f t="shared" si="11"/>
        <v>-123.0578818193037</v>
      </c>
      <c r="X9" s="7">
        <f t="shared" si="12"/>
        <v>4.1177875000000001E-3</v>
      </c>
      <c r="Y9" s="7">
        <f t="shared" si="13"/>
        <v>0.11432603977397274</v>
      </c>
    </row>
    <row r="12" spans="1:27" x14ac:dyDescent="0.25">
      <c r="L12" s="11" t="str">
        <f t="shared" ref="L12:M17" si="14">L4</f>
        <v>η_W (%)</v>
      </c>
      <c r="M12" s="11" t="str">
        <f t="shared" si="14"/>
        <v>η_A (%)</v>
      </c>
      <c r="N12" s="11" t="str">
        <f t="shared" ref="N12:N17" si="15">U4</f>
        <v>ñ (%)</v>
      </c>
      <c r="O12" s="11" t="str">
        <f t="shared" ref="O12:O17" si="16">T13</f>
        <v>M_w (Kg/s.m³)</v>
      </c>
    </row>
    <row r="13" spans="1:27" x14ac:dyDescent="0.25">
      <c r="L13" s="11">
        <f t="shared" si="14"/>
        <v>11.325966850828713</v>
      </c>
      <c r="M13" s="11">
        <f t="shared" si="14"/>
        <v>15.469613259668504</v>
      </c>
      <c r="N13" s="11">
        <f t="shared" si="15"/>
        <v>13.39779005524861</v>
      </c>
      <c r="O13" s="13">
        <f t="shared" si="16"/>
        <v>3.6873187499999995E-2</v>
      </c>
      <c r="R13" s="10" t="s">
        <v>71</v>
      </c>
      <c r="S13" s="10" t="s">
        <v>72</v>
      </c>
      <c r="T13" s="11" t="s">
        <v>70</v>
      </c>
    </row>
    <row r="14" spans="1:27" x14ac:dyDescent="0.25">
      <c r="E14" s="13" t="str">
        <f>W4</f>
        <v>U</v>
      </c>
      <c r="F14" s="11" t="str">
        <f t="shared" ref="F14:F19" si="17">O20</f>
        <v>M_w (Kg/s.m³)</v>
      </c>
      <c r="L14" s="11">
        <f t="shared" si="14"/>
        <v>14.28571428571429</v>
      </c>
      <c r="M14" s="11">
        <f t="shared" si="14"/>
        <v>14.560439560439562</v>
      </c>
      <c r="N14" s="11">
        <f t="shared" si="15"/>
        <v>14.423076923076927</v>
      </c>
      <c r="O14" s="13">
        <f t="shared" si="16"/>
        <v>2.8696937499999998E-2</v>
      </c>
      <c r="R14" s="7">
        <v>623.68188394289905</v>
      </c>
      <c r="S14" s="9">
        <v>643.4269518479183</v>
      </c>
      <c r="T14" s="7">
        <f t="shared" ref="T14:T18" si="18">X5</f>
        <v>3.6873187499999995E-2</v>
      </c>
    </row>
    <row r="15" spans="1:27" x14ac:dyDescent="0.25">
      <c r="E15" s="11">
        <v>123.05800000000001</v>
      </c>
      <c r="F15" s="11">
        <f t="shared" si="17"/>
        <v>4.0000000000000001E-3</v>
      </c>
      <c r="L15" s="11">
        <f t="shared" si="14"/>
        <v>19.047619047619058</v>
      </c>
      <c r="M15" s="11">
        <f t="shared" si="14"/>
        <v>14.285714285714288</v>
      </c>
      <c r="N15" s="11">
        <f t="shared" si="15"/>
        <v>16.666666666666671</v>
      </c>
      <c r="O15" s="13">
        <f t="shared" si="16"/>
        <v>2.051245833333333E-2</v>
      </c>
      <c r="R15" s="7">
        <v>615.61258038280005</v>
      </c>
      <c r="S15" s="9">
        <v>608.95765085606592</v>
      </c>
      <c r="T15" s="7">
        <f t="shared" si="18"/>
        <v>2.8696937499999998E-2</v>
      </c>
    </row>
    <row r="16" spans="1:27" x14ac:dyDescent="0.25">
      <c r="E16" s="11">
        <v>122.66800000000001</v>
      </c>
      <c r="F16" s="11">
        <f t="shared" si="17"/>
        <v>1.2E-2</v>
      </c>
      <c r="L16" s="11">
        <f t="shared" si="14"/>
        <v>28.977272727272712</v>
      </c>
      <c r="M16" s="11">
        <f t="shared" si="14"/>
        <v>13.06818181818182</v>
      </c>
      <c r="N16" s="11">
        <f t="shared" si="15"/>
        <v>21.022727272727266</v>
      </c>
      <c r="O16" s="13">
        <f t="shared" si="16"/>
        <v>1.23221875E-2</v>
      </c>
      <c r="R16" s="7">
        <v>575.43359776986699</v>
      </c>
      <c r="S16" s="9">
        <v>585.97811686149737</v>
      </c>
      <c r="T16" s="7">
        <f t="shared" si="18"/>
        <v>2.051245833333333E-2</v>
      </c>
    </row>
    <row r="17" spans="5:20" x14ac:dyDescent="0.25">
      <c r="E17" s="11">
        <v>125.845</v>
      </c>
      <c r="F17" s="11">
        <f t="shared" si="17"/>
        <v>2.1000000000000001E-2</v>
      </c>
      <c r="L17" s="11">
        <f t="shared" si="14"/>
        <v>63.287671232876718</v>
      </c>
      <c r="M17" s="11">
        <f t="shared" si="14"/>
        <v>9.3150684931506813</v>
      </c>
      <c r="N17" s="11">
        <f t="shared" si="15"/>
        <v>36.301369863013697</v>
      </c>
      <c r="O17" s="13">
        <f t="shared" si="16"/>
        <v>4.1177875000000001E-3</v>
      </c>
      <c r="R17" s="7">
        <v>518.50933005900004</v>
      </c>
      <c r="S17" s="9">
        <v>528.52928187507609</v>
      </c>
      <c r="T17" s="7">
        <f t="shared" si="18"/>
        <v>1.23221875E-2</v>
      </c>
    </row>
    <row r="18" spans="5:20" x14ac:dyDescent="0.25">
      <c r="E18" s="11">
        <v>128.06899999999999</v>
      </c>
      <c r="F18" s="11">
        <f t="shared" si="17"/>
        <v>2.9000000000000001E-2</v>
      </c>
      <c r="R18" s="7">
        <v>392.41400766414</v>
      </c>
      <c r="S18" s="9">
        <v>390.6520779076647</v>
      </c>
      <c r="T18" s="7">
        <f t="shared" si="18"/>
        <v>4.1177875000000001E-3</v>
      </c>
    </row>
    <row r="19" spans="5:20" x14ac:dyDescent="0.25">
      <c r="E19" s="11">
        <v>128.72399999999999</v>
      </c>
      <c r="F19" s="11">
        <f t="shared" si="17"/>
        <v>3.6999999999999998E-2</v>
      </c>
    </row>
    <row r="20" spans="5:20" x14ac:dyDescent="0.25">
      <c r="L20" s="11" t="str">
        <f t="shared" ref="L20:M20" si="19">L12</f>
        <v>η_W (%)</v>
      </c>
      <c r="M20" s="11" t="str">
        <f t="shared" si="19"/>
        <v>η_A (%)</v>
      </c>
      <c r="N20" s="14" t="str">
        <f>$N$12</f>
        <v>ñ (%)</v>
      </c>
      <c r="O20" s="11" t="str">
        <f t="shared" ref="O20:O25" si="20">T20</f>
        <v>M_w (Kg/s.m³)</v>
      </c>
      <c r="R20" s="10" t="s">
        <v>71</v>
      </c>
      <c r="S20" s="10" t="s">
        <v>72</v>
      </c>
      <c r="T20" s="11" t="s">
        <v>70</v>
      </c>
    </row>
    <row r="21" spans="5:20" x14ac:dyDescent="0.25">
      <c r="L21" s="11">
        <v>63.286999999999999</v>
      </c>
      <c r="M21" s="11">
        <v>9.3149999999999995</v>
      </c>
      <c r="N21" s="11">
        <v>36.301000000000002</v>
      </c>
      <c r="O21" s="11">
        <f t="shared" si="20"/>
        <v>4.0000000000000001E-3</v>
      </c>
      <c r="R21" s="7">
        <v>392.41400766414</v>
      </c>
      <c r="S21" s="9">
        <v>390.6520779076647</v>
      </c>
      <c r="T21" s="4">
        <v>4.0000000000000001E-3</v>
      </c>
    </row>
    <row r="22" spans="5:20" x14ac:dyDescent="0.25">
      <c r="E22" s="12">
        <f>W5</f>
        <v>-128.72394676581274</v>
      </c>
      <c r="L22" s="11">
        <v>28.977</v>
      </c>
      <c r="M22" s="11">
        <v>13.068</v>
      </c>
      <c r="N22" s="11">
        <v>21.023</v>
      </c>
      <c r="O22" s="11">
        <f t="shared" si="20"/>
        <v>1.2E-2</v>
      </c>
      <c r="R22" s="7">
        <v>518.50933005900004</v>
      </c>
      <c r="S22" s="9">
        <v>528.52928187507609</v>
      </c>
      <c r="T22" s="4">
        <v>1.2E-2</v>
      </c>
    </row>
    <row r="23" spans="5:20" x14ac:dyDescent="0.25">
      <c r="E23" s="12">
        <f>W6</f>
        <v>-128.06947097246635</v>
      </c>
      <c r="L23" s="11">
        <v>19.047000000000001</v>
      </c>
      <c r="M23" s="11">
        <v>14.285</v>
      </c>
      <c r="N23" s="11">
        <v>16.667000000000002</v>
      </c>
      <c r="O23" s="11">
        <f t="shared" si="20"/>
        <v>2.1000000000000001E-2</v>
      </c>
      <c r="R23" s="7">
        <v>575.43359776986699</v>
      </c>
      <c r="S23" s="9">
        <v>585.97811686149737</v>
      </c>
      <c r="T23" s="4">
        <v>2.1000000000000001E-2</v>
      </c>
    </row>
    <row r="24" spans="5:20" x14ac:dyDescent="0.25">
      <c r="E24" s="12">
        <f>W7</f>
        <v>-125.84451404452437</v>
      </c>
      <c r="L24" s="11">
        <v>14.285</v>
      </c>
      <c r="M24" s="11">
        <v>14.56</v>
      </c>
      <c r="N24" s="11">
        <v>14.423</v>
      </c>
      <c r="O24" s="11">
        <f t="shared" si="20"/>
        <v>2.9000000000000001E-2</v>
      </c>
      <c r="R24" s="7">
        <v>615.61258038280005</v>
      </c>
      <c r="S24" s="9">
        <v>608.95765085606592</v>
      </c>
      <c r="T24" s="4">
        <v>2.9000000000000001E-2</v>
      </c>
    </row>
    <row r="25" spans="5:20" x14ac:dyDescent="0.25">
      <c r="E25" s="12">
        <f>W8</f>
        <v>-122.66793766735672</v>
      </c>
      <c r="L25" s="11">
        <v>11.324999999999999</v>
      </c>
      <c r="M25" s="11">
        <v>15.468999999999999</v>
      </c>
      <c r="N25" s="11">
        <v>13.398</v>
      </c>
      <c r="O25" s="11">
        <f t="shared" si="20"/>
        <v>3.6999999999999998E-2</v>
      </c>
      <c r="R25" s="7">
        <v>623.68188394289905</v>
      </c>
      <c r="S25" s="9">
        <v>643.4269518479183</v>
      </c>
      <c r="T25" s="4">
        <v>3.6999999999999998E-2</v>
      </c>
    </row>
    <row r="26" spans="5:20" x14ac:dyDescent="0.25">
      <c r="E26" s="12">
        <f>W9</f>
        <v>-123.0578818193037</v>
      </c>
    </row>
  </sheetData>
  <mergeCells count="6">
    <mergeCell ref="L1:W2"/>
    <mergeCell ref="A1:K1"/>
    <mergeCell ref="A2:K2"/>
    <mergeCell ref="A3:K3"/>
    <mergeCell ref="R3:W3"/>
    <mergeCell ref="L3:Q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31"/>
  <sheetViews>
    <sheetView topLeftCell="A4" zoomScale="70" zoomScaleNormal="70" workbookViewId="0">
      <selection activeCell="Q36" sqref="Q36"/>
    </sheetView>
  </sheetViews>
  <sheetFormatPr defaultRowHeight="15" x14ac:dyDescent="0.25"/>
  <cols>
    <col min="1" max="1" width="5.42578125" bestFit="1" customWidth="1"/>
    <col min="2" max="3" width="6.42578125" bestFit="1" customWidth="1"/>
    <col min="4" max="4" width="7.42578125" bestFit="1" customWidth="1"/>
    <col min="5" max="5" width="7.5703125" bestFit="1" customWidth="1"/>
    <col min="6" max="8" width="6.42578125" bestFit="1" customWidth="1"/>
    <col min="9" max="9" width="5.42578125" bestFit="1" customWidth="1"/>
    <col min="10" max="10" width="7.42578125" customWidth="1"/>
    <col min="11" max="11" width="6.42578125" bestFit="1" customWidth="1"/>
    <col min="12" max="12" width="7" bestFit="1" customWidth="1"/>
    <col min="13" max="13" width="6.5703125" bestFit="1" customWidth="1"/>
    <col min="14" max="14" width="8.28515625" bestFit="1" customWidth="1"/>
    <col min="15" max="15" width="6.42578125" bestFit="1" customWidth="1"/>
    <col min="16" max="16" width="8.5703125" customWidth="1"/>
    <col min="17" max="17" width="6.42578125" bestFit="1" customWidth="1"/>
    <col min="18" max="18" width="13" bestFit="1" customWidth="1"/>
    <col min="19" max="19" width="10.28515625" customWidth="1"/>
    <col min="20" max="20" width="8.5703125" customWidth="1"/>
    <col min="21" max="22" width="7" bestFit="1" customWidth="1"/>
    <col min="23" max="23" width="14.85546875" customWidth="1"/>
    <col min="24" max="24" width="10.85546875" bestFit="1" customWidth="1"/>
    <col min="25" max="25" width="9.28515625" bestFit="1" customWidth="1"/>
  </cols>
  <sheetData>
    <row r="1" spans="1:29" x14ac:dyDescent="0.25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9" t="s">
        <v>45</v>
      </c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2"/>
      <c r="Y1" s="2"/>
    </row>
    <row r="2" spans="1:29" x14ac:dyDescent="0.25">
      <c r="A2" s="21" t="s">
        <v>46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2"/>
      <c r="Y2" s="2"/>
    </row>
    <row r="3" spans="1:29" x14ac:dyDescent="0.25">
      <c r="A3" s="21" t="s">
        <v>47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2"/>
      <c r="Y3" s="2"/>
    </row>
    <row r="4" spans="1:29" x14ac:dyDescent="0.25">
      <c r="A4" s="21" t="s">
        <v>65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19" t="s">
        <v>48</v>
      </c>
      <c r="M4" s="19"/>
      <c r="N4" s="19"/>
      <c r="O4" s="19"/>
      <c r="P4" s="19"/>
      <c r="Q4" s="19"/>
      <c r="R4" s="19"/>
      <c r="S4" s="25" t="s">
        <v>51</v>
      </c>
      <c r="T4" s="25"/>
      <c r="U4" s="25"/>
      <c r="V4" s="25"/>
      <c r="W4" s="26"/>
      <c r="X4" s="2"/>
      <c r="Y4" s="2"/>
    </row>
    <row r="5" spans="1:29" x14ac:dyDescent="0.25">
      <c r="A5" s="21" t="s">
        <v>50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19"/>
      <c r="M5" s="19"/>
      <c r="N5" s="19"/>
      <c r="O5" s="19"/>
      <c r="P5" s="19"/>
      <c r="Q5" s="19"/>
      <c r="R5" s="19"/>
      <c r="S5" s="27"/>
      <c r="T5" s="27"/>
      <c r="U5" s="27"/>
      <c r="V5" s="27"/>
      <c r="W5" s="28"/>
      <c r="X5" s="2"/>
      <c r="Y5" s="2"/>
    </row>
    <row r="6" spans="1:29" ht="84.75" x14ac:dyDescent="0.25">
      <c r="A6" s="3" t="s">
        <v>1</v>
      </c>
      <c r="B6" s="4" t="s">
        <v>2</v>
      </c>
      <c r="C6" s="4" t="s">
        <v>3</v>
      </c>
      <c r="D6" s="4" t="s">
        <v>4</v>
      </c>
      <c r="E6" s="3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3" t="s">
        <v>10</v>
      </c>
      <c r="K6" s="4" t="s">
        <v>11</v>
      </c>
      <c r="L6" s="4" t="s">
        <v>55</v>
      </c>
      <c r="M6" s="4" t="s">
        <v>56</v>
      </c>
      <c r="N6" s="3" t="s">
        <v>58</v>
      </c>
      <c r="O6" s="3" t="s">
        <v>59</v>
      </c>
      <c r="P6" s="4" t="s">
        <v>12</v>
      </c>
      <c r="Q6" s="4" t="s">
        <v>13</v>
      </c>
      <c r="R6" s="4" t="s">
        <v>26</v>
      </c>
      <c r="S6" s="4" t="s">
        <v>24</v>
      </c>
      <c r="T6" s="4" t="s">
        <v>14</v>
      </c>
      <c r="U6" s="4" t="s">
        <v>57</v>
      </c>
      <c r="V6" s="4" t="s">
        <v>16</v>
      </c>
      <c r="W6" s="4" t="s">
        <v>17</v>
      </c>
      <c r="X6" s="4" t="s">
        <v>25</v>
      </c>
      <c r="Y6" s="4" t="s">
        <v>20</v>
      </c>
    </row>
    <row r="7" spans="1:29" x14ac:dyDescent="0.25">
      <c r="A7" s="5">
        <v>250</v>
      </c>
      <c r="B7" s="4">
        <v>57.1</v>
      </c>
      <c r="C7" s="4">
        <v>35.799999999999997</v>
      </c>
      <c r="D7" s="4">
        <f>C7-B7</f>
        <v>-21.300000000000004</v>
      </c>
      <c r="E7" s="4">
        <f>(B7+C7)/2</f>
        <v>46.45</v>
      </c>
      <c r="F7" s="4">
        <v>31.2</v>
      </c>
      <c r="G7" s="4">
        <v>23.8</v>
      </c>
      <c r="H7" s="4">
        <v>26.8</v>
      </c>
      <c r="I7" s="4">
        <f>H7-G7</f>
        <v>3</v>
      </c>
      <c r="J7" s="4">
        <f>(G7+H7)/2</f>
        <v>25.3</v>
      </c>
      <c r="K7" s="4">
        <v>23.7</v>
      </c>
      <c r="L7" s="6">
        <f>(B7-C7)/(B7-G7)*100</f>
        <v>63.963963963963977</v>
      </c>
      <c r="M7" s="6">
        <f>(H7-G7)/(B7-G7)*100</f>
        <v>9.0090090090090094</v>
      </c>
      <c r="N7" s="6">
        <f>(999.839+16.952*E7-7.99*10^-3*E7^2-46.241*10^-6*E7^3+105.846*10^-9*E7^4-281.03*10^-12*E7^5)/(1+16.887*10^-3*E7)</f>
        <v>989.58567928616128</v>
      </c>
      <c r="O7" s="4">
        <v>1.1200000000000001</v>
      </c>
      <c r="P7" s="4">
        <v>4179</v>
      </c>
      <c r="Q7" s="4">
        <v>1005</v>
      </c>
      <c r="R7" s="6">
        <f>(X7*0.991)*(P7)*(D7)</f>
        <v>-363.72050814934977</v>
      </c>
      <c r="S7" s="6">
        <f>(Y7)*(Q7)*(I7)</f>
        <v>337.24735858018852</v>
      </c>
      <c r="T7" s="6">
        <f>(S7)/(R7)</f>
        <v>-0.92721568078781269</v>
      </c>
      <c r="U7" s="6">
        <f>(L7+M7)/2</f>
        <v>36.486486486486491</v>
      </c>
      <c r="V7" s="6">
        <f>((C7-H7)-(B7-G7))/LN((C7-H7)/(B7-G7))</f>
        <v>18.573255699950501</v>
      </c>
      <c r="W7" s="6">
        <f>(R7)/(0.1558*V7)</f>
        <v>-125.69334907358139</v>
      </c>
      <c r="X7" s="7">
        <f>0.25/60000*N7</f>
        <v>4.1232736636923391E-3</v>
      </c>
      <c r="Y7" s="7">
        <f>(0.6)*(0.007878)*(SQRT(250*2*O7))</f>
        <v>0.11185650367502106</v>
      </c>
    </row>
    <row r="8" spans="1:29" x14ac:dyDescent="0.25">
      <c r="A8" s="5">
        <v>200</v>
      </c>
      <c r="B8" s="4">
        <v>57.1</v>
      </c>
      <c r="C8" s="4">
        <v>37</v>
      </c>
      <c r="D8" s="4">
        <f t="shared" ref="D8:D11" si="0">C8-B8</f>
        <v>-20.100000000000001</v>
      </c>
      <c r="E8" s="4">
        <f t="shared" ref="E8:E11" si="1">(B8+C8)/2</f>
        <v>47.05</v>
      </c>
      <c r="F8" s="4">
        <v>31.7</v>
      </c>
      <c r="G8" s="4">
        <v>24</v>
      </c>
      <c r="H8" s="4">
        <v>27.2</v>
      </c>
      <c r="I8" s="4">
        <f t="shared" ref="I8:I11" si="2">H8-G8</f>
        <v>3.1999999999999993</v>
      </c>
      <c r="J8" s="4">
        <f t="shared" ref="J8:J11" si="3">(G8+H8)/2</f>
        <v>25.6</v>
      </c>
      <c r="K8" s="4">
        <v>23.7</v>
      </c>
      <c r="L8" s="6">
        <f t="shared" ref="L8:L11" si="4">(B8-C8)/(B8-G8)*100</f>
        <v>60.725075528700913</v>
      </c>
      <c r="M8" s="6">
        <f t="shared" ref="M8:M11" si="5">(H8-G8)/(B8-G8)*100</f>
        <v>9.6676737160120823</v>
      </c>
      <c r="N8" s="6">
        <f t="shared" ref="N8:N11" si="6">(999.839+16.952*E8-7.99*10^-3*E8^2-46.241*10^-6*E8^3+105.846*10^-9*E8^4-281.03*10^-12*E8^5)/(1+16.887*10^-3*E8)</f>
        <v>989.32728060131876</v>
      </c>
      <c r="O8" s="4">
        <v>1.1200000000000001</v>
      </c>
      <c r="P8" s="4">
        <v>4179</v>
      </c>
      <c r="Q8" s="4">
        <v>1005</v>
      </c>
      <c r="R8" s="6">
        <f t="shared" ref="R8:R11" si="7">(X8*0.991)*(P8)*(D8)</f>
        <v>-343.13958857238561</v>
      </c>
      <c r="S8" s="6">
        <f t="shared" ref="S8:S11" si="8">(Y8)*(Q8)*(I8)</f>
        <v>321.75275478082057</v>
      </c>
      <c r="T8" s="6">
        <f t="shared" ref="T8:T11" si="9">(S8)/(R8)</f>
        <v>-0.93767307969172586</v>
      </c>
      <c r="U8" s="6">
        <f t="shared" ref="U8:U11" si="10">(L8+M8)/2</f>
        <v>35.196374622356501</v>
      </c>
      <c r="V8" s="6">
        <f t="shared" ref="V8:V11" si="11">((C8-H8)-(B8-G8))/LN((C8-H8)/(B8-G8))</f>
        <v>19.14306604304188</v>
      </c>
      <c r="W8" s="6">
        <f t="shared" ref="W8:W11" si="12">(R8)/(0.1558*V8)</f>
        <v>-115.05139138611058</v>
      </c>
      <c r="X8" s="7">
        <f t="shared" ref="X8:X11" si="13">0.25/60000*N8</f>
        <v>4.1221970025054951E-3</v>
      </c>
      <c r="Y8" s="7">
        <f>(0.6)*(0.007878)*(SQRT(200*2*O8))</f>
        <v>0.10004749837712085</v>
      </c>
    </row>
    <row r="9" spans="1:29" x14ac:dyDescent="0.25">
      <c r="A9" s="5">
        <v>150</v>
      </c>
      <c r="B9" s="4">
        <v>57.7</v>
      </c>
      <c r="C9" s="4">
        <v>37.9</v>
      </c>
      <c r="D9" s="4">
        <f t="shared" si="0"/>
        <v>-19.800000000000004</v>
      </c>
      <c r="E9" s="4">
        <f t="shared" si="1"/>
        <v>47.8</v>
      </c>
      <c r="F9" s="4">
        <v>32.1</v>
      </c>
      <c r="G9" s="4">
        <v>24.1</v>
      </c>
      <c r="H9" s="4">
        <v>27.5</v>
      </c>
      <c r="I9" s="4">
        <f t="shared" si="2"/>
        <v>3.3999999999999986</v>
      </c>
      <c r="J9" s="4">
        <f t="shared" si="3"/>
        <v>25.8</v>
      </c>
      <c r="K9" s="4">
        <v>23.5</v>
      </c>
      <c r="L9" s="6">
        <f t="shared" si="4"/>
        <v>58.928571428571445</v>
      </c>
      <c r="M9" s="6">
        <f t="shared" si="5"/>
        <v>10.119047619047615</v>
      </c>
      <c r="N9" s="6">
        <f t="shared" si="6"/>
        <v>989.00084450180384</v>
      </c>
      <c r="O9" s="4">
        <v>1.1200000000000001</v>
      </c>
      <c r="P9" s="4">
        <v>4179</v>
      </c>
      <c r="Q9" s="4">
        <v>1005</v>
      </c>
      <c r="R9" s="6">
        <f t="shared" si="7"/>
        <v>-337.90657051886478</v>
      </c>
      <c r="S9" s="6">
        <f t="shared" si="8"/>
        <v>296.06143808892909</v>
      </c>
      <c r="T9" s="6">
        <f t="shared" si="9"/>
        <v>-0.87616360236593993</v>
      </c>
      <c r="U9" s="6">
        <f t="shared" si="10"/>
        <v>34.523809523809533</v>
      </c>
      <c r="V9" s="6">
        <f t="shared" si="11"/>
        <v>19.783064022226114</v>
      </c>
      <c r="W9" s="6">
        <f t="shared" si="12"/>
        <v>-109.63156829940401</v>
      </c>
      <c r="X9" s="7">
        <f t="shared" si="13"/>
        <v>4.1208368520908494E-3</v>
      </c>
      <c r="Y9" s="7">
        <f>(0.6)*(0.007878)*(SQRT(150*2*O9))</f>
        <v>8.6643675179669061E-2</v>
      </c>
    </row>
    <row r="10" spans="1:29" x14ac:dyDescent="0.25">
      <c r="A10" s="5">
        <v>100</v>
      </c>
      <c r="B10" s="4">
        <v>58.1</v>
      </c>
      <c r="C10" s="4">
        <v>39.200000000000003</v>
      </c>
      <c r="D10" s="4">
        <f t="shared" si="0"/>
        <v>-18.899999999999999</v>
      </c>
      <c r="E10" s="4">
        <f t="shared" si="1"/>
        <v>48.650000000000006</v>
      </c>
      <c r="F10" s="4">
        <v>32.5</v>
      </c>
      <c r="G10" s="4">
        <v>24.6</v>
      </c>
      <c r="H10" s="4">
        <v>28.3</v>
      </c>
      <c r="I10" s="4">
        <f t="shared" si="2"/>
        <v>3.6999999999999993</v>
      </c>
      <c r="J10" s="4">
        <f t="shared" si="3"/>
        <v>26.450000000000003</v>
      </c>
      <c r="K10" s="4">
        <v>23.8</v>
      </c>
      <c r="L10" s="6">
        <f t="shared" si="4"/>
        <v>56.417910447761187</v>
      </c>
      <c r="M10" s="6">
        <f t="shared" si="5"/>
        <v>11.044776119402982</v>
      </c>
      <c r="N10" s="6">
        <f t="shared" si="6"/>
        <v>988.62630681710698</v>
      </c>
      <c r="O10" s="4">
        <v>1.1200000000000001</v>
      </c>
      <c r="P10" s="4">
        <v>4179</v>
      </c>
      <c r="Q10" s="4">
        <v>1005</v>
      </c>
      <c r="R10" s="6">
        <f t="shared" si="7"/>
        <v>-322.4250313328356</v>
      </c>
      <c r="S10" s="6">
        <f t="shared" si="8"/>
        <v>263.06254770393474</v>
      </c>
      <c r="T10" s="6">
        <f t="shared" si="9"/>
        <v>-0.81588748434478198</v>
      </c>
      <c r="U10" s="6">
        <f t="shared" si="10"/>
        <v>33.731343283582085</v>
      </c>
      <c r="V10" s="6">
        <f t="shared" si="11"/>
        <v>20.128561844212232</v>
      </c>
      <c r="W10" s="6">
        <f t="shared" si="12"/>
        <v>-102.81312295543684</v>
      </c>
      <c r="X10" s="7">
        <f t="shared" si="13"/>
        <v>4.1192762784046126E-3</v>
      </c>
      <c r="Y10" s="7">
        <f>(0.6)*(0.007878)*(SQRT(100*2*O10))</f>
        <v>7.0744264543212268E-2</v>
      </c>
    </row>
    <row r="11" spans="1:29" x14ac:dyDescent="0.25">
      <c r="A11" s="5">
        <v>50</v>
      </c>
      <c r="B11" s="4">
        <v>59.5</v>
      </c>
      <c r="C11" s="4">
        <v>41.3</v>
      </c>
      <c r="D11" s="4">
        <f t="shared" si="0"/>
        <v>-18.200000000000003</v>
      </c>
      <c r="E11" s="4">
        <f t="shared" si="1"/>
        <v>50.4</v>
      </c>
      <c r="F11" s="4">
        <v>32.6</v>
      </c>
      <c r="G11" s="4">
        <v>25.3</v>
      </c>
      <c r="H11" s="4">
        <v>29.7</v>
      </c>
      <c r="I11" s="4">
        <f t="shared" si="2"/>
        <v>4.3999999999999986</v>
      </c>
      <c r="J11" s="4">
        <f t="shared" si="3"/>
        <v>27.5</v>
      </c>
      <c r="K11" s="4">
        <v>24.3</v>
      </c>
      <c r="L11" s="6">
        <f t="shared" si="4"/>
        <v>53.216374269005854</v>
      </c>
      <c r="M11" s="6">
        <f t="shared" si="5"/>
        <v>12.865497076023386</v>
      </c>
      <c r="N11" s="6">
        <f t="shared" si="6"/>
        <v>987.84008962489054</v>
      </c>
      <c r="O11" s="4">
        <v>1.1200000000000001</v>
      </c>
      <c r="P11" s="4">
        <v>4179</v>
      </c>
      <c r="Q11" s="4">
        <v>1005</v>
      </c>
      <c r="R11" s="6">
        <f t="shared" si="7"/>
        <v>-310.2364478039749</v>
      </c>
      <c r="S11" s="6">
        <f t="shared" si="8"/>
        <v>221.20501891181411</v>
      </c>
      <c r="T11" s="6">
        <f t="shared" si="9"/>
        <v>-0.7130207313732011</v>
      </c>
      <c r="U11" s="6">
        <f t="shared" si="10"/>
        <v>33.040935672514621</v>
      </c>
      <c r="V11" s="6">
        <f t="shared" si="11"/>
        <v>20.902303498138181</v>
      </c>
      <c r="W11" s="6">
        <f t="shared" si="12"/>
        <v>-95.264527210440676</v>
      </c>
      <c r="X11" s="7">
        <f t="shared" si="13"/>
        <v>4.1160003734370442E-3</v>
      </c>
      <c r="Y11" s="7">
        <f>(0.6)*(0.007878)*(SQRT(50*2*O11))</f>
        <v>5.0023749188560424E-2</v>
      </c>
    </row>
    <row r="12" spans="1:29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6" spans="1:29" x14ac:dyDescent="0.25">
      <c r="R16" s="5" t="str">
        <f t="shared" ref="R16:S21" si="14">R6</f>
        <v>Q̇w (J)</v>
      </c>
      <c r="S16" s="5" t="str">
        <f t="shared" si="14"/>
        <v>Q̇a (J)</v>
      </c>
      <c r="T16" s="15" t="str">
        <f t="shared" ref="T16" si="15">Y6</f>
        <v>Ma</v>
      </c>
      <c r="Z16" s="11" t="s">
        <v>55</v>
      </c>
      <c r="AA16" s="11" t="s">
        <v>56</v>
      </c>
      <c r="AB16" s="11" t="s">
        <v>57</v>
      </c>
      <c r="AC16" s="4" t="s">
        <v>20</v>
      </c>
    </row>
    <row r="17" spans="7:29" x14ac:dyDescent="0.25">
      <c r="R17" s="6">
        <v>363.72050814935</v>
      </c>
      <c r="S17" s="6">
        <f t="shared" si="14"/>
        <v>337.24735858018852</v>
      </c>
      <c r="T17" s="13">
        <f t="shared" ref="T17:T21" si="16">Y7</f>
        <v>0.11185650367502106</v>
      </c>
      <c r="Z17" s="11">
        <v>63.963963963963977</v>
      </c>
      <c r="AA17" s="11">
        <v>9.0090090090090094</v>
      </c>
      <c r="AB17" s="11">
        <v>36.486486486486491</v>
      </c>
      <c r="AC17" s="7">
        <f>(0.6)*(0.007878)*(SQRT(250*2*S17))</f>
        <v>1.9410043444249052</v>
      </c>
    </row>
    <row r="18" spans="7:29" x14ac:dyDescent="0.25">
      <c r="R18" s="6">
        <v>343.139588572386</v>
      </c>
      <c r="S18" s="6">
        <f t="shared" si="14"/>
        <v>321.75275478082057</v>
      </c>
      <c r="T18" s="13">
        <f t="shared" si="16"/>
        <v>0.10004749837712085</v>
      </c>
      <c r="Z18" s="11">
        <v>60.725075528700913</v>
      </c>
      <c r="AA18" s="11">
        <v>9.6676737160120823</v>
      </c>
      <c r="AB18" s="11">
        <v>35.196374622356501</v>
      </c>
      <c r="AC18" s="7">
        <f>(0.6)*(0.007878)*(SQRT(200*2*S18))</f>
        <v>1.6957364657034777</v>
      </c>
    </row>
    <row r="19" spans="7:29" x14ac:dyDescent="0.25">
      <c r="G19" s="11" t="s">
        <v>17</v>
      </c>
      <c r="H19" s="11" t="s">
        <v>29</v>
      </c>
      <c r="R19" s="6">
        <v>337.90657051886501</v>
      </c>
      <c r="S19" s="6">
        <f t="shared" si="14"/>
        <v>296.06143808892909</v>
      </c>
      <c r="T19" s="13">
        <f t="shared" si="16"/>
        <v>8.6643675179669061E-2</v>
      </c>
      <c r="Z19" s="11">
        <v>58.928571428571445</v>
      </c>
      <c r="AA19" s="11">
        <v>10.119047619047615</v>
      </c>
      <c r="AB19" s="11">
        <v>34.523809523809533</v>
      </c>
      <c r="AC19" s="7">
        <f>(0.6)*(0.007878)*(SQRT(150*2*S19))</f>
        <v>1.4087008491551816</v>
      </c>
    </row>
    <row r="20" spans="7:29" x14ac:dyDescent="0.25">
      <c r="G20" s="11">
        <v>-125.69334907358139</v>
      </c>
      <c r="H20" s="11">
        <v>0.05</v>
      </c>
      <c r="R20" s="6">
        <v>322.425031332836</v>
      </c>
      <c r="S20" s="6">
        <f t="shared" si="14"/>
        <v>263.06254770393474</v>
      </c>
      <c r="T20" s="13">
        <f t="shared" si="16"/>
        <v>7.0744264543212268E-2</v>
      </c>
      <c r="Z20" s="11">
        <v>56.417910447761187</v>
      </c>
      <c r="AA20" s="11">
        <v>11.044776119402982</v>
      </c>
      <c r="AB20" s="11">
        <v>33.731343283582085</v>
      </c>
      <c r="AC20" s="7">
        <f>(0.6)*(0.007878)*(SQRT(100*2*S20))</f>
        <v>1.0842058234340706</v>
      </c>
    </row>
    <row r="21" spans="7:29" x14ac:dyDescent="0.25">
      <c r="G21" s="11">
        <v>-115.05139138611058</v>
      </c>
      <c r="H21" s="11">
        <v>7.0999999999999994E-2</v>
      </c>
      <c r="R21" s="6">
        <v>310.23644780397501</v>
      </c>
      <c r="S21" s="6">
        <f t="shared" si="14"/>
        <v>221.20501891181411</v>
      </c>
      <c r="T21" s="13">
        <f t="shared" si="16"/>
        <v>5.0023749188560424E-2</v>
      </c>
      <c r="Z21" s="11">
        <v>53.216374269005854</v>
      </c>
      <c r="AA21" s="11">
        <v>12.865497076023386</v>
      </c>
      <c r="AB21" s="11">
        <v>33.040935672514621</v>
      </c>
      <c r="AC21" s="7">
        <f>(0.6)*(0.007878)*(SQRT(50*2*S21))</f>
        <v>0.70301520000772533</v>
      </c>
    </row>
    <row r="22" spans="7:29" x14ac:dyDescent="0.25">
      <c r="G22" s="11">
        <v>-109.63156829940401</v>
      </c>
      <c r="H22" s="11">
        <v>8.6999999999999994E-2</v>
      </c>
    </row>
    <row r="23" spans="7:29" x14ac:dyDescent="0.25">
      <c r="G23" s="11">
        <v>-102.81312295543684</v>
      </c>
      <c r="H23" s="11">
        <v>0.1</v>
      </c>
      <c r="R23" s="5" t="s">
        <v>71</v>
      </c>
      <c r="S23" s="5" t="s">
        <v>72</v>
      </c>
      <c r="T23" s="15" t="s">
        <v>29</v>
      </c>
      <c r="Y23" s="11" t="s">
        <v>55</v>
      </c>
      <c r="Z23" s="11" t="s">
        <v>56</v>
      </c>
      <c r="AA23" s="11" t="s">
        <v>57</v>
      </c>
      <c r="AB23" s="11" t="s">
        <v>73</v>
      </c>
    </row>
    <row r="24" spans="7:29" x14ac:dyDescent="0.25">
      <c r="G24" s="11">
        <v>-95.264527210440676</v>
      </c>
      <c r="H24" s="11">
        <v>0.112</v>
      </c>
      <c r="R24" s="16">
        <v>310.24</v>
      </c>
      <c r="S24" s="11">
        <v>221.21</v>
      </c>
      <c r="T24" s="13">
        <v>0.05</v>
      </c>
      <c r="Y24" s="11">
        <v>53.216000000000001</v>
      </c>
      <c r="Z24" s="11">
        <v>12.865</v>
      </c>
      <c r="AA24" s="11">
        <v>33.040999999999997</v>
      </c>
      <c r="AB24" s="11">
        <v>0.70299999999999996</v>
      </c>
    </row>
    <row r="25" spans="7:29" x14ac:dyDescent="0.25">
      <c r="R25" s="16">
        <v>322.43</v>
      </c>
      <c r="S25" s="11">
        <v>263.06</v>
      </c>
      <c r="T25" s="13">
        <v>7.0999999999999994E-2</v>
      </c>
      <c r="Y25" s="11">
        <v>56.417999999999999</v>
      </c>
      <c r="Z25" s="11">
        <v>11.045</v>
      </c>
      <c r="AA25" s="11">
        <v>33.731000000000002</v>
      </c>
      <c r="AB25" s="11">
        <v>1.0840000000000001</v>
      </c>
    </row>
    <row r="26" spans="7:29" x14ac:dyDescent="0.25">
      <c r="G26" s="11" t="s">
        <v>17</v>
      </c>
      <c r="H26" s="11" t="s">
        <v>29</v>
      </c>
      <c r="R26" s="16">
        <v>337.91</v>
      </c>
      <c r="S26" s="11">
        <v>296.06</v>
      </c>
      <c r="T26" s="13">
        <v>8.6999999999999994E-2</v>
      </c>
      <c r="Y26" s="11">
        <v>58.929000000000002</v>
      </c>
      <c r="Z26" s="11">
        <v>10.119</v>
      </c>
      <c r="AA26" s="11">
        <v>34.524000000000001</v>
      </c>
      <c r="AB26" s="11">
        <v>1.409</v>
      </c>
    </row>
    <row r="27" spans="7:29" x14ac:dyDescent="0.25">
      <c r="G27" s="11">
        <v>95.263999999999996</v>
      </c>
      <c r="H27" s="11">
        <v>0.05</v>
      </c>
      <c r="R27" s="16">
        <v>343.14</v>
      </c>
      <c r="S27" s="11">
        <v>321.75</v>
      </c>
      <c r="T27" s="13">
        <v>0.1</v>
      </c>
      <c r="Y27" s="11">
        <v>60.725000000000001</v>
      </c>
      <c r="Z27" s="11">
        <v>9.6669999999999998</v>
      </c>
      <c r="AA27" s="11">
        <v>35.195999999999998</v>
      </c>
      <c r="AB27" s="11">
        <v>1.696</v>
      </c>
    </row>
    <row r="28" spans="7:29" x14ac:dyDescent="0.25">
      <c r="G28" s="11">
        <v>102.813</v>
      </c>
      <c r="H28" s="11">
        <v>7.0999999999999994E-2</v>
      </c>
      <c r="R28" s="16">
        <v>363.72</v>
      </c>
      <c r="S28" s="11">
        <v>337.25</v>
      </c>
      <c r="T28" s="13">
        <v>0.112</v>
      </c>
      <c r="Y28" s="11">
        <v>63.963999999999999</v>
      </c>
      <c r="Z28" s="11">
        <v>9.0090000000000003</v>
      </c>
      <c r="AA28" s="11">
        <v>36.485999999999997</v>
      </c>
      <c r="AB28" s="11">
        <v>1.9410000000000001</v>
      </c>
    </row>
    <row r="29" spans="7:29" x14ac:dyDescent="0.25">
      <c r="G29" s="11">
        <v>109.631</v>
      </c>
      <c r="H29" s="11">
        <v>8.6999999999999994E-2</v>
      </c>
    </row>
    <row r="30" spans="7:29" x14ac:dyDescent="0.25">
      <c r="G30" s="11">
        <v>115.051</v>
      </c>
      <c r="H30" s="11">
        <v>0.1</v>
      </c>
    </row>
    <row r="31" spans="7:29" x14ac:dyDescent="0.25">
      <c r="G31" s="11">
        <v>125.693</v>
      </c>
      <c r="H31" s="11">
        <v>0.112</v>
      </c>
    </row>
  </sheetData>
  <mergeCells count="8">
    <mergeCell ref="A5:K5"/>
    <mergeCell ref="L1:W3"/>
    <mergeCell ref="A1:K1"/>
    <mergeCell ref="A2:K2"/>
    <mergeCell ref="A3:K3"/>
    <mergeCell ref="A4:K4"/>
    <mergeCell ref="L4:R5"/>
    <mergeCell ref="S4:W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tabSelected="1" zoomScale="70" zoomScaleNormal="70" workbookViewId="0">
      <selection activeCell="A6" sqref="A6:E11"/>
    </sheetView>
  </sheetViews>
  <sheetFormatPr defaultRowHeight="15" x14ac:dyDescent="0.25"/>
  <cols>
    <col min="18" max="18" width="15.28515625" customWidth="1"/>
    <col min="19" max="19" width="10.42578125" customWidth="1"/>
    <col min="20" max="20" width="10.140625" customWidth="1"/>
    <col min="23" max="23" width="13.42578125" customWidth="1"/>
  </cols>
  <sheetData>
    <row r="1" spans="1:25" x14ac:dyDescent="0.25">
      <c r="A1" s="20" t="s">
        <v>19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9" t="s">
        <v>45</v>
      </c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2"/>
      <c r="Y1" s="2"/>
    </row>
    <row r="2" spans="1:25" x14ac:dyDescent="0.25">
      <c r="A2" s="21" t="s">
        <v>46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2"/>
      <c r="Y2" s="2"/>
    </row>
    <row r="3" spans="1:25" x14ac:dyDescent="0.25">
      <c r="A3" s="21" t="s">
        <v>47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2"/>
      <c r="Y3" s="2"/>
    </row>
    <row r="4" spans="1:25" x14ac:dyDescent="0.25">
      <c r="A4" s="21" t="s">
        <v>66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19" t="s">
        <v>48</v>
      </c>
      <c r="M4" s="19"/>
      <c r="N4" s="19"/>
      <c r="O4" s="19"/>
      <c r="P4" s="19"/>
      <c r="Q4" s="19"/>
      <c r="R4" s="19"/>
      <c r="S4" s="25" t="s">
        <v>49</v>
      </c>
      <c r="T4" s="25"/>
      <c r="U4" s="25"/>
      <c r="V4" s="25"/>
      <c r="W4" s="26"/>
      <c r="X4" s="2"/>
      <c r="Y4" s="2"/>
    </row>
    <row r="5" spans="1:25" x14ac:dyDescent="0.25">
      <c r="A5" s="21" t="s">
        <v>50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19"/>
      <c r="M5" s="19"/>
      <c r="N5" s="19"/>
      <c r="O5" s="19"/>
      <c r="P5" s="19"/>
      <c r="Q5" s="19"/>
      <c r="R5" s="19"/>
      <c r="S5" s="27"/>
      <c r="T5" s="27"/>
      <c r="U5" s="27"/>
      <c r="V5" s="27"/>
      <c r="W5" s="28"/>
      <c r="X5" s="2"/>
      <c r="Y5" s="2"/>
    </row>
    <row r="6" spans="1:25" ht="84.75" x14ac:dyDescent="0.25">
      <c r="A6" s="3" t="s">
        <v>1</v>
      </c>
      <c r="B6" s="4" t="s">
        <v>44</v>
      </c>
      <c r="C6" s="4" t="s">
        <v>43</v>
      </c>
      <c r="D6" s="4" t="s">
        <v>42</v>
      </c>
      <c r="E6" s="3" t="s">
        <v>5</v>
      </c>
      <c r="F6" s="4" t="s">
        <v>41</v>
      </c>
      <c r="G6" s="4" t="s">
        <v>40</v>
      </c>
      <c r="H6" s="4" t="s">
        <v>39</v>
      </c>
      <c r="I6" s="4" t="s">
        <v>38</v>
      </c>
      <c r="J6" s="3" t="s">
        <v>10</v>
      </c>
      <c r="K6" s="4" t="s">
        <v>37</v>
      </c>
      <c r="L6" s="4" t="s">
        <v>35</v>
      </c>
      <c r="M6" s="4" t="s">
        <v>36</v>
      </c>
      <c r="N6" s="4" t="s">
        <v>34</v>
      </c>
      <c r="O6" s="4" t="s">
        <v>33</v>
      </c>
      <c r="P6" s="4" t="s">
        <v>12</v>
      </c>
      <c r="Q6" s="4" t="s">
        <v>31</v>
      </c>
      <c r="R6" s="4" t="s">
        <v>30</v>
      </c>
      <c r="S6" s="4" t="s">
        <v>32</v>
      </c>
      <c r="T6" s="4" t="s">
        <v>27</v>
      </c>
      <c r="U6" s="4" t="s">
        <v>15</v>
      </c>
      <c r="V6" s="4" t="s">
        <v>16</v>
      </c>
      <c r="W6" s="4" t="s">
        <v>17</v>
      </c>
      <c r="X6" s="4" t="s">
        <v>28</v>
      </c>
      <c r="Y6" s="4" t="s">
        <v>29</v>
      </c>
    </row>
    <row r="7" spans="1:25" x14ac:dyDescent="0.25">
      <c r="A7" s="5">
        <v>250</v>
      </c>
      <c r="B7" s="4">
        <v>45.9</v>
      </c>
      <c r="C7" s="4">
        <v>38.700000000000003</v>
      </c>
      <c r="D7" s="4">
        <f>C7-B7</f>
        <v>-7.1999999999999957</v>
      </c>
      <c r="E7" s="4">
        <f>(B7+C7)/2</f>
        <v>42.3</v>
      </c>
      <c r="F7" s="4">
        <v>25.8</v>
      </c>
      <c r="G7" s="4">
        <v>22.9</v>
      </c>
      <c r="H7" s="4">
        <v>24.9</v>
      </c>
      <c r="I7" s="4">
        <f>H7-G7</f>
        <v>2</v>
      </c>
      <c r="J7" s="4">
        <f>(G7+H7)/2</f>
        <v>23.9</v>
      </c>
      <c r="K7" s="4">
        <v>22.3</v>
      </c>
      <c r="L7" s="6">
        <f>(B7-C7)/(B7-G7)*100</f>
        <v>31.304347826086936</v>
      </c>
      <c r="M7" s="6">
        <f>(H7-G7)/(B7-G7)*100</f>
        <v>8.695652173913043</v>
      </c>
      <c r="N7" s="6">
        <f>(999.839+16.952*E7-7.99*10^-3*E7^2-46.241*10^-6*E7^3+105.846*10^-9*E7^4-281.03*10^-12*E7^5)/(1+16.887*10^-3*E7)</f>
        <v>991.30445083829136</v>
      </c>
      <c r="O7" s="4">
        <v>1.1200000000000001</v>
      </c>
      <c r="P7" s="4">
        <v>4178</v>
      </c>
      <c r="Q7" s="4">
        <v>1005</v>
      </c>
      <c r="R7" s="6">
        <f>(X7)*(P7)*(D7)</f>
        <v>-124.25009986807139</v>
      </c>
      <c r="S7" s="6">
        <f>Y7*Q7*I7</f>
        <v>224.83157238679235</v>
      </c>
      <c r="T7" s="6">
        <f>S7/R7</f>
        <v>-1.8095081824925554</v>
      </c>
      <c r="U7" s="6">
        <f>(L7+M7)/2</f>
        <v>19.999999999999989</v>
      </c>
      <c r="V7" s="6">
        <f>((C7-H7)-(B7-G7))/LN((C7-H7)/(B7-G7))</f>
        <v>18.010059738535205</v>
      </c>
      <c r="W7" s="6">
        <f>(R7)/(0.1558*V7)</f>
        <v>-44.28066554675322</v>
      </c>
      <c r="X7" s="7">
        <f>(0.25/60000)*N7</f>
        <v>4.1304352118262146E-3</v>
      </c>
      <c r="Y7" s="7">
        <f>(0.6)*(0.007878)*(SQRT(250*2*O7))</f>
        <v>0.11185650367502106</v>
      </c>
    </row>
    <row r="8" spans="1:25" x14ac:dyDescent="0.25">
      <c r="A8" s="5">
        <v>200</v>
      </c>
      <c r="B8" s="4">
        <v>47.1</v>
      </c>
      <c r="C8" s="4">
        <v>32.1</v>
      </c>
      <c r="D8" s="4">
        <f t="shared" ref="D8:D11" si="0">C8-B8</f>
        <v>-15</v>
      </c>
      <c r="E8" s="4">
        <f t="shared" ref="E8:E11" si="1">(B8+C8)/2</f>
        <v>39.6</v>
      </c>
      <c r="F8" s="4">
        <v>27.5</v>
      </c>
      <c r="G8" s="4">
        <v>23.3</v>
      </c>
      <c r="H8" s="4">
        <v>25.5</v>
      </c>
      <c r="I8" s="4">
        <f t="shared" ref="I8:I11" si="2">H8-G8</f>
        <v>2.1999999999999993</v>
      </c>
      <c r="J8" s="4">
        <f t="shared" ref="J8:J11" si="3">(G8+H8)/2</f>
        <v>24.4</v>
      </c>
      <c r="K8" s="4">
        <v>22.7</v>
      </c>
      <c r="L8" s="6">
        <f t="shared" ref="L8:L11" si="4">(B8-C8)/(B8-G8)*100</f>
        <v>63.02521008403361</v>
      </c>
      <c r="M8" s="6">
        <f t="shared" ref="M8:M11" si="5">(H8-G8)/(B8-G8)*100</f>
        <v>9.2436974789915922</v>
      </c>
      <c r="N8" s="6">
        <f t="shared" ref="N8:N11" si="6">(999.839+16.952*E8-7.99*10^-3*E8^2-46.241*10^-6*E8^3+105.846*10^-9*E8^4-281.03*10^-12*E8^5)/(1+16.887*10^-3*E8)</f>
        <v>992.35631905756179</v>
      </c>
      <c r="O8" s="4">
        <v>1.1200000000000001</v>
      </c>
      <c r="P8" s="4">
        <v>4178</v>
      </c>
      <c r="Q8" s="4">
        <v>1005</v>
      </c>
      <c r="R8" s="6">
        <f t="shared" ref="R8:R11" si="7">(X8)*(P8)*(D8)</f>
        <v>-259.12904381390587</v>
      </c>
      <c r="S8" s="6">
        <f t="shared" ref="S8:S11" si="8">Y8*Q8*I8</f>
        <v>221.20501891181411</v>
      </c>
      <c r="T8" s="6">
        <f t="shared" ref="T8:T11" si="9">S8/R8</f>
        <v>-0.85364811159752907</v>
      </c>
      <c r="U8" s="6">
        <f t="shared" ref="U8:U11" si="10">(L8+M8)/2</f>
        <v>36.134453781512605</v>
      </c>
      <c r="V8" s="6">
        <f t="shared" ref="V8:V11" si="11">((C8-H8)-(B8-G8))/LN((C8-H8)/(B8-G8))</f>
        <v>13.410093836850864</v>
      </c>
      <c r="W8" s="6">
        <f t="shared" ref="W8:W11" si="12">(R8)/(0.1558*V8)</f>
        <v>-124.02716659240515</v>
      </c>
      <c r="X8" s="7">
        <f t="shared" ref="X8:X11" si="13">(0.25/60000)*N8</f>
        <v>4.1348179960731743E-3</v>
      </c>
      <c r="Y8" s="7">
        <f>(0.6)*(0.007878)*(SQRT(200*2*O8))</f>
        <v>0.10004749837712085</v>
      </c>
    </row>
    <row r="9" spans="1:25" x14ac:dyDescent="0.25">
      <c r="A9" s="5">
        <v>150</v>
      </c>
      <c r="B9" s="4">
        <v>47.4</v>
      </c>
      <c r="C9" s="4">
        <v>52.7</v>
      </c>
      <c r="D9" s="4">
        <f t="shared" si="0"/>
        <v>5.3000000000000043</v>
      </c>
      <c r="E9" s="4">
        <f t="shared" si="1"/>
        <v>50.05</v>
      </c>
      <c r="F9" s="4">
        <v>28</v>
      </c>
      <c r="G9" s="4">
        <v>23.4</v>
      </c>
      <c r="H9" s="4">
        <v>25.8</v>
      </c>
      <c r="I9" s="4">
        <f t="shared" si="2"/>
        <v>2.4000000000000021</v>
      </c>
      <c r="J9" s="4">
        <f t="shared" si="3"/>
        <v>24.6</v>
      </c>
      <c r="K9" s="4">
        <v>22.7</v>
      </c>
      <c r="L9" s="6">
        <f t="shared" si="4"/>
        <v>-22.083333333333353</v>
      </c>
      <c r="M9" s="6">
        <f t="shared" si="5"/>
        <v>10.000000000000009</v>
      </c>
      <c r="N9" s="6">
        <f t="shared" si="6"/>
        <v>987.9989460526175</v>
      </c>
      <c r="O9" s="4">
        <v>1.1200000000000001</v>
      </c>
      <c r="P9" s="4">
        <v>4178</v>
      </c>
      <c r="Q9" s="4">
        <v>1005</v>
      </c>
      <c r="R9" s="6">
        <f t="shared" si="7"/>
        <v>91.15689942508979</v>
      </c>
      <c r="S9" s="6">
        <f t="shared" si="8"/>
        <v>208.98454453336197</v>
      </c>
      <c r="T9" s="6">
        <f t="shared" si="9"/>
        <v>2.2925806587476099</v>
      </c>
      <c r="U9" s="6">
        <f t="shared" si="10"/>
        <v>-6.0416666666666723</v>
      </c>
      <c r="V9" s="6">
        <f t="shared" si="11"/>
        <v>25.422438466600887</v>
      </c>
      <c r="W9" s="6">
        <f t="shared" si="12"/>
        <v>23.014677133486551</v>
      </c>
      <c r="X9" s="7">
        <f t="shared" si="13"/>
        <v>4.1166622752192399E-3</v>
      </c>
      <c r="Y9" s="7">
        <f>(0.6)*(0.007878)*(SQRT(150*2*O9))</f>
        <v>8.6643675179669061E-2</v>
      </c>
    </row>
    <row r="10" spans="1:25" x14ac:dyDescent="0.25">
      <c r="A10" s="5">
        <v>100</v>
      </c>
      <c r="B10" s="4">
        <v>47.8</v>
      </c>
      <c r="C10" s="4">
        <v>34.4</v>
      </c>
      <c r="D10" s="4">
        <f t="shared" si="0"/>
        <v>-13.399999999999999</v>
      </c>
      <c r="E10" s="4">
        <f t="shared" si="1"/>
        <v>41.099999999999994</v>
      </c>
      <c r="F10" s="4">
        <v>28.6</v>
      </c>
      <c r="G10" s="4">
        <v>24</v>
      </c>
      <c r="H10" s="4">
        <v>26.7</v>
      </c>
      <c r="I10" s="4">
        <f t="shared" si="2"/>
        <v>2.6999999999999993</v>
      </c>
      <c r="J10" s="4">
        <f t="shared" si="3"/>
        <v>25.35</v>
      </c>
      <c r="K10" s="4">
        <v>23.1</v>
      </c>
      <c r="L10" s="6">
        <f t="shared" si="4"/>
        <v>56.30252100840336</v>
      </c>
      <c r="M10" s="6">
        <f t="shared" si="5"/>
        <v>11.344537815126049</v>
      </c>
      <c r="N10" s="6">
        <f t="shared" si="6"/>
        <v>991.77856194758397</v>
      </c>
      <c r="O10" s="4">
        <v>1.1200000000000001</v>
      </c>
      <c r="P10" s="4">
        <v>4178</v>
      </c>
      <c r="Q10" s="4">
        <v>1005</v>
      </c>
      <c r="R10" s="6">
        <f t="shared" si="7"/>
        <v>-231.3538381097828</v>
      </c>
      <c r="S10" s="6">
        <f t="shared" si="8"/>
        <v>191.96456183800643</v>
      </c>
      <c r="T10" s="6">
        <f t="shared" si="9"/>
        <v>-0.82974444429538607</v>
      </c>
      <c r="U10" s="6">
        <f t="shared" si="10"/>
        <v>33.823529411764703</v>
      </c>
      <c r="V10" s="6">
        <f t="shared" si="11"/>
        <v>14.267165049225287</v>
      </c>
      <c r="W10" s="6">
        <f t="shared" si="12"/>
        <v>-104.08102726922097</v>
      </c>
      <c r="X10" s="7">
        <f t="shared" si="13"/>
        <v>4.1324106747815999E-3</v>
      </c>
      <c r="Y10" s="7">
        <f>(0.6)*(0.007878)*(SQRT(100*2*O10))</f>
        <v>7.0744264543212268E-2</v>
      </c>
    </row>
    <row r="11" spans="1:25" x14ac:dyDescent="0.25">
      <c r="A11" s="5">
        <v>50</v>
      </c>
      <c r="B11" s="4">
        <v>48.1</v>
      </c>
      <c r="C11" s="4">
        <v>35.9</v>
      </c>
      <c r="D11" s="4">
        <f t="shared" si="0"/>
        <v>-12.200000000000003</v>
      </c>
      <c r="E11" s="4">
        <f t="shared" si="1"/>
        <v>42</v>
      </c>
      <c r="F11" s="4">
        <v>29.1</v>
      </c>
      <c r="G11" s="4">
        <v>24.6</v>
      </c>
      <c r="H11" s="4">
        <v>27.6</v>
      </c>
      <c r="I11" s="4">
        <f t="shared" si="2"/>
        <v>3</v>
      </c>
      <c r="J11" s="4">
        <f t="shared" si="3"/>
        <v>26.1</v>
      </c>
      <c r="K11" s="4">
        <v>23.6</v>
      </c>
      <c r="L11" s="6">
        <f t="shared" si="4"/>
        <v>51.914893617021285</v>
      </c>
      <c r="M11" s="6">
        <f t="shared" si="5"/>
        <v>12.76595744680851</v>
      </c>
      <c r="N11" s="6">
        <f t="shared" si="6"/>
        <v>991.42395993216167</v>
      </c>
      <c r="O11" s="4">
        <v>1.1200000000000001</v>
      </c>
      <c r="P11" s="4">
        <v>4178</v>
      </c>
      <c r="Q11" s="4">
        <v>1005</v>
      </c>
      <c r="R11" s="6">
        <f t="shared" si="7"/>
        <v>-210.56027298365913</v>
      </c>
      <c r="S11" s="6">
        <f t="shared" si="8"/>
        <v>150.82160380350967</v>
      </c>
      <c r="T11" s="6">
        <f t="shared" si="9"/>
        <v>-0.7162870833436582</v>
      </c>
      <c r="U11" s="6">
        <f t="shared" si="10"/>
        <v>32.340425531914896</v>
      </c>
      <c r="V11" s="6">
        <f t="shared" si="11"/>
        <v>14.604923749608913</v>
      </c>
      <c r="W11" s="6">
        <f t="shared" si="12"/>
        <v>-92.53577950260761</v>
      </c>
      <c r="X11" s="7">
        <f t="shared" si="13"/>
        <v>4.1309331663840071E-3</v>
      </c>
      <c r="Y11" s="7">
        <f>(0.6)*(0.007878)*(SQRT(50*2*O11))</f>
        <v>5.0023749188560424E-2</v>
      </c>
    </row>
    <row r="15" spans="1:25" x14ac:dyDescent="0.25">
      <c r="R15" t="s">
        <v>21</v>
      </c>
    </row>
    <row r="17" spans="5:25" x14ac:dyDescent="0.25">
      <c r="R17" s="4" t="s">
        <v>30</v>
      </c>
      <c r="S17" s="4" t="s">
        <v>32</v>
      </c>
      <c r="T17" s="7" t="s">
        <v>29</v>
      </c>
      <c r="V17" s="13" t="s">
        <v>35</v>
      </c>
      <c r="W17" s="13" t="s">
        <v>36</v>
      </c>
      <c r="X17" s="11" t="s">
        <v>15</v>
      </c>
      <c r="Y17" s="11" t="s">
        <v>29</v>
      </c>
    </row>
    <row r="18" spans="5:25" x14ac:dyDescent="0.25">
      <c r="R18" s="6">
        <v>-124.25009986807139</v>
      </c>
      <c r="S18" s="6">
        <v>224.83157238679235</v>
      </c>
      <c r="T18" s="13">
        <v>0.11185650367502106</v>
      </c>
      <c r="V18" s="13">
        <v>31.304347826086936</v>
      </c>
      <c r="W18" s="13">
        <v>8.695652173913043</v>
      </c>
      <c r="X18" s="11">
        <v>19.999999999999989</v>
      </c>
      <c r="Y18" s="13">
        <v>0.11185650367502106</v>
      </c>
    </row>
    <row r="19" spans="5:25" x14ac:dyDescent="0.25">
      <c r="R19" s="6">
        <v>-259.12904381390587</v>
      </c>
      <c r="S19" s="6">
        <v>247.3147296254715</v>
      </c>
      <c r="T19" s="13">
        <v>0.10004749837712085</v>
      </c>
      <c r="V19" s="13">
        <v>63.02521008403361</v>
      </c>
      <c r="W19" s="13">
        <v>9.2436974789915922</v>
      </c>
      <c r="X19" s="11">
        <v>36.134453781512605</v>
      </c>
      <c r="Y19" s="13">
        <v>0.10004749837712085</v>
      </c>
    </row>
    <row r="20" spans="5:25" x14ac:dyDescent="0.25">
      <c r="R20" s="6">
        <v>91.15689942508979</v>
      </c>
      <c r="S20" s="6">
        <v>269.79788686415105</v>
      </c>
      <c r="T20" s="13">
        <v>8.6643675179669061E-2</v>
      </c>
      <c r="V20" s="13">
        <v>-22.083333333333353</v>
      </c>
      <c r="W20" s="13">
        <v>10.000000000000009</v>
      </c>
      <c r="X20" s="11">
        <v>-6.0416666666666723</v>
      </c>
      <c r="Y20" s="13">
        <v>8.6643675179669061E-2</v>
      </c>
    </row>
    <row r="21" spans="5:25" x14ac:dyDescent="0.25">
      <c r="E21" s="13" t="s">
        <v>17</v>
      </c>
      <c r="F21" s="13" t="s">
        <v>29</v>
      </c>
      <c r="R21" s="6">
        <v>-231.3538381097828</v>
      </c>
      <c r="S21" s="6">
        <v>303.52262272216956</v>
      </c>
      <c r="T21" s="13">
        <v>7.0744264543212268E-2</v>
      </c>
      <c r="V21" s="13">
        <v>56.30252100840336</v>
      </c>
      <c r="W21" s="13">
        <v>11.344537815126049</v>
      </c>
      <c r="X21" s="11">
        <v>33.823529411764703</v>
      </c>
      <c r="Y21" s="13">
        <v>7.0744264543212268E-2</v>
      </c>
    </row>
    <row r="22" spans="5:25" x14ac:dyDescent="0.25">
      <c r="E22" s="13">
        <v>-44.28066554675322</v>
      </c>
      <c r="F22" s="13">
        <v>0.11185650367502106</v>
      </c>
      <c r="R22" s="6">
        <v>-210.56027298365913</v>
      </c>
      <c r="S22" s="6">
        <v>337.24735858018852</v>
      </c>
      <c r="T22" s="13">
        <v>5.0023749188560424E-2</v>
      </c>
      <c r="V22" s="13">
        <v>51.914893617021285</v>
      </c>
      <c r="W22" s="13">
        <v>12.76595744680851</v>
      </c>
      <c r="X22" s="11">
        <v>32.340425531914896</v>
      </c>
      <c r="Y22" s="13">
        <v>5.0023749188560424E-2</v>
      </c>
    </row>
    <row r="23" spans="5:25" x14ac:dyDescent="0.25">
      <c r="E23" s="13">
        <v>-124.02716659240515</v>
      </c>
      <c r="F23" s="13">
        <v>0.10004749837712085</v>
      </c>
    </row>
    <row r="24" spans="5:25" x14ac:dyDescent="0.25">
      <c r="E24" s="13">
        <v>23.014677133486551</v>
      </c>
      <c r="F24" s="13">
        <v>8.6643675179669061E-2</v>
      </c>
      <c r="R24" s="11" t="s">
        <v>30</v>
      </c>
      <c r="S24" s="11" t="s">
        <v>32</v>
      </c>
      <c r="T24" s="11" t="s">
        <v>29</v>
      </c>
      <c r="V24" s="11" t="s">
        <v>35</v>
      </c>
      <c r="W24" s="11" t="s">
        <v>36</v>
      </c>
      <c r="X24" s="11" t="s">
        <v>15</v>
      </c>
      <c r="Y24" s="11" t="s">
        <v>29</v>
      </c>
    </row>
    <row r="25" spans="5:25" x14ac:dyDescent="0.25">
      <c r="E25" s="13">
        <v>-104.08102726922097</v>
      </c>
      <c r="F25" s="13">
        <v>7.0744264543212268E-2</v>
      </c>
      <c r="R25" s="16">
        <v>210.56</v>
      </c>
      <c r="S25" s="16">
        <v>337.25</v>
      </c>
      <c r="T25" s="17">
        <v>0.05</v>
      </c>
      <c r="V25" s="17">
        <v>51.914999999999999</v>
      </c>
      <c r="W25" s="17">
        <v>12.766</v>
      </c>
      <c r="X25" s="17">
        <v>32.340000000000003</v>
      </c>
      <c r="Y25" s="17">
        <v>0.05</v>
      </c>
    </row>
    <row r="26" spans="5:25" x14ac:dyDescent="0.25">
      <c r="E26" s="13">
        <v>-92.53577950260761</v>
      </c>
      <c r="F26" s="13">
        <v>5.0023749188560424E-2</v>
      </c>
      <c r="R26" s="16">
        <v>231.35</v>
      </c>
      <c r="S26" s="16">
        <v>303.52</v>
      </c>
      <c r="T26" s="17">
        <v>7.0999999999999994E-2</v>
      </c>
      <c r="V26" s="17">
        <v>56.302999999999997</v>
      </c>
      <c r="W26" s="17">
        <v>11.345000000000001</v>
      </c>
      <c r="X26" s="17">
        <v>33.823999999999998</v>
      </c>
      <c r="Y26" s="17">
        <v>7.0999999999999994E-2</v>
      </c>
    </row>
    <row r="27" spans="5:25" x14ac:dyDescent="0.25">
      <c r="R27" s="16">
        <v>91.16</v>
      </c>
      <c r="S27" s="16">
        <v>269.8</v>
      </c>
      <c r="T27" s="17">
        <v>8.6999999999999994E-2</v>
      </c>
      <c r="V27" s="17">
        <v>22.082999999999998</v>
      </c>
      <c r="W27" s="17">
        <v>10</v>
      </c>
      <c r="X27" s="17">
        <v>6.0419999999999998</v>
      </c>
      <c r="Y27" s="17">
        <v>8.6999999999999994E-2</v>
      </c>
    </row>
    <row r="28" spans="5:25" x14ac:dyDescent="0.25">
      <c r="R28" s="16">
        <v>259.13</v>
      </c>
      <c r="S28" s="16">
        <v>247.31</v>
      </c>
      <c r="T28" s="17">
        <v>0.1</v>
      </c>
      <c r="V28" s="17">
        <v>63.024999999999999</v>
      </c>
      <c r="W28" s="17">
        <v>9.2439999999999998</v>
      </c>
      <c r="X28" s="17">
        <v>36.134</v>
      </c>
      <c r="Y28" s="17">
        <v>0.1</v>
      </c>
    </row>
    <row r="29" spans="5:25" x14ac:dyDescent="0.25">
      <c r="R29" s="16">
        <v>124.25</v>
      </c>
      <c r="S29" s="16">
        <v>224.83</v>
      </c>
      <c r="T29" s="17">
        <v>0.112</v>
      </c>
      <c r="V29" s="17">
        <v>31.303999999999998</v>
      </c>
      <c r="W29" s="17">
        <v>8.6959999999999997</v>
      </c>
      <c r="X29" s="17">
        <v>20</v>
      </c>
      <c r="Y29" s="17">
        <v>0.112</v>
      </c>
    </row>
    <row r="30" spans="5:25" x14ac:dyDescent="0.25">
      <c r="E30" s="18" t="s">
        <v>17</v>
      </c>
      <c r="F30" s="18" t="s">
        <v>29</v>
      </c>
    </row>
    <row r="31" spans="5:25" x14ac:dyDescent="0.25">
      <c r="E31" s="17">
        <v>92.536000000000001</v>
      </c>
      <c r="F31" s="17">
        <v>0.05</v>
      </c>
    </row>
    <row r="32" spans="5:25" x14ac:dyDescent="0.25">
      <c r="E32" s="17">
        <v>104.081</v>
      </c>
      <c r="F32" s="17">
        <v>7.0999999999999994E-2</v>
      </c>
    </row>
    <row r="33" spans="5:6" x14ac:dyDescent="0.25">
      <c r="E33" s="17">
        <v>23.015000000000001</v>
      </c>
      <c r="F33" s="17">
        <v>8.6999999999999994E-2</v>
      </c>
    </row>
    <row r="34" spans="5:6" x14ac:dyDescent="0.25">
      <c r="E34" s="17">
        <v>124.027</v>
      </c>
      <c r="F34" s="17">
        <v>0.1</v>
      </c>
    </row>
    <row r="35" spans="5:6" x14ac:dyDescent="0.25">
      <c r="E35" s="17">
        <v>44.280999999999999</v>
      </c>
      <c r="F35" s="17">
        <v>0.112</v>
      </c>
    </row>
  </sheetData>
  <mergeCells count="8">
    <mergeCell ref="A5:K5"/>
    <mergeCell ref="L4:R5"/>
    <mergeCell ref="S4:W5"/>
    <mergeCell ref="A1:K1"/>
    <mergeCell ref="L1:W3"/>
    <mergeCell ref="A2:K2"/>
    <mergeCell ref="A3:K3"/>
    <mergeCell ref="A4:K4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7B34C3-CE79-48E1-9CDF-D356DD3FF2B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3D6F64A-D0D0-4F40-A7FC-3BA4DBEE04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C6A9CF-46B1-4640-8CF3-EB6A6DF29C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EX1</vt:lpstr>
      <vt:lpstr>EX2</vt:lpstr>
      <vt:lpstr>EX3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Kaine Angus</dc:creator>
  <cp:lastModifiedBy>matthew permintella</cp:lastModifiedBy>
  <dcterms:created xsi:type="dcterms:W3CDTF">2019-04-22T09:38:20Z</dcterms:created>
  <dcterms:modified xsi:type="dcterms:W3CDTF">2020-05-06T19:12:28Z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