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7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-120" yWindow="-120" windowWidth="29040" windowHeight="15840" activeTab="9"/>
  </bookViews>
  <sheets>
    <sheet name="Fuel listing" sheetId="11" r:id="rId1"/>
    <sheet name="CO2" sheetId="3" r:id="rId2"/>
    <sheet name="H2O" sheetId="5" r:id="rId3"/>
    <sheet name="O2" sheetId="7" r:id="rId4"/>
    <sheet name="N2" sheetId="6" r:id="rId5"/>
    <sheet name="Molar Enthalpy" sheetId="10" r:id="rId6"/>
    <sheet name="Fuels" sheetId="1" r:id="rId7"/>
    <sheet name="50% - 50%" sheetId="2" r:id="rId8"/>
    <sheet name="Task 2 &amp; Goal seek" sheetId="9" r:id="rId9"/>
    <sheet name=" NOx PPM" sheetId="12" r:id="rId10"/>
    <sheet name="EGR" sheetId="8" r:id="rId1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32" i="8" l="1"/>
  <c r="L33" i="8"/>
  <c r="L34" i="8"/>
  <c r="L31" i="8"/>
  <c r="M37" i="8"/>
  <c r="M41" i="8"/>
  <c r="L41" i="8"/>
  <c r="K41" i="8"/>
  <c r="J41" i="8"/>
  <c r="M40" i="8"/>
  <c r="L40" i="8"/>
  <c r="K40" i="8"/>
  <c r="J40" i="8"/>
  <c r="M39" i="8"/>
  <c r="L39" i="8"/>
  <c r="K39" i="8"/>
  <c r="J39" i="8"/>
  <c r="M38" i="8"/>
  <c r="L38" i="8"/>
  <c r="K38" i="8"/>
  <c r="J38" i="8"/>
  <c r="P48" i="12"/>
  <c r="M48" i="12"/>
  <c r="AI6" i="8"/>
  <c r="AJ6" i="8" s="1"/>
  <c r="AK6" i="8"/>
  <c r="AL6" i="8"/>
  <c r="AM6" i="8"/>
  <c r="AN6" i="8"/>
  <c r="AI7" i="8"/>
  <c r="AJ7" i="8"/>
  <c r="AP7" i="8" s="1"/>
  <c r="AK7" i="8"/>
  <c r="AL7" i="8"/>
  <c r="AM7" i="8"/>
  <c r="AN7" i="8"/>
  <c r="AI8" i="8"/>
  <c r="AJ8" i="8" s="1"/>
  <c r="AK8" i="8"/>
  <c r="AL8" i="8"/>
  <c r="AM8" i="8"/>
  <c r="AN8" i="8"/>
  <c r="AI9" i="8"/>
  <c r="AK9" i="8"/>
  <c r="AL9" i="8"/>
  <c r="AM9" i="8"/>
  <c r="AJ9" i="8" s="1"/>
  <c r="AP9" i="8" s="1"/>
  <c r="AN9" i="8"/>
  <c r="AI10" i="8"/>
  <c r="AK10" i="8"/>
  <c r="AL10" i="8"/>
  <c r="AM10" i="8"/>
  <c r="AJ10" i="8" s="1"/>
  <c r="AN10" i="8"/>
  <c r="AP10" i="8" s="1"/>
  <c r="AI11" i="8"/>
  <c r="AK11" i="8"/>
  <c r="AL11" i="8"/>
  <c r="AM11" i="8"/>
  <c r="AN11" i="8"/>
  <c r="AI12" i="8"/>
  <c r="AK12" i="8"/>
  <c r="AL12" i="8"/>
  <c r="AM12" i="8"/>
  <c r="AJ12" i="8" s="1"/>
  <c r="AN12" i="8"/>
  <c r="AP12" i="8" s="1"/>
  <c r="AI13" i="8"/>
  <c r="AK13" i="8"/>
  <c r="AL13" i="8"/>
  <c r="AM13" i="8"/>
  <c r="AJ13" i="8" s="1"/>
  <c r="AO13" i="8" s="1"/>
  <c r="AN13" i="8"/>
  <c r="AI14" i="8"/>
  <c r="AK14" i="8"/>
  <c r="AL14" i="8"/>
  <c r="AM14" i="8"/>
  <c r="AN14" i="8"/>
  <c r="AI15" i="8"/>
  <c r="AJ15" i="8"/>
  <c r="AK15" i="8"/>
  <c r="AL15" i="8"/>
  <c r="AM15" i="8"/>
  <c r="AN15" i="8"/>
  <c r="AI16" i="8"/>
  <c r="AJ16" i="8" s="1"/>
  <c r="AK16" i="8"/>
  <c r="AL16" i="8"/>
  <c r="AM16" i="8"/>
  <c r="AN16" i="8"/>
  <c r="AI17" i="8"/>
  <c r="AK17" i="8"/>
  <c r="AL17" i="8"/>
  <c r="AM17" i="8"/>
  <c r="AN17" i="8"/>
  <c r="AI18" i="8"/>
  <c r="AK18" i="8"/>
  <c r="AL18" i="8"/>
  <c r="AM18" i="8"/>
  <c r="AN18" i="8"/>
  <c r="AQ170" i="8"/>
  <c r="AQ171" i="8" s="1"/>
  <c r="AQ172" i="8" s="1"/>
  <c r="AQ173" i="8" s="1"/>
  <c r="AQ174" i="8" s="1"/>
  <c r="AQ175" i="8" s="1"/>
  <c r="AQ176" i="8" s="1"/>
  <c r="AQ177" i="8" s="1"/>
  <c r="AQ178" i="8" s="1"/>
  <c r="AQ179" i="8" s="1"/>
  <c r="AQ180" i="8" s="1"/>
  <c r="AQ181" i="8" s="1"/>
  <c r="AQ182" i="8" s="1"/>
  <c r="AQ183" i="8" s="1"/>
  <c r="AQ184" i="8" s="1"/>
  <c r="AQ148" i="8"/>
  <c r="AQ149" i="8" s="1"/>
  <c r="AQ150" i="8" s="1"/>
  <c r="AQ151" i="8" s="1"/>
  <c r="AQ152" i="8" s="1"/>
  <c r="AQ153" i="8" s="1"/>
  <c r="AQ154" i="8" s="1"/>
  <c r="AQ155" i="8" s="1"/>
  <c r="AQ156" i="8" s="1"/>
  <c r="AQ157" i="8" s="1"/>
  <c r="AQ158" i="8" s="1"/>
  <c r="AQ159" i="8" s="1"/>
  <c r="AQ160" i="8" s="1"/>
  <c r="AQ161" i="8" s="1"/>
  <c r="AQ162" i="8" s="1"/>
  <c r="AQ126" i="8"/>
  <c r="AQ127" i="8" s="1"/>
  <c r="AQ128" i="8" s="1"/>
  <c r="AQ129" i="8" s="1"/>
  <c r="AQ130" i="8" s="1"/>
  <c r="AQ131" i="8" s="1"/>
  <c r="AQ132" i="8" s="1"/>
  <c r="AQ133" i="8" s="1"/>
  <c r="AQ134" i="8" s="1"/>
  <c r="AQ135" i="8" s="1"/>
  <c r="AQ136" i="8" s="1"/>
  <c r="AQ137" i="8" s="1"/>
  <c r="AQ138" i="8" s="1"/>
  <c r="AQ139" i="8" s="1"/>
  <c r="AQ140" i="8" s="1"/>
  <c r="AQ106" i="8"/>
  <c r="AQ107" i="8" s="1"/>
  <c r="AQ108" i="8" s="1"/>
  <c r="AQ109" i="8" s="1"/>
  <c r="AQ110" i="8" s="1"/>
  <c r="AQ111" i="8" s="1"/>
  <c r="AQ112" i="8" s="1"/>
  <c r="AQ113" i="8" s="1"/>
  <c r="AQ114" i="8" s="1"/>
  <c r="AQ115" i="8" s="1"/>
  <c r="AQ116" i="8" s="1"/>
  <c r="AQ117" i="8" s="1"/>
  <c r="AQ118" i="8" s="1"/>
  <c r="AQ119" i="8" s="1"/>
  <c r="AQ105" i="8"/>
  <c r="AR105" i="8" s="1"/>
  <c r="AR83" i="8"/>
  <c r="AQ83" i="8"/>
  <c r="AQ84" i="8" s="1"/>
  <c r="AQ85" i="8" s="1"/>
  <c r="AQ86" i="8" s="1"/>
  <c r="AQ87" i="8" s="1"/>
  <c r="AQ88" i="8" s="1"/>
  <c r="AQ89" i="8" s="1"/>
  <c r="AQ90" i="8" s="1"/>
  <c r="AQ91" i="8" s="1"/>
  <c r="AQ92" i="8" s="1"/>
  <c r="AQ93" i="8" s="1"/>
  <c r="AQ94" i="8" s="1"/>
  <c r="AQ95" i="8" s="1"/>
  <c r="AQ96" i="8" s="1"/>
  <c r="AQ97" i="8" s="1"/>
  <c r="AQ61" i="8"/>
  <c r="AQ62" i="8" s="1"/>
  <c r="AQ63" i="8" s="1"/>
  <c r="AQ64" i="8" s="1"/>
  <c r="AQ65" i="8" s="1"/>
  <c r="AQ66" i="8" s="1"/>
  <c r="AQ67" i="8" s="1"/>
  <c r="AQ68" i="8" s="1"/>
  <c r="AQ69" i="8" s="1"/>
  <c r="AQ70" i="8" s="1"/>
  <c r="AQ71" i="8" s="1"/>
  <c r="AQ72" i="8" s="1"/>
  <c r="AQ73" i="8" s="1"/>
  <c r="AQ74" i="8" s="1"/>
  <c r="AQ75" i="8" s="1"/>
  <c r="AQ40" i="8"/>
  <c r="AQ41" i="8" s="1"/>
  <c r="AQ42" i="8" s="1"/>
  <c r="AQ43" i="8" s="1"/>
  <c r="AQ44" i="8" s="1"/>
  <c r="AQ45" i="8" s="1"/>
  <c r="AQ46" i="8" s="1"/>
  <c r="AQ47" i="8" s="1"/>
  <c r="AQ48" i="8" s="1"/>
  <c r="AQ49" i="8" s="1"/>
  <c r="AQ50" i="8" s="1"/>
  <c r="AQ51" i="8" s="1"/>
  <c r="AQ52" i="8" s="1"/>
  <c r="AQ53" i="8" s="1"/>
  <c r="AQ54" i="8" s="1"/>
  <c r="Z150" i="8"/>
  <c r="Z151" i="8" s="1"/>
  <c r="Z152" i="8" s="1"/>
  <c r="Z153" i="8" s="1"/>
  <c r="Z154" i="8" s="1"/>
  <c r="Z155" i="8" s="1"/>
  <c r="Z156" i="8" s="1"/>
  <c r="Z157" i="8" s="1"/>
  <c r="Z158" i="8" s="1"/>
  <c r="Z159" i="8" s="1"/>
  <c r="Z160" i="8" s="1"/>
  <c r="Z161" i="8" s="1"/>
  <c r="Z162" i="8" s="1"/>
  <c r="Z163" i="8" s="1"/>
  <c r="Z149" i="8"/>
  <c r="AA149" i="8" s="1"/>
  <c r="Z127" i="8"/>
  <c r="Z128" i="8" s="1"/>
  <c r="Z129" i="8" s="1"/>
  <c r="Z130" i="8" s="1"/>
  <c r="Z131" i="8" s="1"/>
  <c r="Z132" i="8" s="1"/>
  <c r="Z133" i="8" s="1"/>
  <c r="Z134" i="8" s="1"/>
  <c r="Z135" i="8" s="1"/>
  <c r="Z136" i="8" s="1"/>
  <c r="Z137" i="8" s="1"/>
  <c r="Z138" i="8" s="1"/>
  <c r="Z139" i="8" s="1"/>
  <c r="Z140" i="8" s="1"/>
  <c r="Z141" i="8" s="1"/>
  <c r="Z106" i="8"/>
  <c r="Z84" i="8"/>
  <c r="Z85" i="8" s="1"/>
  <c r="Z62" i="8"/>
  <c r="Z63" i="8" s="1"/>
  <c r="Z64" i="8" s="1"/>
  <c r="Z65" i="8" s="1"/>
  <c r="Z66" i="8" s="1"/>
  <c r="Z67" i="8" s="1"/>
  <c r="Z68" i="8" s="1"/>
  <c r="Z69" i="8" s="1"/>
  <c r="Z70" i="8" s="1"/>
  <c r="Z71" i="8" s="1"/>
  <c r="Z72" i="8" s="1"/>
  <c r="Z73" i="8" s="1"/>
  <c r="Z74" i="8" s="1"/>
  <c r="Z75" i="8" s="1"/>
  <c r="Z76" i="8" s="1"/>
  <c r="Z40" i="8"/>
  <c r="Z41" i="8" s="1"/>
  <c r="Z42" i="8" s="1"/>
  <c r="Z43" i="8" s="1"/>
  <c r="Z44" i="8" s="1"/>
  <c r="Z45" i="8" s="1"/>
  <c r="Z46" i="8" s="1"/>
  <c r="Z47" i="8" s="1"/>
  <c r="Z48" i="8" s="1"/>
  <c r="Z49" i="8" s="1"/>
  <c r="Z50" i="8" s="1"/>
  <c r="Z51" i="8" s="1"/>
  <c r="Z52" i="8" s="1"/>
  <c r="Z53" i="8" s="1"/>
  <c r="Z54" i="8" s="1"/>
  <c r="J37" i="9"/>
  <c r="B12" i="9"/>
  <c r="T6" i="12"/>
  <c r="C129" i="8"/>
  <c r="D129" i="8" s="1"/>
  <c r="AS12" i="8" l="1"/>
  <c r="AO12" i="8"/>
  <c r="AS10" i="8"/>
  <c r="AO10" i="8"/>
  <c r="AQ12" i="8"/>
  <c r="AQ10" i="8"/>
  <c r="AO17" i="8"/>
  <c r="AS7" i="8"/>
  <c r="AJ17" i="8"/>
  <c r="AP17" i="8" s="1"/>
  <c r="AS11" i="8"/>
  <c r="AO11" i="8"/>
  <c r="AS13" i="8"/>
  <c r="AS9" i="8"/>
  <c r="AJ18" i="8"/>
  <c r="AP18" i="8" s="1"/>
  <c r="AO15" i="8"/>
  <c r="AJ11" i="8"/>
  <c r="AP11" i="8" s="1"/>
  <c r="AS17" i="8"/>
  <c r="AO9" i="8"/>
  <c r="AS15" i="8"/>
  <c r="AJ14" i="8"/>
  <c r="AS14" i="8" s="1"/>
  <c r="AO7" i="8"/>
  <c r="AQ7" i="8" s="1"/>
  <c r="AP15" i="8"/>
  <c r="AP8" i="8"/>
  <c r="AS8" i="8"/>
  <c r="AO8" i="8"/>
  <c r="AQ11" i="8"/>
  <c r="AQ9" i="8"/>
  <c r="AP14" i="8"/>
  <c r="AP16" i="8"/>
  <c r="AS16" i="8"/>
  <c r="AO16" i="8"/>
  <c r="AQ15" i="8"/>
  <c r="AO6" i="8"/>
  <c r="AS6" i="8"/>
  <c r="AP6" i="8"/>
  <c r="AP13" i="8"/>
  <c r="AQ13" i="8" s="1"/>
  <c r="Z107" i="8"/>
  <c r="Z108" i="8" s="1"/>
  <c r="Z109" i="8" s="1"/>
  <c r="Z110" i="8" s="1"/>
  <c r="Z111" i="8" s="1"/>
  <c r="Z112" i="8" s="1"/>
  <c r="Z113" i="8" s="1"/>
  <c r="Z114" i="8" s="1"/>
  <c r="Z115" i="8" s="1"/>
  <c r="Z116" i="8" s="1"/>
  <c r="Z117" i="8" s="1"/>
  <c r="Z118" i="8" s="1"/>
  <c r="Z119" i="8" s="1"/>
  <c r="Z120" i="8" s="1"/>
  <c r="AA106" i="8"/>
  <c r="AA107" i="8" s="1"/>
  <c r="AA108" i="8" s="1"/>
  <c r="AA109" i="8" s="1"/>
  <c r="AA110" i="8" s="1"/>
  <c r="AA111" i="8" s="1"/>
  <c r="AA112" i="8" s="1"/>
  <c r="AA113" i="8" s="1"/>
  <c r="AA114" i="8" s="1"/>
  <c r="AA115" i="8" s="1"/>
  <c r="AA116" i="8" s="1"/>
  <c r="AA117" i="8" s="1"/>
  <c r="AA118" i="8" s="1"/>
  <c r="AA119" i="8" s="1"/>
  <c r="AA120" i="8" s="1"/>
  <c r="AA127" i="8"/>
  <c r="AA62" i="8"/>
  <c r="AR40" i="8"/>
  <c r="AR126" i="8"/>
  <c r="AR127" i="8" s="1"/>
  <c r="AR128" i="8" s="1"/>
  <c r="AR129" i="8" s="1"/>
  <c r="AR130" i="8" s="1"/>
  <c r="AR131" i="8" s="1"/>
  <c r="AR132" i="8" s="1"/>
  <c r="AR133" i="8" s="1"/>
  <c r="AR134" i="8" s="1"/>
  <c r="AR135" i="8" s="1"/>
  <c r="AR136" i="8" s="1"/>
  <c r="AR137" i="8" s="1"/>
  <c r="AR138" i="8" s="1"/>
  <c r="AR139" i="8" s="1"/>
  <c r="AR140" i="8" s="1"/>
  <c r="AR61" i="8"/>
  <c r="AR62" i="8" s="1"/>
  <c r="AR63" i="8" s="1"/>
  <c r="AR64" i="8" s="1"/>
  <c r="AR65" i="8" s="1"/>
  <c r="AR66" i="8" s="1"/>
  <c r="AR67" i="8" s="1"/>
  <c r="AR68" i="8" s="1"/>
  <c r="AR69" i="8" s="1"/>
  <c r="AR70" i="8" s="1"/>
  <c r="AR71" i="8" s="1"/>
  <c r="AR72" i="8" s="1"/>
  <c r="AR73" i="8" s="1"/>
  <c r="AR74" i="8" s="1"/>
  <c r="AR75" i="8" s="1"/>
  <c r="AR148" i="8"/>
  <c r="AR149" i="8" s="1"/>
  <c r="AR150" i="8" s="1"/>
  <c r="AR151" i="8" s="1"/>
  <c r="AR152" i="8" s="1"/>
  <c r="AR153" i="8" s="1"/>
  <c r="AR154" i="8" s="1"/>
  <c r="AR155" i="8" s="1"/>
  <c r="AR156" i="8" s="1"/>
  <c r="AR157" i="8" s="1"/>
  <c r="AR158" i="8" s="1"/>
  <c r="AR159" i="8" s="1"/>
  <c r="AR160" i="8" s="1"/>
  <c r="AR161" i="8" s="1"/>
  <c r="AR162" i="8" s="1"/>
  <c r="AR84" i="8"/>
  <c r="AR85" i="8" s="1"/>
  <c r="AR86" i="8" s="1"/>
  <c r="AR87" i="8" s="1"/>
  <c r="AR88" i="8" s="1"/>
  <c r="AR89" i="8" s="1"/>
  <c r="AR90" i="8" s="1"/>
  <c r="AR91" i="8" s="1"/>
  <c r="AR92" i="8" s="1"/>
  <c r="AR93" i="8" s="1"/>
  <c r="AR94" i="8" s="1"/>
  <c r="AR95" i="8" s="1"/>
  <c r="AR96" i="8" s="1"/>
  <c r="AR97" i="8" s="1"/>
  <c r="AA84" i="8"/>
  <c r="AA150" i="8"/>
  <c r="AA151" i="8" s="1"/>
  <c r="AA152" i="8" s="1"/>
  <c r="AA153" i="8" s="1"/>
  <c r="AA154" i="8" s="1"/>
  <c r="AA155" i="8" s="1"/>
  <c r="AA156" i="8" s="1"/>
  <c r="AA157" i="8" s="1"/>
  <c r="AA158" i="8" s="1"/>
  <c r="AA159" i="8" s="1"/>
  <c r="AA160" i="8" s="1"/>
  <c r="AA161" i="8" s="1"/>
  <c r="AA162" i="8" s="1"/>
  <c r="AA163" i="8" s="1"/>
  <c r="AR170" i="8"/>
  <c r="AR171" i="8" s="1"/>
  <c r="AR172" i="8" s="1"/>
  <c r="AR173" i="8" s="1"/>
  <c r="AR174" i="8" s="1"/>
  <c r="AR175" i="8" s="1"/>
  <c r="AR176" i="8" s="1"/>
  <c r="AR177" i="8" s="1"/>
  <c r="AR178" i="8" s="1"/>
  <c r="AR179" i="8" s="1"/>
  <c r="AR180" i="8" s="1"/>
  <c r="AR181" i="8" s="1"/>
  <c r="AR182" i="8" s="1"/>
  <c r="AR183" i="8" s="1"/>
  <c r="AR184" i="8" s="1"/>
  <c r="AR106" i="8"/>
  <c r="AR107" i="8" s="1"/>
  <c r="AR108" i="8" s="1"/>
  <c r="AR109" i="8" s="1"/>
  <c r="AR110" i="8" s="1"/>
  <c r="AR111" i="8" s="1"/>
  <c r="AR112" i="8" s="1"/>
  <c r="AR113" i="8" s="1"/>
  <c r="AR114" i="8" s="1"/>
  <c r="AR115" i="8" s="1"/>
  <c r="AR116" i="8" s="1"/>
  <c r="AR117" i="8" s="1"/>
  <c r="AR118" i="8" s="1"/>
  <c r="AR119" i="8" s="1"/>
  <c r="AR41" i="8"/>
  <c r="AR42" i="8"/>
  <c r="AR43" i="8" s="1"/>
  <c r="AR44" i="8" s="1"/>
  <c r="AR45" i="8" s="1"/>
  <c r="AR46" i="8" s="1"/>
  <c r="AR47" i="8" s="1"/>
  <c r="AR48" i="8" s="1"/>
  <c r="AR49" i="8" s="1"/>
  <c r="AR50" i="8" s="1"/>
  <c r="AR51" i="8" s="1"/>
  <c r="AR52" i="8" s="1"/>
  <c r="AR53" i="8" s="1"/>
  <c r="AR54" i="8" s="1"/>
  <c r="AA128" i="8"/>
  <c r="AA129" i="8" s="1"/>
  <c r="AA130" i="8" s="1"/>
  <c r="AA131" i="8" s="1"/>
  <c r="AA132" i="8" s="1"/>
  <c r="AA133" i="8" s="1"/>
  <c r="AA134" i="8" s="1"/>
  <c r="AA135" i="8" s="1"/>
  <c r="AA136" i="8" s="1"/>
  <c r="AA137" i="8" s="1"/>
  <c r="AA138" i="8" s="1"/>
  <c r="AA139" i="8" s="1"/>
  <c r="AA140" i="8" s="1"/>
  <c r="AA141" i="8" s="1"/>
  <c r="AA85" i="8"/>
  <c r="Z86" i="8"/>
  <c r="Z87" i="8" s="1"/>
  <c r="Z88" i="8" s="1"/>
  <c r="Z89" i="8" s="1"/>
  <c r="Z90" i="8" s="1"/>
  <c r="Z91" i="8" s="1"/>
  <c r="Z92" i="8" s="1"/>
  <c r="Z93" i="8" s="1"/>
  <c r="Z94" i="8" s="1"/>
  <c r="Z95" i="8" s="1"/>
  <c r="Z96" i="8" s="1"/>
  <c r="Z97" i="8" s="1"/>
  <c r="Z98" i="8" s="1"/>
  <c r="AA63" i="8"/>
  <c r="AA64" i="8" s="1"/>
  <c r="AA65" i="8" s="1"/>
  <c r="AA66" i="8" s="1"/>
  <c r="AA67" i="8" s="1"/>
  <c r="AA68" i="8" s="1"/>
  <c r="AA69" i="8" s="1"/>
  <c r="AA70" i="8" s="1"/>
  <c r="AA71" i="8" s="1"/>
  <c r="AA72" i="8" s="1"/>
  <c r="AA73" i="8" s="1"/>
  <c r="AA74" i="8" s="1"/>
  <c r="AA75" i="8" s="1"/>
  <c r="AA76" i="8" s="1"/>
  <c r="AA40" i="8"/>
  <c r="AA41" i="8" s="1"/>
  <c r="AA42" i="8" s="1"/>
  <c r="AA43" i="8" s="1"/>
  <c r="AA44" i="8" s="1"/>
  <c r="AA45" i="8" s="1"/>
  <c r="AA46" i="8" s="1"/>
  <c r="AA47" i="8" s="1"/>
  <c r="AA48" i="8" s="1"/>
  <c r="AA49" i="8" s="1"/>
  <c r="AA50" i="8" s="1"/>
  <c r="AA51" i="8" s="1"/>
  <c r="AA52" i="8" s="1"/>
  <c r="AA53" i="8" s="1"/>
  <c r="AA54" i="8" s="1"/>
  <c r="C130" i="8"/>
  <c r="C131" i="8" s="1"/>
  <c r="C132" i="8" s="1"/>
  <c r="C133" i="8" s="1"/>
  <c r="C134" i="8" s="1"/>
  <c r="C135" i="8" s="1"/>
  <c r="C136" i="8" s="1"/>
  <c r="C137" i="8" s="1"/>
  <c r="C138" i="8" s="1"/>
  <c r="C139" i="8" s="1"/>
  <c r="C140" i="8" s="1"/>
  <c r="C141" i="8" s="1"/>
  <c r="C142" i="8" s="1"/>
  <c r="C143" i="8" s="1"/>
  <c r="D130" i="8"/>
  <c r="D131" i="8" s="1"/>
  <c r="D132" i="8" s="1"/>
  <c r="D133" i="8" s="1"/>
  <c r="D134" i="8" s="1"/>
  <c r="D135" i="8" s="1"/>
  <c r="D136" i="8" s="1"/>
  <c r="D137" i="8" s="1"/>
  <c r="D138" i="8" s="1"/>
  <c r="D139" i="8" s="1"/>
  <c r="D140" i="8" s="1"/>
  <c r="D141" i="8" s="1"/>
  <c r="D142" i="8" s="1"/>
  <c r="D143" i="8" s="1"/>
  <c r="AO18" i="8" l="1"/>
  <c r="AQ18" i="8" s="1"/>
  <c r="AS18" i="8"/>
  <c r="AQ6" i="8"/>
  <c r="AQ17" i="8"/>
  <c r="AO14" i="8"/>
  <c r="AQ14" i="8" s="1"/>
  <c r="AQ16" i="8"/>
  <c r="AQ8" i="8"/>
  <c r="AA86" i="8"/>
  <c r="AA87" i="8" s="1"/>
  <c r="AA88" i="8" s="1"/>
  <c r="AA89" i="8" s="1"/>
  <c r="AA90" i="8" s="1"/>
  <c r="AA91" i="8" s="1"/>
  <c r="AA92" i="8" s="1"/>
  <c r="AA93" i="8" s="1"/>
  <c r="AA94" i="8" s="1"/>
  <c r="AA95" i="8" s="1"/>
  <c r="AA96" i="8" s="1"/>
  <c r="AA97" i="8" s="1"/>
  <c r="AA98" i="8" s="1"/>
  <c r="C104" i="8"/>
  <c r="C105" i="8" s="1"/>
  <c r="C80" i="8"/>
  <c r="C81" i="8" s="1"/>
  <c r="C82" i="8" s="1"/>
  <c r="C83" i="8" s="1"/>
  <c r="C84" i="8" s="1"/>
  <c r="C85" i="8" s="1"/>
  <c r="C86" i="8" s="1"/>
  <c r="C87" i="8" s="1"/>
  <c r="C88" i="8" s="1"/>
  <c r="C89" i="8" s="1"/>
  <c r="C90" i="8" s="1"/>
  <c r="C91" i="8" s="1"/>
  <c r="C92" i="8" s="1"/>
  <c r="C93" i="8" s="1"/>
  <c r="C94" i="8" s="1"/>
  <c r="D80" i="8" l="1"/>
  <c r="D81" i="8" s="1"/>
  <c r="D82" i="8" s="1"/>
  <c r="D83" i="8" s="1"/>
  <c r="D84" i="8" s="1"/>
  <c r="D85" i="8" s="1"/>
  <c r="D86" i="8" s="1"/>
  <c r="D87" i="8" s="1"/>
  <c r="D88" i="8" s="1"/>
  <c r="D89" i="8" s="1"/>
  <c r="D90" i="8" s="1"/>
  <c r="D91" i="8" s="1"/>
  <c r="D92" i="8" s="1"/>
  <c r="D93" i="8" s="1"/>
  <c r="D94" i="8" s="1"/>
  <c r="D104" i="8"/>
  <c r="D105" i="8" s="1"/>
  <c r="D106" i="8" s="1"/>
  <c r="D107" i="8" s="1"/>
  <c r="D108" i="8" s="1"/>
  <c r="D109" i="8" s="1"/>
  <c r="D110" i="8" s="1"/>
  <c r="D111" i="8" s="1"/>
  <c r="D112" i="8" s="1"/>
  <c r="D113" i="8" s="1"/>
  <c r="D114" i="8" s="1"/>
  <c r="D115" i="8" s="1"/>
  <c r="D116" i="8" s="1"/>
  <c r="D117" i="8" s="1"/>
  <c r="D118" i="8" s="1"/>
  <c r="C106" i="8"/>
  <c r="C107" i="8" s="1"/>
  <c r="C108" i="8" s="1"/>
  <c r="C109" i="8" s="1"/>
  <c r="C110" i="8" s="1"/>
  <c r="C111" i="8" s="1"/>
  <c r="C112" i="8" s="1"/>
  <c r="C113" i="8" s="1"/>
  <c r="C114" i="8" s="1"/>
  <c r="C115" i="8" s="1"/>
  <c r="C116" i="8" s="1"/>
  <c r="C117" i="8" s="1"/>
  <c r="C118" i="8" s="1"/>
  <c r="C56" i="8"/>
  <c r="C57" i="8" s="1"/>
  <c r="C58" i="8" s="1"/>
  <c r="C59" i="8" s="1"/>
  <c r="C60" i="8" s="1"/>
  <c r="C61" i="8" s="1"/>
  <c r="C62" i="8" s="1"/>
  <c r="C63" i="8" s="1"/>
  <c r="C64" i="8" s="1"/>
  <c r="C65" i="8" s="1"/>
  <c r="C66" i="8" s="1"/>
  <c r="C67" i="8" s="1"/>
  <c r="C68" i="8" s="1"/>
  <c r="C69" i="8" s="1"/>
  <c r="C70" i="8" s="1"/>
  <c r="S281" i="8"/>
  <c r="G32" i="8"/>
  <c r="B30" i="8"/>
  <c r="G21" i="8"/>
  <c r="C15" i="8"/>
  <c r="G13" i="8"/>
  <c r="G12" i="8"/>
  <c r="C10" i="8"/>
  <c r="C9" i="8"/>
  <c r="C7" i="8"/>
  <c r="C4" i="8"/>
  <c r="AV171" i="8" l="1"/>
  <c r="AV179" i="8"/>
  <c r="AV148" i="8"/>
  <c r="AV156" i="8"/>
  <c r="AV128" i="8"/>
  <c r="AV136" i="8"/>
  <c r="AV109" i="8"/>
  <c r="AV117" i="8"/>
  <c r="AV86" i="8"/>
  <c r="AV94" i="8"/>
  <c r="AV66" i="8"/>
  <c r="AV74" i="8"/>
  <c r="AV45" i="8"/>
  <c r="AV53" i="8"/>
  <c r="AE151" i="8"/>
  <c r="AE159" i="8"/>
  <c r="AE126" i="8"/>
  <c r="AE134" i="8"/>
  <c r="AE106" i="8"/>
  <c r="AE114" i="8"/>
  <c r="AE91" i="8"/>
  <c r="AE83" i="8"/>
  <c r="AE62" i="8"/>
  <c r="AE70" i="8"/>
  <c r="AV172" i="8"/>
  <c r="AV180" i="8"/>
  <c r="AV149" i="8"/>
  <c r="AV157" i="8"/>
  <c r="AV129" i="8"/>
  <c r="AV137" i="8"/>
  <c r="AV110" i="8"/>
  <c r="AV118" i="8"/>
  <c r="AV87" i="8"/>
  <c r="AV95" i="8"/>
  <c r="AV67" i="8"/>
  <c r="AV75" i="8"/>
  <c r="AV46" i="8"/>
  <c r="AV54" i="8"/>
  <c r="AE152" i="8"/>
  <c r="AE160" i="8"/>
  <c r="AE127" i="8"/>
  <c r="AE135" i="8"/>
  <c r="AE107" i="8"/>
  <c r="AE115" i="8"/>
  <c r="AE84" i="8"/>
  <c r="AE92" i="8"/>
  <c r="AE63" i="8"/>
  <c r="AE71" i="8"/>
  <c r="AV173" i="8"/>
  <c r="AV181" i="8"/>
  <c r="AV150" i="8"/>
  <c r="AV158" i="8"/>
  <c r="AV130" i="8"/>
  <c r="AV138" i="8"/>
  <c r="AV111" i="8"/>
  <c r="AV119" i="8"/>
  <c r="AV88" i="8"/>
  <c r="AV96" i="8"/>
  <c r="AV68" i="8"/>
  <c r="AV60" i="8"/>
  <c r="AV47" i="8"/>
  <c r="AE153" i="8"/>
  <c r="AE161" i="8"/>
  <c r="AE128" i="8"/>
  <c r="AE136" i="8"/>
  <c r="AE108" i="8"/>
  <c r="AE116" i="8"/>
  <c r="AE85" i="8"/>
  <c r="AE93" i="8"/>
  <c r="AE64" i="8"/>
  <c r="AE72" i="8"/>
  <c r="AV174" i="8"/>
  <c r="AV182" i="8"/>
  <c r="AV151" i="8"/>
  <c r="AV159" i="8"/>
  <c r="AV131" i="8"/>
  <c r="AV139" i="8"/>
  <c r="AV125" i="8"/>
  <c r="AV112" i="8"/>
  <c r="AV104" i="8"/>
  <c r="AV89" i="8"/>
  <c r="AV97" i="8"/>
  <c r="AV61" i="8"/>
  <c r="AV69" i="8"/>
  <c r="AV40" i="8"/>
  <c r="AV48" i="8"/>
  <c r="AE154" i="8"/>
  <c r="AE162" i="8"/>
  <c r="AE129" i="8"/>
  <c r="AE137" i="8"/>
  <c r="AE109" i="8"/>
  <c r="AE117" i="8"/>
  <c r="AE86" i="8"/>
  <c r="AE94" i="8"/>
  <c r="AE65" i="8"/>
  <c r="AE73" i="8"/>
  <c r="AV175" i="8"/>
  <c r="AV183" i="8"/>
  <c r="AV152" i="8"/>
  <c r="AV160" i="8"/>
  <c r="AV132" i="8"/>
  <c r="AV140" i="8"/>
  <c r="AV105" i="8"/>
  <c r="AV113" i="8"/>
  <c r="AV90" i="8"/>
  <c r="AV82" i="8"/>
  <c r="AV62" i="8"/>
  <c r="AV70" i="8"/>
  <c r="AV41" i="8"/>
  <c r="AV49" i="8"/>
  <c r="AE155" i="8"/>
  <c r="AE163" i="8"/>
  <c r="AE130" i="8"/>
  <c r="AE138" i="8"/>
  <c r="AE110" i="8"/>
  <c r="AE118" i="8"/>
  <c r="AE87" i="8"/>
  <c r="AE95" i="8"/>
  <c r="AE66" i="8"/>
  <c r="AE74" i="8"/>
  <c r="AV176" i="8"/>
  <c r="AV184" i="8"/>
  <c r="AV169" i="8"/>
  <c r="AV153" i="8"/>
  <c r="AV161" i="8"/>
  <c r="AV133" i="8"/>
  <c r="AV106" i="8"/>
  <c r="AV114" i="8"/>
  <c r="AV83" i="8"/>
  <c r="AV91" i="8"/>
  <c r="AV63" i="8"/>
  <c r="AV71" i="8"/>
  <c r="AV42" i="8"/>
  <c r="AV50" i="8"/>
  <c r="AE156" i="8"/>
  <c r="AE131" i="8"/>
  <c r="AE139" i="8"/>
  <c r="AE111" i="8"/>
  <c r="AE119" i="8"/>
  <c r="AE88" i="8"/>
  <c r="AE96" i="8"/>
  <c r="AE67" i="8"/>
  <c r="AE75" i="8"/>
  <c r="AV170" i="8"/>
  <c r="AV178" i="8"/>
  <c r="AV155" i="8"/>
  <c r="AV147" i="8"/>
  <c r="AV127" i="8"/>
  <c r="AV135" i="8"/>
  <c r="AV108" i="8"/>
  <c r="AV116" i="8"/>
  <c r="AV85" i="8"/>
  <c r="AV93" i="8"/>
  <c r="AV65" i="8"/>
  <c r="AV73" i="8"/>
  <c r="AV44" i="8"/>
  <c r="AV52" i="8"/>
  <c r="AV39" i="8"/>
  <c r="AE150" i="8"/>
  <c r="AE158" i="8"/>
  <c r="AE148" i="8"/>
  <c r="AE133" i="8"/>
  <c r="AE141" i="8"/>
  <c r="AE113" i="8"/>
  <c r="AE105" i="8"/>
  <c r="AE90" i="8"/>
  <c r="AE98" i="8"/>
  <c r="AE69" i="8"/>
  <c r="AE61" i="8"/>
  <c r="AV162" i="8"/>
  <c r="AV126" i="8"/>
  <c r="AE157" i="8"/>
  <c r="AE112" i="8"/>
  <c r="AE89" i="8"/>
  <c r="AE68" i="8"/>
  <c r="AE42" i="8"/>
  <c r="AE50" i="8"/>
  <c r="H133" i="8"/>
  <c r="H141" i="8"/>
  <c r="H105" i="8"/>
  <c r="H113" i="8"/>
  <c r="AV134" i="8"/>
  <c r="AV84" i="8"/>
  <c r="AV43" i="8"/>
  <c r="AE120" i="8"/>
  <c r="AE97" i="8"/>
  <c r="AE76" i="8"/>
  <c r="AV92" i="8"/>
  <c r="AV51" i="8"/>
  <c r="AE44" i="8"/>
  <c r="AE52" i="8"/>
  <c r="H135" i="8"/>
  <c r="H143" i="8"/>
  <c r="H107" i="8"/>
  <c r="H115" i="8"/>
  <c r="AE53" i="8"/>
  <c r="AV107" i="8"/>
  <c r="AV64" i="8"/>
  <c r="AE45" i="8"/>
  <c r="AV177" i="8"/>
  <c r="AV115" i="8"/>
  <c r="AV72" i="8"/>
  <c r="AE46" i="8"/>
  <c r="AE54" i="8"/>
  <c r="H129" i="8"/>
  <c r="H137" i="8"/>
  <c r="H109" i="8"/>
  <c r="H117" i="8"/>
  <c r="AE132" i="8"/>
  <c r="AE40" i="8"/>
  <c r="AE48" i="8"/>
  <c r="AE39" i="8"/>
  <c r="T6" i="8"/>
  <c r="H131" i="8"/>
  <c r="H139" i="8"/>
  <c r="H128" i="8"/>
  <c r="H111" i="8"/>
  <c r="H103" i="8"/>
  <c r="AE41" i="8"/>
  <c r="H132" i="8"/>
  <c r="T7" i="8"/>
  <c r="H106" i="8"/>
  <c r="AE47" i="8"/>
  <c r="H136" i="8"/>
  <c r="H108" i="8"/>
  <c r="AE49" i="8"/>
  <c r="H138" i="8"/>
  <c r="H110" i="8"/>
  <c r="H140" i="8"/>
  <c r="H142" i="8"/>
  <c r="H114" i="8"/>
  <c r="AE140" i="8"/>
  <c r="AE51" i="8"/>
  <c r="H112" i="8"/>
  <c r="AE149" i="8"/>
  <c r="H116" i="8"/>
  <c r="H134" i="8"/>
  <c r="H130" i="8"/>
  <c r="H118" i="8"/>
  <c r="AV154" i="8"/>
  <c r="H104" i="8"/>
  <c r="AE43" i="8"/>
  <c r="AW170" i="8"/>
  <c r="AW178" i="8"/>
  <c r="AW149" i="8"/>
  <c r="AW157" i="8"/>
  <c r="AW127" i="8"/>
  <c r="AW135" i="8"/>
  <c r="AW110" i="8"/>
  <c r="AW118" i="8"/>
  <c r="AW87" i="8"/>
  <c r="AW95" i="8"/>
  <c r="AW65" i="8"/>
  <c r="AW73" i="8"/>
  <c r="AW44" i="8"/>
  <c r="AW52" i="8"/>
  <c r="AF150" i="8"/>
  <c r="AF158" i="8"/>
  <c r="AF134" i="8"/>
  <c r="AF126" i="8"/>
  <c r="AF107" i="8"/>
  <c r="AF115" i="8"/>
  <c r="AF83" i="8"/>
  <c r="AF91" i="8"/>
  <c r="AF62" i="8"/>
  <c r="AF70" i="8"/>
  <c r="AW171" i="8"/>
  <c r="AW179" i="8"/>
  <c r="AW150" i="8"/>
  <c r="AW158" i="8"/>
  <c r="AW128" i="8"/>
  <c r="AW136" i="8"/>
  <c r="AW111" i="8"/>
  <c r="AW119" i="8"/>
  <c r="AW88" i="8"/>
  <c r="AW96" i="8"/>
  <c r="AW66" i="8"/>
  <c r="AW74" i="8"/>
  <c r="AW45" i="8"/>
  <c r="AW53" i="8"/>
  <c r="AF151" i="8"/>
  <c r="AF159" i="8"/>
  <c r="AF127" i="8"/>
  <c r="AF135" i="8"/>
  <c r="AF108" i="8"/>
  <c r="AF116" i="8"/>
  <c r="AF84" i="8"/>
  <c r="AF92" i="8"/>
  <c r="AF63" i="8"/>
  <c r="AF71" i="8"/>
  <c r="AW172" i="8"/>
  <c r="AW180" i="8"/>
  <c r="AW151" i="8"/>
  <c r="AW159" i="8"/>
  <c r="AW129" i="8"/>
  <c r="AW137" i="8"/>
  <c r="AW125" i="8"/>
  <c r="AW112" i="8"/>
  <c r="AW104" i="8"/>
  <c r="AW89" i="8"/>
  <c r="AW97" i="8"/>
  <c r="AW67" i="8"/>
  <c r="AW75" i="8"/>
  <c r="AW46" i="8"/>
  <c r="AW54" i="8"/>
  <c r="AF152" i="8"/>
  <c r="AF160" i="8"/>
  <c r="AF128" i="8"/>
  <c r="AF136" i="8"/>
  <c r="AF109" i="8"/>
  <c r="AF117" i="8"/>
  <c r="AF85" i="8"/>
  <c r="AF93" i="8"/>
  <c r="AF64" i="8"/>
  <c r="AF72" i="8"/>
  <c r="AW173" i="8"/>
  <c r="AW181" i="8"/>
  <c r="AW152" i="8"/>
  <c r="AW160" i="8"/>
  <c r="AW130" i="8"/>
  <c r="AW138" i="8"/>
  <c r="AW105" i="8"/>
  <c r="AW113" i="8"/>
  <c r="AW90" i="8"/>
  <c r="AW82" i="8"/>
  <c r="AW68" i="8"/>
  <c r="AW60" i="8"/>
  <c r="AW47" i="8"/>
  <c r="AF153" i="8"/>
  <c r="AF161" i="8"/>
  <c r="AF129" i="8"/>
  <c r="AF137" i="8"/>
  <c r="AF110" i="8"/>
  <c r="AF118" i="8"/>
  <c r="AF86" i="8"/>
  <c r="AF94" i="8"/>
  <c r="AF65" i="8"/>
  <c r="AF73" i="8"/>
  <c r="AW174" i="8"/>
  <c r="AW182" i="8"/>
  <c r="AW169" i="8"/>
  <c r="AW153" i="8"/>
  <c r="AW161" i="8"/>
  <c r="AW131" i="8"/>
  <c r="AW139" i="8"/>
  <c r="AW106" i="8"/>
  <c r="AW114" i="8"/>
  <c r="AW83" i="8"/>
  <c r="AW91" i="8"/>
  <c r="AW61" i="8"/>
  <c r="AW69" i="8"/>
  <c r="AW40" i="8"/>
  <c r="AW48" i="8"/>
  <c r="AF154" i="8"/>
  <c r="AF162" i="8"/>
  <c r="AF130" i="8"/>
  <c r="AF138" i="8"/>
  <c r="AF111" i="8"/>
  <c r="AF119" i="8"/>
  <c r="AF87" i="8"/>
  <c r="AF95" i="8"/>
  <c r="AF66" i="8"/>
  <c r="AF74" i="8"/>
  <c r="AW175" i="8"/>
  <c r="AW183" i="8"/>
  <c r="AW154" i="8"/>
  <c r="AW162" i="8"/>
  <c r="AW132" i="8"/>
  <c r="AW140" i="8"/>
  <c r="AW107" i="8"/>
  <c r="AW115" i="8"/>
  <c r="AW84" i="8"/>
  <c r="AW92" i="8"/>
  <c r="AW62" i="8"/>
  <c r="AW70" i="8"/>
  <c r="AW41" i="8"/>
  <c r="AW49" i="8"/>
  <c r="AF155" i="8"/>
  <c r="AF163" i="8"/>
  <c r="AF131" i="8"/>
  <c r="AF139" i="8"/>
  <c r="AF112" i="8"/>
  <c r="AF120" i="8"/>
  <c r="AF88" i="8"/>
  <c r="AF96" i="8"/>
  <c r="AF67" i="8"/>
  <c r="AF75" i="8"/>
  <c r="AW177" i="8"/>
  <c r="AW148" i="8"/>
  <c r="AW156" i="8"/>
  <c r="AW126" i="8"/>
  <c r="AW134" i="8"/>
  <c r="AW109" i="8"/>
  <c r="AW117" i="8"/>
  <c r="AW86" i="8"/>
  <c r="AW94" i="8"/>
  <c r="AW64" i="8"/>
  <c r="AW72" i="8"/>
  <c r="AW43" i="8"/>
  <c r="AW51" i="8"/>
  <c r="AF149" i="8"/>
  <c r="AF157" i="8"/>
  <c r="AF133" i="8"/>
  <c r="AF141" i="8"/>
  <c r="AF106" i="8"/>
  <c r="AF114" i="8"/>
  <c r="AF90" i="8"/>
  <c r="AF98" i="8"/>
  <c r="AF69" i="8"/>
  <c r="AF61" i="8"/>
  <c r="AW50" i="8"/>
  <c r="AF43" i="8"/>
  <c r="AF51" i="8"/>
  <c r="I132" i="8"/>
  <c r="I140" i="8"/>
  <c r="I107" i="8"/>
  <c r="I115" i="8"/>
  <c r="AW155" i="8"/>
  <c r="AW63" i="8"/>
  <c r="AF148" i="8"/>
  <c r="AW176" i="8"/>
  <c r="AW71" i="8"/>
  <c r="AF113" i="8"/>
  <c r="AF45" i="8"/>
  <c r="AF53" i="8"/>
  <c r="I134" i="8"/>
  <c r="I142" i="8"/>
  <c r="I109" i="8"/>
  <c r="I117" i="8"/>
  <c r="AW184" i="8"/>
  <c r="AW85" i="8"/>
  <c r="AW39" i="8"/>
  <c r="AF46" i="8"/>
  <c r="AF54" i="8"/>
  <c r="AW147" i="8"/>
  <c r="AW93" i="8"/>
  <c r="AF132" i="8"/>
  <c r="AF89" i="8"/>
  <c r="AF47" i="8"/>
  <c r="I136" i="8"/>
  <c r="I111" i="8"/>
  <c r="AW108" i="8"/>
  <c r="AF140" i="8"/>
  <c r="AF105" i="8"/>
  <c r="AF97" i="8"/>
  <c r="AW116" i="8"/>
  <c r="AF156" i="8"/>
  <c r="AF68" i="8"/>
  <c r="AF41" i="8"/>
  <c r="AF49" i="8"/>
  <c r="I130" i="8"/>
  <c r="I138" i="8"/>
  <c r="I105" i="8"/>
  <c r="I113" i="8"/>
  <c r="I103" i="8"/>
  <c r="I131" i="8"/>
  <c r="I106" i="8"/>
  <c r="I108" i="8"/>
  <c r="AW133" i="8"/>
  <c r="AF52" i="8"/>
  <c r="I135" i="8"/>
  <c r="I110" i="8"/>
  <c r="I137" i="8"/>
  <c r="I112" i="8"/>
  <c r="I139" i="8"/>
  <c r="I114" i="8"/>
  <c r="AF42" i="8"/>
  <c r="I143" i="8"/>
  <c r="I118" i="8"/>
  <c r="AW42" i="8"/>
  <c r="AF40" i="8"/>
  <c r="I141" i="8"/>
  <c r="I116" i="8"/>
  <c r="AF44" i="8"/>
  <c r="AF39" i="8"/>
  <c r="I129" i="8"/>
  <c r="I128" i="8"/>
  <c r="I104" i="8"/>
  <c r="AF76" i="8"/>
  <c r="AF48" i="8"/>
  <c r="AF50" i="8"/>
  <c r="I133" i="8"/>
  <c r="F68" i="8"/>
  <c r="AT182" i="8"/>
  <c r="AT178" i="8"/>
  <c r="AT174" i="8"/>
  <c r="AT170" i="8"/>
  <c r="AT139" i="8"/>
  <c r="AT135" i="8"/>
  <c r="AT160" i="8"/>
  <c r="AT181" i="8"/>
  <c r="AT177" i="8"/>
  <c r="AT173" i="8"/>
  <c r="AT169" i="8"/>
  <c r="AT159" i="8"/>
  <c r="AT155" i="8"/>
  <c r="AT151" i="8"/>
  <c r="AT184" i="8"/>
  <c r="AT180" i="8"/>
  <c r="AT176" i="8"/>
  <c r="AT172" i="8"/>
  <c r="AT147" i="8"/>
  <c r="AT137" i="8"/>
  <c r="AT133" i="8"/>
  <c r="AT162" i="8"/>
  <c r="AT158" i="8"/>
  <c r="AT154" i="8"/>
  <c r="AT150" i="8"/>
  <c r="AT161" i="8"/>
  <c r="AT157" i="8"/>
  <c r="AT153" i="8"/>
  <c r="AT149" i="8"/>
  <c r="AT118" i="8"/>
  <c r="AT114" i="8"/>
  <c r="AT110" i="8"/>
  <c r="AT106" i="8"/>
  <c r="AT97" i="8"/>
  <c r="AT93" i="8"/>
  <c r="AT89" i="8"/>
  <c r="AT85" i="8"/>
  <c r="AT82" i="8"/>
  <c r="AT72" i="8"/>
  <c r="AT68" i="8"/>
  <c r="AT64" i="8"/>
  <c r="AC161" i="8"/>
  <c r="AC157" i="8"/>
  <c r="AC153" i="8"/>
  <c r="AC92" i="8"/>
  <c r="AC88" i="8"/>
  <c r="AC84" i="8"/>
  <c r="AC50" i="8"/>
  <c r="AC42" i="8"/>
  <c r="AT156" i="8"/>
  <c r="AT138" i="8"/>
  <c r="AT130" i="8"/>
  <c r="AT126" i="8"/>
  <c r="AT60" i="8"/>
  <c r="AT51" i="8"/>
  <c r="AT47" i="8"/>
  <c r="AT43" i="8"/>
  <c r="AC149" i="8"/>
  <c r="AC140" i="8"/>
  <c r="AC136" i="8"/>
  <c r="AC132" i="8"/>
  <c r="AC128" i="8"/>
  <c r="AC120" i="8"/>
  <c r="AC116" i="8"/>
  <c r="AC112" i="8"/>
  <c r="AC108" i="8"/>
  <c r="AC105" i="8"/>
  <c r="AC95" i="8"/>
  <c r="AT183" i="8"/>
  <c r="AT136" i="8"/>
  <c r="AT117" i="8"/>
  <c r="AT113" i="8"/>
  <c r="AT109" i="8"/>
  <c r="AT96" i="8"/>
  <c r="AT92" i="8"/>
  <c r="AT88" i="8"/>
  <c r="AT84" i="8"/>
  <c r="AT75" i="8"/>
  <c r="AT71" i="8"/>
  <c r="AT67" i="8"/>
  <c r="AT63" i="8"/>
  <c r="AT39" i="8"/>
  <c r="AC160" i="8"/>
  <c r="AC156" i="8"/>
  <c r="AC152" i="8"/>
  <c r="AC91" i="8"/>
  <c r="AC87" i="8"/>
  <c r="AC48" i="8"/>
  <c r="AC40" i="8"/>
  <c r="AC47" i="8"/>
  <c r="AT179" i="8"/>
  <c r="AT152" i="8"/>
  <c r="AT129" i="8"/>
  <c r="AT105" i="8"/>
  <c r="AT54" i="8"/>
  <c r="AT50" i="8"/>
  <c r="AT46" i="8"/>
  <c r="AT42" i="8"/>
  <c r="AC139" i="8"/>
  <c r="AC135" i="8"/>
  <c r="AC131" i="8"/>
  <c r="AC127" i="8"/>
  <c r="AC119" i="8"/>
  <c r="AC115" i="8"/>
  <c r="AC111" i="8"/>
  <c r="AC107" i="8"/>
  <c r="AC98" i="8"/>
  <c r="AC94" i="8"/>
  <c r="AC83" i="8"/>
  <c r="AC73" i="8"/>
  <c r="AC69" i="8"/>
  <c r="AC65" i="8"/>
  <c r="AT175" i="8"/>
  <c r="AT134" i="8"/>
  <c r="AT125" i="8"/>
  <c r="AT116" i="8"/>
  <c r="AT112" i="8"/>
  <c r="AT108" i="8"/>
  <c r="AT95" i="8"/>
  <c r="AT91" i="8"/>
  <c r="AT87" i="8"/>
  <c r="AT83" i="8"/>
  <c r="AT74" i="8"/>
  <c r="AT70" i="8"/>
  <c r="AT66" i="8"/>
  <c r="AT62" i="8"/>
  <c r="AC163" i="8"/>
  <c r="AC159" i="8"/>
  <c r="AC155" i="8"/>
  <c r="AC151" i="8"/>
  <c r="AC90" i="8"/>
  <c r="AC86" i="8"/>
  <c r="AC54" i="8"/>
  <c r="AC46" i="8"/>
  <c r="AC39" i="8"/>
  <c r="AT171" i="8"/>
  <c r="AT148" i="8"/>
  <c r="AT132" i="8"/>
  <c r="AT128" i="8"/>
  <c r="AT53" i="8"/>
  <c r="AT49" i="8"/>
  <c r="AT45" i="8"/>
  <c r="AT41" i="8"/>
  <c r="AC148" i="8"/>
  <c r="AC138" i="8"/>
  <c r="AC134" i="8"/>
  <c r="AC130" i="8"/>
  <c r="AC118" i="8"/>
  <c r="AC114" i="8"/>
  <c r="AC110" i="8"/>
  <c r="AC106" i="8"/>
  <c r="AC97" i="8"/>
  <c r="AT119" i="8"/>
  <c r="AT115" i="8"/>
  <c r="AT111" i="8"/>
  <c r="AT107" i="8"/>
  <c r="AT104" i="8"/>
  <c r="AT94" i="8"/>
  <c r="AT90" i="8"/>
  <c r="AT86" i="8"/>
  <c r="AT73" i="8"/>
  <c r="AT69" i="8"/>
  <c r="AT65" i="8"/>
  <c r="AT61" i="8"/>
  <c r="AC162" i="8"/>
  <c r="AC158" i="8"/>
  <c r="AC154" i="8"/>
  <c r="AC150" i="8"/>
  <c r="AC93" i="8"/>
  <c r="AC89" i="8"/>
  <c r="AC85" i="8"/>
  <c r="AC52" i="8"/>
  <c r="AC44" i="8"/>
  <c r="AC126" i="8"/>
  <c r="AC67" i="8"/>
  <c r="AT52" i="8"/>
  <c r="AT48" i="8"/>
  <c r="AC113" i="8"/>
  <c r="AC76" i="8"/>
  <c r="AC66" i="8"/>
  <c r="AC53" i="8"/>
  <c r="AT44" i="8"/>
  <c r="AC141" i="8"/>
  <c r="AC109" i="8"/>
  <c r="AC75" i="8"/>
  <c r="AC64" i="8"/>
  <c r="AC51" i="8"/>
  <c r="AC63" i="8"/>
  <c r="AC49" i="8"/>
  <c r="AT131" i="8"/>
  <c r="AC96" i="8"/>
  <c r="AC62" i="8"/>
  <c r="AC129" i="8"/>
  <c r="AC71" i="8"/>
  <c r="AT140" i="8"/>
  <c r="AT40" i="8"/>
  <c r="AC137" i="8"/>
  <c r="AC74" i="8"/>
  <c r="AC133" i="8"/>
  <c r="AC72" i="8"/>
  <c r="AC45" i="8"/>
  <c r="AT127" i="8"/>
  <c r="AC43" i="8"/>
  <c r="AC70" i="8"/>
  <c r="AC61" i="8"/>
  <c r="AC41" i="8"/>
  <c r="AC68" i="8"/>
  <c r="AC117" i="8"/>
  <c r="F64" i="8"/>
  <c r="F66" i="8"/>
  <c r="F69" i="8"/>
  <c r="F137" i="8"/>
  <c r="F133" i="8"/>
  <c r="F143" i="8"/>
  <c r="F55" i="8"/>
  <c r="F138" i="8"/>
  <c r="F134" i="8"/>
  <c r="F128" i="8"/>
  <c r="F130" i="8"/>
  <c r="F132" i="8"/>
  <c r="F139" i="8"/>
  <c r="F140" i="8"/>
  <c r="F135" i="8"/>
  <c r="F129" i="8"/>
  <c r="F141" i="8"/>
  <c r="F142" i="8"/>
  <c r="F136" i="8"/>
  <c r="F131" i="8"/>
  <c r="F70" i="8"/>
  <c r="T13" i="8"/>
  <c r="H63" i="8"/>
  <c r="H80" i="8"/>
  <c r="H88" i="8"/>
  <c r="H56" i="8"/>
  <c r="H64" i="8"/>
  <c r="H89" i="8"/>
  <c r="T14" i="8"/>
  <c r="H81" i="8"/>
  <c r="T15" i="8"/>
  <c r="H57" i="8"/>
  <c r="H65" i="8"/>
  <c r="H82" i="8"/>
  <c r="H90" i="8"/>
  <c r="H87" i="8"/>
  <c r="T8" i="8"/>
  <c r="T16" i="8"/>
  <c r="H58" i="8"/>
  <c r="H66" i="8"/>
  <c r="H83" i="8"/>
  <c r="H91" i="8"/>
  <c r="H60" i="8"/>
  <c r="H85" i="8"/>
  <c r="H55" i="8"/>
  <c r="T9" i="8"/>
  <c r="T17" i="8"/>
  <c r="H59" i="8"/>
  <c r="H67" i="8"/>
  <c r="H84" i="8"/>
  <c r="H92" i="8"/>
  <c r="T10" i="8"/>
  <c r="T18" i="8"/>
  <c r="H68" i="8"/>
  <c r="H93" i="8"/>
  <c r="T11" i="8"/>
  <c r="H61" i="8"/>
  <c r="H69" i="8"/>
  <c r="H86" i="8"/>
  <c r="H94" i="8"/>
  <c r="T12" i="8"/>
  <c r="H79" i="8"/>
  <c r="H62" i="8"/>
  <c r="H70" i="8"/>
  <c r="F56" i="8"/>
  <c r="U10" i="8"/>
  <c r="U18" i="8"/>
  <c r="I63" i="8"/>
  <c r="I55" i="8"/>
  <c r="I82" i="8"/>
  <c r="I90" i="8"/>
  <c r="U11" i="8"/>
  <c r="U6" i="8"/>
  <c r="I56" i="8"/>
  <c r="I83" i="8"/>
  <c r="I91" i="8"/>
  <c r="I64" i="8"/>
  <c r="U12" i="8"/>
  <c r="I57" i="8"/>
  <c r="I65" i="8"/>
  <c r="I84" i="8"/>
  <c r="I92" i="8"/>
  <c r="I60" i="8"/>
  <c r="U13" i="8"/>
  <c r="I58" i="8"/>
  <c r="I66" i="8"/>
  <c r="I85" i="8"/>
  <c r="I93" i="8"/>
  <c r="U14" i="8"/>
  <c r="I59" i="8"/>
  <c r="I67" i="8"/>
  <c r="I86" i="8"/>
  <c r="I94" i="8"/>
  <c r="U7" i="8"/>
  <c r="I68" i="8"/>
  <c r="I87" i="8"/>
  <c r="U15" i="8"/>
  <c r="U8" i="8"/>
  <c r="U16" i="8"/>
  <c r="I61" i="8"/>
  <c r="I69" i="8"/>
  <c r="I79" i="8"/>
  <c r="I80" i="8"/>
  <c r="I88" i="8"/>
  <c r="U9" i="8"/>
  <c r="U17" i="8"/>
  <c r="I62" i="8"/>
  <c r="I70" i="8"/>
  <c r="I81" i="8"/>
  <c r="I89" i="8"/>
  <c r="F58" i="8"/>
  <c r="F60" i="8"/>
  <c r="F62" i="8"/>
  <c r="F57" i="8"/>
  <c r="F59" i="8"/>
  <c r="F61" i="8"/>
  <c r="F63" i="8"/>
  <c r="F65" i="8"/>
  <c r="F67" i="8"/>
  <c r="D56" i="8"/>
  <c r="D57" i="8" s="1"/>
  <c r="D58" i="8" s="1"/>
  <c r="D59" i="8" s="1"/>
  <c r="D60" i="8" s="1"/>
  <c r="D61" i="8" s="1"/>
  <c r="D62" i="8" s="1"/>
  <c r="D63" i="8" s="1"/>
  <c r="D64" i="8" s="1"/>
  <c r="D65" i="8" s="1"/>
  <c r="D66" i="8" s="1"/>
  <c r="D67" i="8" s="1"/>
  <c r="D68" i="8" s="1"/>
  <c r="D69" i="8" s="1"/>
  <c r="D70" i="8" s="1"/>
  <c r="F117" i="8"/>
  <c r="F112" i="8"/>
  <c r="F109" i="8"/>
  <c r="F94" i="8"/>
  <c r="F91" i="8"/>
  <c r="F86" i="8"/>
  <c r="F83" i="8"/>
  <c r="F79" i="8"/>
  <c r="F113" i="8"/>
  <c r="F108" i="8"/>
  <c r="F103" i="8"/>
  <c r="F87" i="8"/>
  <c r="F80" i="8"/>
  <c r="F114" i="8"/>
  <c r="F106" i="8"/>
  <c r="F93" i="8"/>
  <c r="F118" i="8"/>
  <c r="F115" i="8"/>
  <c r="F110" i="8"/>
  <c r="F107" i="8"/>
  <c r="F104" i="8"/>
  <c r="F92" i="8"/>
  <c r="F89" i="8"/>
  <c r="F84" i="8"/>
  <c r="F116" i="8"/>
  <c r="F105" i="8"/>
  <c r="F90" i="8"/>
  <c r="F111" i="8"/>
  <c r="F81" i="8"/>
  <c r="F85" i="8"/>
  <c r="F82" i="8"/>
  <c r="F88" i="8"/>
  <c r="R18" i="8"/>
  <c r="R15" i="8"/>
  <c r="R11" i="8"/>
  <c r="R14" i="8"/>
  <c r="R10" i="8"/>
  <c r="R17" i="8"/>
  <c r="R13" i="8"/>
  <c r="R9" i="8"/>
  <c r="R7" i="8"/>
  <c r="R16" i="8"/>
  <c r="R12" i="8"/>
  <c r="R8" i="8"/>
  <c r="R6" i="8"/>
  <c r="C12" i="8"/>
  <c r="G40" i="8"/>
  <c r="G42" i="8" s="1"/>
  <c r="X281" i="8"/>
  <c r="G15" i="8"/>
  <c r="Y281" i="8"/>
  <c r="V281" i="8"/>
  <c r="I39" i="2"/>
  <c r="AX177" i="8" l="1"/>
  <c r="AX150" i="8"/>
  <c r="AX158" i="8"/>
  <c r="AX126" i="8"/>
  <c r="AX134" i="8"/>
  <c r="AU134" i="8" s="1"/>
  <c r="AX111" i="8"/>
  <c r="AX119" i="8"/>
  <c r="AX88" i="8"/>
  <c r="AX96" i="8"/>
  <c r="AU96" i="8" s="1"/>
  <c r="AX64" i="8"/>
  <c r="AX72" i="8"/>
  <c r="AX43" i="8"/>
  <c r="AX51" i="8"/>
  <c r="AG149" i="8"/>
  <c r="AD149" i="8" s="1"/>
  <c r="AG157" i="8"/>
  <c r="AD157" i="8" s="1"/>
  <c r="AG134" i="8"/>
  <c r="AG126" i="8"/>
  <c r="AG108" i="8"/>
  <c r="AG116" i="8"/>
  <c r="AG84" i="8"/>
  <c r="AD84" i="8" s="1"/>
  <c r="AG92" i="8"/>
  <c r="AG69" i="8"/>
  <c r="AG61" i="8"/>
  <c r="AX170" i="8"/>
  <c r="AX178" i="8"/>
  <c r="AX151" i="8"/>
  <c r="AX159" i="8"/>
  <c r="AX127" i="8"/>
  <c r="AX135" i="8"/>
  <c r="AX125" i="8"/>
  <c r="AX112" i="8"/>
  <c r="AX104" i="8"/>
  <c r="AX89" i="8"/>
  <c r="AX97" i="8"/>
  <c r="AX65" i="8"/>
  <c r="AX73" i="8"/>
  <c r="AX44" i="8"/>
  <c r="AX52" i="8"/>
  <c r="AG150" i="8"/>
  <c r="AD150" i="8" s="1"/>
  <c r="AG158" i="8"/>
  <c r="AD158" i="8" s="1"/>
  <c r="AG127" i="8"/>
  <c r="AG135" i="8"/>
  <c r="AG109" i="8"/>
  <c r="AG117" i="8"/>
  <c r="AG85" i="8"/>
  <c r="AG93" i="8"/>
  <c r="AD93" i="8" s="1"/>
  <c r="AG62" i="8"/>
  <c r="AG70" i="8"/>
  <c r="AD70" i="8" s="1"/>
  <c r="AX171" i="8"/>
  <c r="AX179" i="8"/>
  <c r="AX152" i="8"/>
  <c r="AX160" i="8"/>
  <c r="AX128" i="8"/>
  <c r="AX136" i="8"/>
  <c r="AX105" i="8"/>
  <c r="AX113" i="8"/>
  <c r="AX90" i="8"/>
  <c r="AX82" i="8"/>
  <c r="AX66" i="8"/>
  <c r="AX74" i="8"/>
  <c r="AX45" i="8"/>
  <c r="AX53" i="8"/>
  <c r="AG151" i="8"/>
  <c r="AD151" i="8" s="1"/>
  <c r="AG159" i="8"/>
  <c r="AD159" i="8" s="1"/>
  <c r="AG128" i="8"/>
  <c r="AG136" i="8"/>
  <c r="AG110" i="8"/>
  <c r="AG118" i="8"/>
  <c r="AG86" i="8"/>
  <c r="AG94" i="8"/>
  <c r="AG63" i="8"/>
  <c r="AG71" i="8"/>
  <c r="AX172" i="8"/>
  <c r="AX180" i="8"/>
  <c r="AX169" i="8"/>
  <c r="AX153" i="8"/>
  <c r="AX161" i="8"/>
  <c r="AX129" i="8"/>
  <c r="AU129" i="8" s="1"/>
  <c r="AX137" i="8"/>
  <c r="AX106" i="8"/>
  <c r="AX114" i="8"/>
  <c r="AX83" i="8"/>
  <c r="AX91" i="8"/>
  <c r="AX67" i="8"/>
  <c r="AX75" i="8"/>
  <c r="AX46" i="8"/>
  <c r="AX54" i="8"/>
  <c r="AG152" i="8"/>
  <c r="AD152" i="8" s="1"/>
  <c r="AG160" i="8"/>
  <c r="AD160" i="8" s="1"/>
  <c r="AG129" i="8"/>
  <c r="AG137" i="8"/>
  <c r="AG111" i="8"/>
  <c r="AG119" i="8"/>
  <c r="AG87" i="8"/>
  <c r="AG95" i="8"/>
  <c r="AG64" i="8"/>
  <c r="AG72" i="8"/>
  <c r="AX173" i="8"/>
  <c r="AX181" i="8"/>
  <c r="AX154" i="8"/>
  <c r="AX162" i="8"/>
  <c r="AU162" i="8" s="1"/>
  <c r="AX130" i="8"/>
  <c r="AX138" i="8"/>
  <c r="AX107" i="8"/>
  <c r="AX115" i="8"/>
  <c r="AX84" i="8"/>
  <c r="AX92" i="8"/>
  <c r="AX68" i="8"/>
  <c r="AX60" i="8"/>
  <c r="AU60" i="8" s="1"/>
  <c r="AX47" i="8"/>
  <c r="AG153" i="8"/>
  <c r="AD153" i="8" s="1"/>
  <c r="AG161" i="8"/>
  <c r="AD161" i="8" s="1"/>
  <c r="AG130" i="8"/>
  <c r="AG138" i="8"/>
  <c r="AG112" i="8"/>
  <c r="AG120" i="8"/>
  <c r="AG88" i="8"/>
  <c r="AG96" i="8"/>
  <c r="AG65" i="8"/>
  <c r="AG73" i="8"/>
  <c r="AX174" i="8"/>
  <c r="AX182" i="8"/>
  <c r="AX155" i="8"/>
  <c r="AX147" i="8"/>
  <c r="AX131" i="8"/>
  <c r="AX139" i="8"/>
  <c r="AX108" i="8"/>
  <c r="AX116" i="8"/>
  <c r="AX85" i="8"/>
  <c r="AX93" i="8"/>
  <c r="AX61" i="8"/>
  <c r="AX69" i="8"/>
  <c r="AX40" i="8"/>
  <c r="AX48" i="8"/>
  <c r="AX39" i="8"/>
  <c r="AG154" i="8"/>
  <c r="AD154" i="8" s="1"/>
  <c r="AG162" i="8"/>
  <c r="AD162" i="8" s="1"/>
  <c r="AG148" i="8"/>
  <c r="AG131" i="8"/>
  <c r="AG139" i="8"/>
  <c r="AG113" i="8"/>
  <c r="AG105" i="8"/>
  <c r="AG89" i="8"/>
  <c r="AG97" i="8"/>
  <c r="AG66" i="8"/>
  <c r="AD66" i="8" s="1"/>
  <c r="AG74" i="8"/>
  <c r="AX176" i="8"/>
  <c r="AX184" i="8"/>
  <c r="AX149" i="8"/>
  <c r="AX157" i="8"/>
  <c r="AX133" i="8"/>
  <c r="AX110" i="8"/>
  <c r="AX118" i="8"/>
  <c r="AX87" i="8"/>
  <c r="AX95" i="8"/>
  <c r="AX63" i="8"/>
  <c r="AX71" i="8"/>
  <c r="AX42" i="8"/>
  <c r="AX50" i="8"/>
  <c r="AG156" i="8"/>
  <c r="AD156" i="8" s="1"/>
  <c r="AG133" i="8"/>
  <c r="AG141" i="8"/>
  <c r="AG107" i="8"/>
  <c r="AG115" i="8"/>
  <c r="AG91" i="8"/>
  <c r="AD91" i="8" s="1"/>
  <c r="AG83" i="8"/>
  <c r="AG68" i="8"/>
  <c r="AG76" i="8"/>
  <c r="AX175" i="8"/>
  <c r="AX117" i="8"/>
  <c r="AX70" i="8"/>
  <c r="AG44" i="8"/>
  <c r="AG52" i="8"/>
  <c r="J131" i="8"/>
  <c r="J139" i="8"/>
  <c r="J106" i="8"/>
  <c r="J114" i="8"/>
  <c r="AX183" i="8"/>
  <c r="AX148" i="8"/>
  <c r="AG132" i="8"/>
  <c r="AG67" i="8"/>
  <c r="AG46" i="8"/>
  <c r="AG54" i="8"/>
  <c r="J133" i="8"/>
  <c r="J141" i="8"/>
  <c r="G141" i="8" s="1"/>
  <c r="J108" i="8"/>
  <c r="J116" i="8"/>
  <c r="AX156" i="8"/>
  <c r="AG140" i="8"/>
  <c r="AG106" i="8"/>
  <c r="AG75" i="8"/>
  <c r="AG47" i="8"/>
  <c r="AG155" i="8"/>
  <c r="AD155" i="8" s="1"/>
  <c r="AG114" i="8"/>
  <c r="AG40" i="8"/>
  <c r="AD40" i="8" s="1"/>
  <c r="AG48" i="8"/>
  <c r="AD48" i="8" s="1"/>
  <c r="AG39" i="8"/>
  <c r="AD39" i="8" s="1"/>
  <c r="J135" i="8"/>
  <c r="J143" i="8"/>
  <c r="J128" i="8"/>
  <c r="J110" i="8"/>
  <c r="J118" i="8"/>
  <c r="AX132" i="8"/>
  <c r="AX86" i="8"/>
  <c r="AX41" i="8"/>
  <c r="AG163" i="8"/>
  <c r="AD163" i="8" s="1"/>
  <c r="AX140" i="8"/>
  <c r="AX94" i="8"/>
  <c r="AX49" i="8"/>
  <c r="AG90" i="8"/>
  <c r="AG42" i="8"/>
  <c r="AG50" i="8"/>
  <c r="J129" i="8"/>
  <c r="J137" i="8"/>
  <c r="J104" i="8"/>
  <c r="J112" i="8"/>
  <c r="J130" i="8"/>
  <c r="J105" i="8"/>
  <c r="J132" i="8"/>
  <c r="AX109" i="8"/>
  <c r="J134" i="8"/>
  <c r="J109" i="8"/>
  <c r="AX62" i="8"/>
  <c r="AG41" i="8"/>
  <c r="J136" i="8"/>
  <c r="J111" i="8"/>
  <c r="AG43" i="8"/>
  <c r="J138" i="8"/>
  <c r="J113" i="8"/>
  <c r="J140" i="8"/>
  <c r="J115" i="8"/>
  <c r="AG45" i="8"/>
  <c r="AD45" i="8" s="1"/>
  <c r="AG49" i="8"/>
  <c r="AD49" i="8" s="1"/>
  <c r="J142" i="8"/>
  <c r="J117" i="8"/>
  <c r="AG98" i="8"/>
  <c r="AG51" i="8"/>
  <c r="J103" i="8"/>
  <c r="AG53" i="8"/>
  <c r="J107" i="8"/>
  <c r="V7" i="8"/>
  <c r="V15" i="8"/>
  <c r="J56" i="8"/>
  <c r="J64" i="8"/>
  <c r="J82" i="8"/>
  <c r="G82" i="8" s="1"/>
  <c r="J90" i="8"/>
  <c r="G107" i="8"/>
  <c r="V8" i="8"/>
  <c r="V16" i="8"/>
  <c r="J57" i="8"/>
  <c r="J65" i="8"/>
  <c r="J83" i="8"/>
  <c r="G130" i="8"/>
  <c r="J91" i="8"/>
  <c r="V9" i="8"/>
  <c r="V17" i="8"/>
  <c r="J58" i="8"/>
  <c r="J66" i="8"/>
  <c r="J84" i="8"/>
  <c r="J92" i="8"/>
  <c r="V10" i="8"/>
  <c r="V18" i="8"/>
  <c r="J59" i="8"/>
  <c r="G59" i="8" s="1"/>
  <c r="J67" i="8"/>
  <c r="J85" i="8"/>
  <c r="J93" i="8"/>
  <c r="J69" i="8"/>
  <c r="G69" i="8" s="1"/>
  <c r="G139" i="8"/>
  <c r="V11" i="8"/>
  <c r="V6" i="8"/>
  <c r="S6" i="8" s="1"/>
  <c r="J60" i="8"/>
  <c r="G60" i="8" s="1"/>
  <c r="J68" i="8"/>
  <c r="J86" i="8"/>
  <c r="J94" i="8"/>
  <c r="V12" i="8"/>
  <c r="J79" i="8"/>
  <c r="J61" i="8"/>
  <c r="G61" i="8" s="1"/>
  <c r="J87" i="8"/>
  <c r="V13" i="8"/>
  <c r="J62" i="8"/>
  <c r="J70" i="8"/>
  <c r="J80" i="8"/>
  <c r="G80" i="8" s="1"/>
  <c r="J88" i="8"/>
  <c r="G138" i="8"/>
  <c r="V14" i="8"/>
  <c r="J63" i="8"/>
  <c r="J81" i="8"/>
  <c r="J89" i="8"/>
  <c r="J55" i="8"/>
  <c r="G64" i="8"/>
  <c r="Z281" i="8"/>
  <c r="G11" i="8"/>
  <c r="E27" i="1"/>
  <c r="H5" i="10"/>
  <c r="AI156" i="8" l="1"/>
  <c r="AD133" i="8"/>
  <c r="AI133" i="8" s="1"/>
  <c r="AU85" i="8"/>
  <c r="AZ85" i="8" s="1"/>
  <c r="AU114" i="8"/>
  <c r="AZ114" i="8" s="1"/>
  <c r="AD127" i="8"/>
  <c r="AI127" i="8" s="1"/>
  <c r="AD126" i="8"/>
  <c r="AI70" i="8"/>
  <c r="AU132" i="8"/>
  <c r="AZ132" i="8" s="1"/>
  <c r="AU148" i="8"/>
  <c r="AZ148" i="8" s="1"/>
  <c r="G90" i="8"/>
  <c r="AD88" i="8"/>
  <c r="AD87" i="8"/>
  <c r="AI87" i="8" s="1"/>
  <c r="AU180" i="8"/>
  <c r="AZ180" i="8" s="1"/>
  <c r="AD114" i="8"/>
  <c r="AI114" i="8" s="1"/>
  <c r="AU183" i="8"/>
  <c r="AZ183" i="8" s="1"/>
  <c r="AU117" i="8"/>
  <c r="AD141" i="8"/>
  <c r="AI141" i="8" s="1"/>
  <c r="AU87" i="8"/>
  <c r="AZ87" i="8" s="1"/>
  <c r="AD148" i="8"/>
  <c r="AI148" i="8" s="1"/>
  <c r="AU93" i="8"/>
  <c r="AZ93" i="8" s="1"/>
  <c r="AU182" i="8"/>
  <c r="AZ182" i="8" s="1"/>
  <c r="AD138" i="8"/>
  <c r="AI138" i="8" s="1"/>
  <c r="AU84" i="8"/>
  <c r="AZ84" i="8" s="1"/>
  <c r="AD129" i="8"/>
  <c r="AI129" i="8" s="1"/>
  <c r="AU83" i="8"/>
  <c r="AZ83" i="8" s="1"/>
  <c r="AD136" i="8"/>
  <c r="AI136" i="8" s="1"/>
  <c r="AU82" i="8"/>
  <c r="AZ82" i="8" s="1"/>
  <c r="AD135" i="8"/>
  <c r="AI135" i="8" s="1"/>
  <c r="AU97" i="8"/>
  <c r="AZ97" i="8" s="1"/>
  <c r="AD108" i="8"/>
  <c r="AI108" i="8" s="1"/>
  <c r="AU64" i="8"/>
  <c r="AZ64" i="8" s="1"/>
  <c r="AU150" i="8"/>
  <c r="AZ150" i="8" s="1"/>
  <c r="AD47" i="8"/>
  <c r="AI47" i="8" s="1"/>
  <c r="AU138" i="8"/>
  <c r="AZ138" i="8" s="1"/>
  <c r="AI155" i="8"/>
  <c r="AZ96" i="8"/>
  <c r="AU94" i="8"/>
  <c r="AZ94" i="8" s="1"/>
  <c r="AU110" i="8"/>
  <c r="AZ110" i="8" s="1"/>
  <c r="AD97" i="8"/>
  <c r="AI97" i="8" s="1"/>
  <c r="AU116" i="8"/>
  <c r="AZ116" i="8" s="1"/>
  <c r="AD73" i="8"/>
  <c r="AI73" i="8" s="1"/>
  <c r="AU107" i="8"/>
  <c r="AZ107" i="8" s="1"/>
  <c r="AI152" i="8"/>
  <c r="AU106" i="8"/>
  <c r="AZ106" i="8" s="1"/>
  <c r="AI159" i="8"/>
  <c r="AU113" i="8"/>
  <c r="AZ113" i="8" s="1"/>
  <c r="AI158" i="8"/>
  <c r="AU170" i="8"/>
  <c r="AZ170" i="8" s="1"/>
  <c r="AD134" i="8"/>
  <c r="AI134" i="8" s="1"/>
  <c r="AU88" i="8"/>
  <c r="AU179" i="8"/>
  <c r="AU49" i="8"/>
  <c r="AI49" i="8"/>
  <c r="AI45" i="8"/>
  <c r="AD76" i="8"/>
  <c r="AI76" i="8" s="1"/>
  <c r="AD74" i="8"/>
  <c r="AU41" i="8"/>
  <c r="AU171" i="8"/>
  <c r="AD53" i="8"/>
  <c r="AI53" i="8" s="1"/>
  <c r="AU62" i="8"/>
  <c r="AZ62" i="8" s="1"/>
  <c r="AU140" i="8"/>
  <c r="AZ140" i="8" s="1"/>
  <c r="AD75" i="8"/>
  <c r="AI75" i="8" s="1"/>
  <c r="AD54" i="8"/>
  <c r="AI54" i="8" s="1"/>
  <c r="AD68" i="8"/>
  <c r="AI68" i="8" s="1"/>
  <c r="AU50" i="8"/>
  <c r="AZ50" i="8" s="1"/>
  <c r="AU133" i="8"/>
  <c r="AZ133" i="8" s="1"/>
  <c r="AD89" i="8"/>
  <c r="AI89" i="8" s="1"/>
  <c r="AU108" i="8"/>
  <c r="AZ108" i="8" s="1"/>
  <c r="AD65" i="8"/>
  <c r="AI65" i="8" s="1"/>
  <c r="AU54" i="8"/>
  <c r="AZ54" i="8" s="1"/>
  <c r="AU137" i="8"/>
  <c r="AZ137" i="8" s="1"/>
  <c r="AD63" i="8"/>
  <c r="AI63" i="8" s="1"/>
  <c r="AU105" i="8"/>
  <c r="AZ105" i="8" s="1"/>
  <c r="AD62" i="8"/>
  <c r="AI150" i="8"/>
  <c r="AU112" i="8"/>
  <c r="AZ112" i="8" s="1"/>
  <c r="AD61" i="8"/>
  <c r="AI61" i="8" s="1"/>
  <c r="AU119" i="8"/>
  <c r="AZ119" i="8" s="1"/>
  <c r="AU173" i="8"/>
  <c r="AD64" i="8"/>
  <c r="AI64" i="8" s="1"/>
  <c r="AD98" i="8"/>
  <c r="AI98" i="8" s="1"/>
  <c r="AU104" i="8"/>
  <c r="AU115" i="8"/>
  <c r="AZ115" i="8" s="1"/>
  <c r="AD41" i="8"/>
  <c r="AI41" i="8" s="1"/>
  <c r="AI154" i="8"/>
  <c r="AI163" i="8"/>
  <c r="AD106" i="8"/>
  <c r="AI106" i="8" s="1"/>
  <c r="AD46" i="8"/>
  <c r="AI46" i="8" s="1"/>
  <c r="AD83" i="8"/>
  <c r="AI83" i="8" s="1"/>
  <c r="AU42" i="8"/>
  <c r="AZ42" i="8" s="1"/>
  <c r="AU157" i="8"/>
  <c r="AZ157" i="8" s="1"/>
  <c r="AD105" i="8"/>
  <c r="AI105" i="8" s="1"/>
  <c r="AU48" i="8"/>
  <c r="AU139" i="8"/>
  <c r="AZ139" i="8" s="1"/>
  <c r="AU47" i="8"/>
  <c r="AZ47" i="8" s="1"/>
  <c r="AU46" i="8"/>
  <c r="AZ46" i="8" s="1"/>
  <c r="AZ129" i="8"/>
  <c r="AU53" i="8"/>
  <c r="AU136" i="8"/>
  <c r="AZ136" i="8" s="1"/>
  <c r="AI93" i="8"/>
  <c r="AU52" i="8"/>
  <c r="AZ52" i="8" s="1"/>
  <c r="AU125" i="8"/>
  <c r="AZ125" i="8" s="1"/>
  <c r="AD69" i="8"/>
  <c r="AI69" i="8" s="1"/>
  <c r="AU111" i="8"/>
  <c r="AZ111" i="8" s="1"/>
  <c r="AU172" i="8"/>
  <c r="AZ172" i="8" s="1"/>
  <c r="AD71" i="8"/>
  <c r="AD90" i="8"/>
  <c r="AU118" i="8"/>
  <c r="AZ118" i="8" s="1"/>
  <c r="AD130" i="8"/>
  <c r="AI130" i="8" s="1"/>
  <c r="AU177" i="8"/>
  <c r="AZ177" i="8" s="1"/>
  <c r="G55" i="8"/>
  <c r="AD96" i="8"/>
  <c r="AD72" i="8"/>
  <c r="AD51" i="8"/>
  <c r="AI51" i="8" s="1"/>
  <c r="AZ41" i="8"/>
  <c r="AI39" i="8"/>
  <c r="AD140" i="8"/>
  <c r="AD67" i="8"/>
  <c r="AI67" i="8" s="1"/>
  <c r="AI91" i="8"/>
  <c r="AU71" i="8"/>
  <c r="AZ71" i="8" s="1"/>
  <c r="AU149" i="8"/>
  <c r="AZ149" i="8" s="1"/>
  <c r="AD113" i="8"/>
  <c r="AI113" i="8" s="1"/>
  <c r="AU40" i="8"/>
  <c r="AZ40" i="8" s="1"/>
  <c r="AU131" i="8"/>
  <c r="AZ131" i="8" s="1"/>
  <c r="AI88" i="8"/>
  <c r="AZ60" i="8"/>
  <c r="AZ162" i="8"/>
  <c r="AD119" i="8"/>
  <c r="AI119" i="8" s="1"/>
  <c r="AU75" i="8"/>
  <c r="AZ75" i="8" s="1"/>
  <c r="AU161" i="8"/>
  <c r="AU45" i="8"/>
  <c r="AU128" i="8"/>
  <c r="AZ128" i="8" s="1"/>
  <c r="AD85" i="8"/>
  <c r="AU44" i="8"/>
  <c r="AU135" i="8"/>
  <c r="AZ135" i="8" s="1"/>
  <c r="AU51" i="8"/>
  <c r="AZ51" i="8" s="1"/>
  <c r="AZ134" i="8"/>
  <c r="AU130" i="8"/>
  <c r="AD94" i="8"/>
  <c r="AI94" i="8" s="1"/>
  <c r="AD44" i="8"/>
  <c r="AI44" i="8" s="1"/>
  <c r="AU175" i="8"/>
  <c r="AZ175" i="8" s="1"/>
  <c r="AU174" i="8"/>
  <c r="AZ174" i="8" s="1"/>
  <c r="AD128" i="8"/>
  <c r="AI128" i="8" s="1"/>
  <c r="AU151" i="8"/>
  <c r="AD86" i="8"/>
  <c r="AI86" i="8" s="1"/>
  <c r="AD95" i="8"/>
  <c r="AU109" i="8"/>
  <c r="AZ109" i="8" s="1"/>
  <c r="AD50" i="8"/>
  <c r="AI50" i="8" s="1"/>
  <c r="AU86" i="8"/>
  <c r="AZ86" i="8" s="1"/>
  <c r="AI48" i="8"/>
  <c r="AU156" i="8"/>
  <c r="AZ156" i="8" s="1"/>
  <c r="AD132" i="8"/>
  <c r="AD115" i="8"/>
  <c r="AI115" i="8" s="1"/>
  <c r="AU63" i="8"/>
  <c r="AZ63" i="8" s="1"/>
  <c r="AU184" i="8"/>
  <c r="AZ184" i="8" s="1"/>
  <c r="AD139" i="8"/>
  <c r="AI139" i="8" s="1"/>
  <c r="AU69" i="8"/>
  <c r="AZ69" i="8" s="1"/>
  <c r="AU147" i="8"/>
  <c r="AD120" i="8"/>
  <c r="AI120" i="8" s="1"/>
  <c r="AU68" i="8"/>
  <c r="AZ68" i="8" s="1"/>
  <c r="AU154" i="8"/>
  <c r="AZ154" i="8" s="1"/>
  <c r="AD111" i="8"/>
  <c r="AU67" i="8"/>
  <c r="AZ67" i="8" s="1"/>
  <c r="AU153" i="8"/>
  <c r="AD118" i="8"/>
  <c r="AI118" i="8" s="1"/>
  <c r="AU74" i="8"/>
  <c r="AZ74" i="8" s="1"/>
  <c r="AU160" i="8"/>
  <c r="AZ160" i="8" s="1"/>
  <c r="AD117" i="8"/>
  <c r="AI117" i="8" s="1"/>
  <c r="AU73" i="8"/>
  <c r="AZ73" i="8" s="1"/>
  <c r="AU127" i="8"/>
  <c r="AZ127" i="8" s="1"/>
  <c r="AI84" i="8"/>
  <c r="AU43" i="8"/>
  <c r="AZ43" i="8" s="1"/>
  <c r="AU126" i="8"/>
  <c r="AZ126" i="8" s="1"/>
  <c r="AD52" i="8"/>
  <c r="AI66" i="8"/>
  <c r="AI72" i="8"/>
  <c r="AU90" i="8"/>
  <c r="AZ90" i="8" s="1"/>
  <c r="AU89" i="8"/>
  <c r="AZ89" i="8" s="1"/>
  <c r="AU178" i="8"/>
  <c r="AZ178" i="8" s="1"/>
  <c r="AI40" i="8"/>
  <c r="AD43" i="8"/>
  <c r="AD42" i="8"/>
  <c r="AI42" i="8" s="1"/>
  <c r="AU70" i="8"/>
  <c r="AZ70" i="8" s="1"/>
  <c r="AD107" i="8"/>
  <c r="AU95" i="8"/>
  <c r="AZ95" i="8" s="1"/>
  <c r="AU176" i="8"/>
  <c r="AZ176" i="8" s="1"/>
  <c r="AD131" i="8"/>
  <c r="AI131" i="8" s="1"/>
  <c r="AU61" i="8"/>
  <c r="AZ61" i="8" s="1"/>
  <c r="AU155" i="8"/>
  <c r="AZ155" i="8" s="1"/>
  <c r="AD112" i="8"/>
  <c r="AI112" i="8" s="1"/>
  <c r="AU92" i="8"/>
  <c r="AU181" i="8"/>
  <c r="AZ181" i="8" s="1"/>
  <c r="AD137" i="8"/>
  <c r="AI137" i="8" s="1"/>
  <c r="AU91" i="8"/>
  <c r="AZ91" i="8" s="1"/>
  <c r="AU169" i="8"/>
  <c r="AZ169" i="8" s="1"/>
  <c r="AD110" i="8"/>
  <c r="AI110" i="8" s="1"/>
  <c r="AU66" i="8"/>
  <c r="AZ66" i="8" s="1"/>
  <c r="AU152" i="8"/>
  <c r="AD109" i="8"/>
  <c r="AI109" i="8" s="1"/>
  <c r="AU65" i="8"/>
  <c r="AZ65" i="8" s="1"/>
  <c r="AU159" i="8"/>
  <c r="AZ159" i="8" s="1"/>
  <c r="AD116" i="8"/>
  <c r="AI116" i="8" s="1"/>
  <c r="AU72" i="8"/>
  <c r="AZ72" i="8" s="1"/>
  <c r="AU158" i="8"/>
  <c r="AZ158" i="8" s="1"/>
  <c r="AU39" i="8"/>
  <c r="AZ39" i="8" s="1"/>
  <c r="AD92" i="8"/>
  <c r="G81" i="8"/>
  <c r="G111" i="8"/>
  <c r="G106" i="8"/>
  <c r="G112" i="8"/>
  <c r="G115" i="8"/>
  <c r="L115" i="8" s="1"/>
  <c r="G62" i="8"/>
  <c r="L62" i="8" s="1"/>
  <c r="G84" i="8"/>
  <c r="L84" i="8" s="1"/>
  <c r="L141" i="8"/>
  <c r="L60" i="8"/>
  <c r="G66" i="8"/>
  <c r="G103" i="8"/>
  <c r="L103" i="8" s="1"/>
  <c r="G110" i="8"/>
  <c r="G128" i="8"/>
  <c r="L128" i="8" s="1"/>
  <c r="G133" i="8"/>
  <c r="L133" i="8" s="1"/>
  <c r="G135" i="8"/>
  <c r="L135" i="8" s="1"/>
  <c r="G134" i="8"/>
  <c r="L134" i="8" s="1"/>
  <c r="G113" i="8"/>
  <c r="G94" i="8"/>
  <c r="L94" i="8" s="1"/>
  <c r="L139" i="8"/>
  <c r="G93" i="8"/>
  <c r="L93" i="8" s="1"/>
  <c r="G117" i="8"/>
  <c r="L117" i="8" s="1"/>
  <c r="G137" i="8"/>
  <c r="G63" i="8"/>
  <c r="G129" i="8"/>
  <c r="G142" i="8"/>
  <c r="L142" i="8" s="1"/>
  <c r="G105" i="8"/>
  <c r="G83" i="8"/>
  <c r="L138" i="8"/>
  <c r="G114" i="8"/>
  <c r="L114" i="8" s="1"/>
  <c r="G86" i="8"/>
  <c r="L86" i="8" s="1"/>
  <c r="G104" i="8"/>
  <c r="G109" i="8"/>
  <c r="G132" i="8"/>
  <c r="G143" i="8"/>
  <c r="G65" i="8"/>
  <c r="L130" i="8"/>
  <c r="G136" i="8"/>
  <c r="L136" i="8" s="1"/>
  <c r="G58" i="8"/>
  <c r="G116" i="8"/>
  <c r="L116" i="8" s="1"/>
  <c r="L69" i="8"/>
  <c r="G89" i="8"/>
  <c r="L55" i="8"/>
  <c r="G88" i="8"/>
  <c r="L88" i="8" s="1"/>
  <c r="G68" i="8"/>
  <c r="L68" i="8" s="1"/>
  <c r="L143" i="8"/>
  <c r="G67" i="8"/>
  <c r="G108" i="8"/>
  <c r="G131" i="8"/>
  <c r="L131" i="8" s="1"/>
  <c r="G140" i="8"/>
  <c r="L140" i="8" s="1"/>
  <c r="G92" i="8"/>
  <c r="G57" i="8"/>
  <c r="L57" i="8" s="1"/>
  <c r="G85" i="8"/>
  <c r="L85" i="8" s="1"/>
  <c r="G79" i="8"/>
  <c r="L79" i="8" s="1"/>
  <c r="G70" i="8"/>
  <c r="L70" i="8" s="1"/>
  <c r="G118" i="8"/>
  <c r="L118" i="8" s="1"/>
  <c r="G56" i="8"/>
  <c r="L56" i="8" s="1"/>
  <c r="G91" i="8"/>
  <c r="L91" i="8" s="1"/>
  <c r="G87" i="8"/>
  <c r="L87" i="8" s="1"/>
  <c r="L107" i="8"/>
  <c r="L80" i="8"/>
  <c r="L82" i="8"/>
  <c r="L106" i="8"/>
  <c r="L92" i="8"/>
  <c r="L112" i="8"/>
  <c r="S10" i="8"/>
  <c r="X10" i="8" s="1"/>
  <c r="S8" i="8"/>
  <c r="X8" i="8" s="1"/>
  <c r="S9" i="8"/>
  <c r="X9" i="8" s="1"/>
  <c r="S15" i="8"/>
  <c r="X15" i="8" s="1"/>
  <c r="S16" i="8"/>
  <c r="X16" i="8" s="1"/>
  <c r="S17" i="8"/>
  <c r="X17" i="8" s="1"/>
  <c r="S11" i="8"/>
  <c r="X11" i="8" s="1"/>
  <c r="S13" i="8"/>
  <c r="X13" i="8" s="1"/>
  <c r="S12" i="8"/>
  <c r="X12" i="8" s="1"/>
  <c r="T281" i="8"/>
  <c r="G19" i="8"/>
  <c r="G24" i="8" s="1"/>
  <c r="G14" i="8"/>
  <c r="X6" i="8"/>
  <c r="W281" i="8"/>
  <c r="AB281" i="8" s="1"/>
  <c r="S18" i="8"/>
  <c r="X18" i="8" s="1"/>
  <c r="S7" i="8"/>
  <c r="X7" i="8" s="1"/>
  <c r="S14" i="8"/>
  <c r="X14" i="8" s="1"/>
  <c r="O20" i="1"/>
  <c r="AI43" i="8" l="1"/>
  <c r="AZ161" i="8"/>
  <c r="AI74" i="8"/>
  <c r="AI126" i="8"/>
  <c r="AZ49" i="8"/>
  <c r="AZ44" i="8"/>
  <c r="AZ48" i="8"/>
  <c r="AI62" i="8"/>
  <c r="AI90" i="8"/>
  <c r="AI107" i="8"/>
  <c r="AZ153" i="8"/>
  <c r="AI161" i="8"/>
  <c r="AI85" i="8"/>
  <c r="AI162" i="8"/>
  <c r="AI52" i="8"/>
  <c r="AI95" i="8"/>
  <c r="AZ88" i="8"/>
  <c r="AZ179" i="8"/>
  <c r="AZ152" i="8"/>
  <c r="AI149" i="8"/>
  <c r="AI132" i="8"/>
  <c r="AZ147" i="8"/>
  <c r="AI96" i="8"/>
  <c r="AZ130" i="8"/>
  <c r="AI151" i="8"/>
  <c r="AI71" i="8"/>
  <c r="AZ117" i="8"/>
  <c r="AI157" i="8"/>
  <c r="AY160" i="8"/>
  <c r="BA160" i="8" s="1"/>
  <c r="AS160" i="8" s="1"/>
  <c r="AY156" i="8"/>
  <c r="BA156" i="8" s="1"/>
  <c r="AS156" i="8" s="1"/>
  <c r="AY152" i="8"/>
  <c r="BA152" i="8" s="1"/>
  <c r="AY148" i="8"/>
  <c r="BA148" i="8" s="1"/>
  <c r="AS148" i="8" s="1"/>
  <c r="AY181" i="8"/>
  <c r="BA181" i="8" s="1"/>
  <c r="AS181" i="8" s="1"/>
  <c r="AY177" i="8"/>
  <c r="BA177" i="8" s="1"/>
  <c r="AS177" i="8" s="1"/>
  <c r="AY173" i="8"/>
  <c r="BA173" i="8" s="1"/>
  <c r="AY169" i="8"/>
  <c r="BA169" i="8" s="1"/>
  <c r="AS169" i="8" s="1"/>
  <c r="AY159" i="8"/>
  <c r="BA159" i="8" s="1"/>
  <c r="AS159" i="8" s="1"/>
  <c r="AY155" i="8"/>
  <c r="BA155" i="8" s="1"/>
  <c r="AS155" i="8" s="1"/>
  <c r="AY151" i="8"/>
  <c r="BA151" i="8" s="1"/>
  <c r="AY184" i="8"/>
  <c r="BA184" i="8" s="1"/>
  <c r="AS184" i="8" s="1"/>
  <c r="AY180" i="8"/>
  <c r="BA180" i="8" s="1"/>
  <c r="AS180" i="8" s="1"/>
  <c r="AY176" i="8"/>
  <c r="BA176" i="8" s="1"/>
  <c r="AS176" i="8" s="1"/>
  <c r="AY172" i="8"/>
  <c r="BA172" i="8" s="1"/>
  <c r="AS172" i="8" s="1"/>
  <c r="AY147" i="8"/>
  <c r="BA147" i="8" s="1"/>
  <c r="AY137" i="8"/>
  <c r="BA137" i="8" s="1"/>
  <c r="AS137" i="8" s="1"/>
  <c r="AY133" i="8"/>
  <c r="BA133" i="8" s="1"/>
  <c r="AS133" i="8" s="1"/>
  <c r="AY39" i="8"/>
  <c r="BC39" i="8" s="1"/>
  <c r="AY162" i="8"/>
  <c r="AY158" i="8"/>
  <c r="BA158" i="8" s="1"/>
  <c r="AS158" i="8" s="1"/>
  <c r="AY154" i="8"/>
  <c r="BA154" i="8" s="1"/>
  <c r="AS154" i="8" s="1"/>
  <c r="AY150" i="8"/>
  <c r="BA150" i="8" s="1"/>
  <c r="AS150" i="8" s="1"/>
  <c r="AY183" i="8"/>
  <c r="BA183" i="8" s="1"/>
  <c r="AS183" i="8" s="1"/>
  <c r="AY179" i="8"/>
  <c r="BA179" i="8" s="1"/>
  <c r="AY175" i="8"/>
  <c r="BA175" i="8" s="1"/>
  <c r="AS175" i="8" s="1"/>
  <c r="AY171" i="8"/>
  <c r="BA171" i="8" s="1"/>
  <c r="AY140" i="8"/>
  <c r="BA140" i="8" s="1"/>
  <c r="AS140" i="8" s="1"/>
  <c r="AY136" i="8"/>
  <c r="BA136" i="8" s="1"/>
  <c r="AS136" i="8" s="1"/>
  <c r="AY132" i="8"/>
  <c r="BA132" i="8" s="1"/>
  <c r="AS132" i="8" s="1"/>
  <c r="AY182" i="8"/>
  <c r="BA182" i="8" s="1"/>
  <c r="AS182" i="8" s="1"/>
  <c r="AY178" i="8"/>
  <c r="BA178" i="8" s="1"/>
  <c r="AS178" i="8" s="1"/>
  <c r="AY174" i="8"/>
  <c r="BA174" i="8" s="1"/>
  <c r="AS174" i="8" s="1"/>
  <c r="AY170" i="8"/>
  <c r="BA170" i="8" s="1"/>
  <c r="AS170" i="8" s="1"/>
  <c r="AY139" i="8"/>
  <c r="BA139" i="8" s="1"/>
  <c r="AS139" i="8" s="1"/>
  <c r="AY135" i="8"/>
  <c r="BA135" i="8" s="1"/>
  <c r="AS135" i="8" s="1"/>
  <c r="AY157" i="8"/>
  <c r="BA157" i="8" s="1"/>
  <c r="AS157" i="8" s="1"/>
  <c r="AY138" i="8"/>
  <c r="BA138" i="8" s="1"/>
  <c r="AS138" i="8" s="1"/>
  <c r="AY130" i="8"/>
  <c r="BA130" i="8" s="1"/>
  <c r="AY126" i="8"/>
  <c r="BA126" i="8" s="1"/>
  <c r="AS126" i="8" s="1"/>
  <c r="AY60" i="8"/>
  <c r="BA60" i="8" s="1"/>
  <c r="AS60" i="8" s="1"/>
  <c r="AY51" i="8"/>
  <c r="BA51" i="8" s="1"/>
  <c r="AS51" i="8" s="1"/>
  <c r="AY47" i="8"/>
  <c r="BA47" i="8" s="1"/>
  <c r="AS47" i="8" s="1"/>
  <c r="AY43" i="8"/>
  <c r="BA43" i="8" s="1"/>
  <c r="AS43" i="8" s="1"/>
  <c r="AH149" i="8"/>
  <c r="AJ149" i="8" s="1"/>
  <c r="AH140" i="8"/>
  <c r="AJ140" i="8" s="1"/>
  <c r="AH136" i="8"/>
  <c r="AJ136" i="8" s="1"/>
  <c r="AB136" i="8" s="1"/>
  <c r="AH132" i="8"/>
  <c r="AJ132" i="8" s="1"/>
  <c r="AH128" i="8"/>
  <c r="AJ128" i="8" s="1"/>
  <c r="AB128" i="8" s="1"/>
  <c r="AH120" i="8"/>
  <c r="AJ120" i="8" s="1"/>
  <c r="AB120" i="8" s="1"/>
  <c r="AH116" i="8"/>
  <c r="AJ116" i="8" s="1"/>
  <c r="AB116" i="8" s="1"/>
  <c r="AH112" i="8"/>
  <c r="AJ112" i="8" s="1"/>
  <c r="AB112" i="8" s="1"/>
  <c r="AH108" i="8"/>
  <c r="AJ108" i="8" s="1"/>
  <c r="AB108" i="8" s="1"/>
  <c r="AH105" i="8"/>
  <c r="AJ105" i="8" s="1"/>
  <c r="AB105" i="8" s="1"/>
  <c r="AH95" i="8"/>
  <c r="AJ95" i="8" s="1"/>
  <c r="AH74" i="8"/>
  <c r="AJ74" i="8" s="1"/>
  <c r="AH70" i="8"/>
  <c r="AH66" i="8"/>
  <c r="AH62" i="8"/>
  <c r="AJ62" i="8" s="1"/>
  <c r="AH45" i="8"/>
  <c r="AH53" i="8"/>
  <c r="AJ53" i="8" s="1"/>
  <c r="AB53" i="8" s="1"/>
  <c r="K130" i="8"/>
  <c r="K138" i="8"/>
  <c r="K105" i="8"/>
  <c r="M105" i="8" s="1"/>
  <c r="K113" i="8"/>
  <c r="AY117" i="8"/>
  <c r="BA117" i="8" s="1"/>
  <c r="AY113" i="8"/>
  <c r="BA113" i="8" s="1"/>
  <c r="AS113" i="8" s="1"/>
  <c r="AY109" i="8"/>
  <c r="BA109" i="8" s="1"/>
  <c r="AS109" i="8" s="1"/>
  <c r="AY96" i="8"/>
  <c r="AY92" i="8"/>
  <c r="BA92" i="8" s="1"/>
  <c r="AY88" i="8"/>
  <c r="BA88" i="8" s="1"/>
  <c r="AY84" i="8"/>
  <c r="BA84" i="8" s="1"/>
  <c r="AS84" i="8" s="1"/>
  <c r="AY75" i="8"/>
  <c r="BA75" i="8" s="1"/>
  <c r="AS75" i="8" s="1"/>
  <c r="AY71" i="8"/>
  <c r="BA71" i="8" s="1"/>
  <c r="AS71" i="8" s="1"/>
  <c r="AY67" i="8"/>
  <c r="BA67" i="8" s="1"/>
  <c r="AS67" i="8" s="1"/>
  <c r="AY63" i="8"/>
  <c r="BA63" i="8" s="1"/>
  <c r="AS63" i="8" s="1"/>
  <c r="AH160" i="8"/>
  <c r="AJ160" i="8" s="1"/>
  <c r="AH156" i="8"/>
  <c r="AH152" i="8"/>
  <c r="AJ152" i="8" s="1"/>
  <c r="AB152" i="8" s="1"/>
  <c r="AH91" i="8"/>
  <c r="AH87" i="8"/>
  <c r="AJ87" i="8" s="1"/>
  <c r="AB87" i="8" s="1"/>
  <c r="AY153" i="8"/>
  <c r="BA153" i="8" s="1"/>
  <c r="AY129" i="8"/>
  <c r="AY105" i="8"/>
  <c r="BA105" i="8" s="1"/>
  <c r="AS105" i="8" s="1"/>
  <c r="AY54" i="8"/>
  <c r="BA54" i="8" s="1"/>
  <c r="AS54" i="8" s="1"/>
  <c r="AY50" i="8"/>
  <c r="BA50" i="8" s="1"/>
  <c r="AS50" i="8" s="1"/>
  <c r="AY46" i="8"/>
  <c r="BA46" i="8" s="1"/>
  <c r="AS46" i="8" s="1"/>
  <c r="AY42" i="8"/>
  <c r="BA42" i="8" s="1"/>
  <c r="AS42" i="8" s="1"/>
  <c r="AH139" i="8"/>
  <c r="AJ139" i="8" s="1"/>
  <c r="AB139" i="8" s="1"/>
  <c r="AH135" i="8"/>
  <c r="AJ135" i="8" s="1"/>
  <c r="AB135" i="8" s="1"/>
  <c r="AH131" i="8"/>
  <c r="AJ131" i="8" s="1"/>
  <c r="AB131" i="8" s="1"/>
  <c r="AH127" i="8"/>
  <c r="AJ127" i="8" s="1"/>
  <c r="AB127" i="8" s="1"/>
  <c r="AH119" i="8"/>
  <c r="AJ119" i="8" s="1"/>
  <c r="AB119" i="8" s="1"/>
  <c r="AH115" i="8"/>
  <c r="AJ115" i="8" s="1"/>
  <c r="AB115" i="8" s="1"/>
  <c r="AH111" i="8"/>
  <c r="AJ111" i="8" s="1"/>
  <c r="AH107" i="8"/>
  <c r="AJ107" i="8" s="1"/>
  <c r="AB107" i="8" s="1"/>
  <c r="AH98" i="8"/>
  <c r="AJ98" i="8" s="1"/>
  <c r="AB98" i="8" s="1"/>
  <c r="AH94" i="8"/>
  <c r="AJ94" i="8" s="1"/>
  <c r="AB94" i="8" s="1"/>
  <c r="AH83" i="8"/>
  <c r="AJ83" i="8" s="1"/>
  <c r="AB83" i="8" s="1"/>
  <c r="AH73" i="8"/>
  <c r="AJ73" i="8" s="1"/>
  <c r="AB73" i="8" s="1"/>
  <c r="AH69" i="8"/>
  <c r="AJ69" i="8" s="1"/>
  <c r="AB69" i="8" s="1"/>
  <c r="AH65" i="8"/>
  <c r="AJ65" i="8" s="1"/>
  <c r="AB65" i="8" s="1"/>
  <c r="AH47" i="8"/>
  <c r="AJ47" i="8" s="1"/>
  <c r="AB47" i="8" s="1"/>
  <c r="AH39" i="8"/>
  <c r="K132" i="8"/>
  <c r="K140" i="8"/>
  <c r="K107" i="8"/>
  <c r="K115" i="8"/>
  <c r="AH40" i="8"/>
  <c r="AH48" i="8"/>
  <c r="K133" i="8"/>
  <c r="K141" i="8"/>
  <c r="AY134" i="8"/>
  <c r="AY125" i="8"/>
  <c r="BA125" i="8" s="1"/>
  <c r="AS125" i="8" s="1"/>
  <c r="AY116" i="8"/>
  <c r="BA116" i="8" s="1"/>
  <c r="AS116" i="8" s="1"/>
  <c r="AY112" i="8"/>
  <c r="BA112" i="8" s="1"/>
  <c r="AS112" i="8" s="1"/>
  <c r="AY108" i="8"/>
  <c r="BA108" i="8" s="1"/>
  <c r="AS108" i="8" s="1"/>
  <c r="AY95" i="8"/>
  <c r="BA95" i="8" s="1"/>
  <c r="AS95" i="8" s="1"/>
  <c r="AY91" i="8"/>
  <c r="BA91" i="8" s="1"/>
  <c r="AS91" i="8" s="1"/>
  <c r="AY87" i="8"/>
  <c r="BA87" i="8" s="1"/>
  <c r="AS87" i="8" s="1"/>
  <c r="AY83" i="8"/>
  <c r="BA83" i="8" s="1"/>
  <c r="AS83" i="8" s="1"/>
  <c r="AY74" i="8"/>
  <c r="BA74" i="8" s="1"/>
  <c r="AS74" i="8" s="1"/>
  <c r="AY70" i="8"/>
  <c r="BA70" i="8" s="1"/>
  <c r="AS70" i="8" s="1"/>
  <c r="AY66" i="8"/>
  <c r="BA66" i="8" s="1"/>
  <c r="AS66" i="8" s="1"/>
  <c r="AY62" i="8"/>
  <c r="BA62" i="8" s="1"/>
  <c r="AS62" i="8" s="1"/>
  <c r="AH163" i="8"/>
  <c r="AH159" i="8"/>
  <c r="AH155" i="8"/>
  <c r="AL155" i="8" s="1"/>
  <c r="AH151" i="8"/>
  <c r="AJ151" i="8" s="1"/>
  <c r="AB151" i="8" s="1"/>
  <c r="AH90" i="8"/>
  <c r="AJ90" i="8" s="1"/>
  <c r="AH86" i="8"/>
  <c r="AJ86" i="8" s="1"/>
  <c r="AB86" i="8" s="1"/>
  <c r="AY149" i="8"/>
  <c r="BA149" i="8" s="1"/>
  <c r="AS149" i="8" s="1"/>
  <c r="AY128" i="8"/>
  <c r="BA128" i="8" s="1"/>
  <c r="AS128" i="8" s="1"/>
  <c r="AY53" i="8"/>
  <c r="BA53" i="8" s="1"/>
  <c r="AY49" i="8"/>
  <c r="BA49" i="8" s="1"/>
  <c r="AS49" i="8" s="1"/>
  <c r="AY45" i="8"/>
  <c r="BA45" i="8" s="1"/>
  <c r="AY41" i="8"/>
  <c r="BA41" i="8" s="1"/>
  <c r="AS41" i="8" s="1"/>
  <c r="AH148" i="8"/>
  <c r="AJ148" i="8" s="1"/>
  <c r="AB148" i="8" s="1"/>
  <c r="AH138" i="8"/>
  <c r="AJ138" i="8" s="1"/>
  <c r="AB138" i="8" s="1"/>
  <c r="AH134" i="8"/>
  <c r="AJ134" i="8" s="1"/>
  <c r="AB134" i="8" s="1"/>
  <c r="AH130" i="8"/>
  <c r="AJ130" i="8" s="1"/>
  <c r="AB130" i="8" s="1"/>
  <c r="AH118" i="8"/>
  <c r="AJ118" i="8" s="1"/>
  <c r="AB118" i="8" s="1"/>
  <c r="AH114" i="8"/>
  <c r="AJ114" i="8" s="1"/>
  <c r="AB114" i="8" s="1"/>
  <c r="AH110" i="8"/>
  <c r="AJ110" i="8" s="1"/>
  <c r="AB110" i="8" s="1"/>
  <c r="AH106" i="8"/>
  <c r="AJ106" i="8" s="1"/>
  <c r="AB106" i="8" s="1"/>
  <c r="AH97" i="8"/>
  <c r="AJ97" i="8" s="1"/>
  <c r="AB97" i="8" s="1"/>
  <c r="AH93" i="8"/>
  <c r="AH76" i="8"/>
  <c r="AJ76" i="8" s="1"/>
  <c r="AB76" i="8" s="1"/>
  <c r="AH72" i="8"/>
  <c r="AJ72" i="8" s="1"/>
  <c r="AB72" i="8" s="1"/>
  <c r="AH68" i="8"/>
  <c r="AJ68" i="8" s="1"/>
  <c r="AB68" i="8" s="1"/>
  <c r="AH64" i="8"/>
  <c r="AJ64" i="8" s="1"/>
  <c r="AB64" i="8" s="1"/>
  <c r="AH61" i="8"/>
  <c r="AJ61" i="8" s="1"/>
  <c r="AB61" i="8" s="1"/>
  <c r="AH41" i="8"/>
  <c r="AJ41" i="8" s="1"/>
  <c r="AB41" i="8" s="1"/>
  <c r="AH49" i="8"/>
  <c r="K134" i="8"/>
  <c r="K142" i="8"/>
  <c r="K109" i="8"/>
  <c r="K117" i="8"/>
  <c r="K103" i="8"/>
  <c r="T110" i="8" s="1"/>
  <c r="AY119" i="8"/>
  <c r="BA119" i="8" s="1"/>
  <c r="AS119" i="8" s="1"/>
  <c r="AY115" i="8"/>
  <c r="BA115" i="8" s="1"/>
  <c r="AS115" i="8" s="1"/>
  <c r="AY111" i="8"/>
  <c r="BA111" i="8" s="1"/>
  <c r="AS111" i="8" s="1"/>
  <c r="AY107" i="8"/>
  <c r="BA107" i="8" s="1"/>
  <c r="AS107" i="8" s="1"/>
  <c r="AY104" i="8"/>
  <c r="BA104" i="8" s="1"/>
  <c r="AY94" i="8"/>
  <c r="BA94" i="8" s="1"/>
  <c r="AS94" i="8" s="1"/>
  <c r="AY90" i="8"/>
  <c r="BA90" i="8" s="1"/>
  <c r="AS90" i="8" s="1"/>
  <c r="AY86" i="8"/>
  <c r="BA86" i="8" s="1"/>
  <c r="AS86" i="8" s="1"/>
  <c r="AY73" i="8"/>
  <c r="BA73" i="8" s="1"/>
  <c r="AS73" i="8" s="1"/>
  <c r="AY69" i="8"/>
  <c r="BA69" i="8" s="1"/>
  <c r="AS69" i="8" s="1"/>
  <c r="AY65" i="8"/>
  <c r="BA65" i="8" s="1"/>
  <c r="AS65" i="8" s="1"/>
  <c r="AY61" i="8"/>
  <c r="BA61" i="8" s="1"/>
  <c r="AS61" i="8" s="1"/>
  <c r="AH162" i="8"/>
  <c r="AJ162" i="8" s="1"/>
  <c r="AH158" i="8"/>
  <c r="AH154" i="8"/>
  <c r="AJ154" i="8" s="1"/>
  <c r="AB154" i="8" s="1"/>
  <c r="AH150" i="8"/>
  <c r="AJ150" i="8" s="1"/>
  <c r="AB150" i="8" s="1"/>
  <c r="AH89" i="8"/>
  <c r="AJ89" i="8" s="1"/>
  <c r="AB89" i="8" s="1"/>
  <c r="AH85" i="8"/>
  <c r="AJ85" i="8" s="1"/>
  <c r="AB85" i="8" s="1"/>
  <c r="AY131" i="8"/>
  <c r="BA131" i="8" s="1"/>
  <c r="AS131" i="8" s="1"/>
  <c r="AY127" i="8"/>
  <c r="BA127" i="8" s="1"/>
  <c r="AS127" i="8" s="1"/>
  <c r="AY52" i="8"/>
  <c r="BA52" i="8" s="1"/>
  <c r="AS52" i="8" s="1"/>
  <c r="AY48" i="8"/>
  <c r="BA48" i="8" s="1"/>
  <c r="AY44" i="8"/>
  <c r="BA44" i="8" s="1"/>
  <c r="AS44" i="8" s="1"/>
  <c r="AY40" i="8"/>
  <c r="BA40" i="8" s="1"/>
  <c r="AS40" i="8" s="1"/>
  <c r="AH141" i="8"/>
  <c r="AJ141" i="8" s="1"/>
  <c r="AB141" i="8" s="1"/>
  <c r="AH137" i="8"/>
  <c r="AJ137" i="8" s="1"/>
  <c r="AB137" i="8" s="1"/>
  <c r="AH133" i="8"/>
  <c r="AJ133" i="8" s="1"/>
  <c r="AB133" i="8" s="1"/>
  <c r="AH129" i="8"/>
  <c r="AJ129" i="8" s="1"/>
  <c r="AB129" i="8" s="1"/>
  <c r="AH126" i="8"/>
  <c r="AJ126" i="8" s="1"/>
  <c r="AH117" i="8"/>
  <c r="AJ117" i="8" s="1"/>
  <c r="AB117" i="8" s="1"/>
  <c r="AH113" i="8"/>
  <c r="AJ113" i="8" s="1"/>
  <c r="AB113" i="8" s="1"/>
  <c r="AH109" i="8"/>
  <c r="AJ109" i="8" s="1"/>
  <c r="AB109" i="8" s="1"/>
  <c r="AH96" i="8"/>
  <c r="AJ96" i="8" s="1"/>
  <c r="AH75" i="8"/>
  <c r="AJ75" i="8" s="1"/>
  <c r="AB75" i="8" s="1"/>
  <c r="AH71" i="8"/>
  <c r="AJ71" i="8" s="1"/>
  <c r="AB71" i="8" s="1"/>
  <c r="AH67" i="8"/>
  <c r="AJ67" i="8" s="1"/>
  <c r="AB67" i="8" s="1"/>
  <c r="AH63" i="8"/>
  <c r="AJ63" i="8" s="1"/>
  <c r="AB63" i="8" s="1"/>
  <c r="AH43" i="8"/>
  <c r="AJ43" i="8" s="1"/>
  <c r="AB43" i="8" s="1"/>
  <c r="AH51" i="8"/>
  <c r="AJ51" i="8" s="1"/>
  <c r="AB51" i="8" s="1"/>
  <c r="K136" i="8"/>
  <c r="K111" i="8"/>
  <c r="M111" i="8" s="1"/>
  <c r="AH153" i="8"/>
  <c r="AJ153" i="8" s="1"/>
  <c r="K104" i="8"/>
  <c r="AY114" i="8"/>
  <c r="BA114" i="8" s="1"/>
  <c r="AS114" i="8" s="1"/>
  <c r="AH42" i="8"/>
  <c r="AJ42" i="8" s="1"/>
  <c r="AB42" i="8" s="1"/>
  <c r="AY161" i="8"/>
  <c r="BA161" i="8" s="1"/>
  <c r="AS161" i="8" s="1"/>
  <c r="AY110" i="8"/>
  <c r="BA110" i="8" s="1"/>
  <c r="AS110" i="8" s="1"/>
  <c r="AH44" i="8"/>
  <c r="AJ44" i="8" s="1"/>
  <c r="AB44" i="8" s="1"/>
  <c r="K129" i="8"/>
  <c r="M129" i="8" s="1"/>
  <c r="K108" i="8"/>
  <c r="AY106" i="8"/>
  <c r="BA106" i="8" s="1"/>
  <c r="AS106" i="8" s="1"/>
  <c r="AH46" i="8"/>
  <c r="AJ46" i="8" s="1"/>
  <c r="AB46" i="8" s="1"/>
  <c r="K131" i="8"/>
  <c r="K110" i="8"/>
  <c r="AH50" i="8"/>
  <c r="AJ50" i="8" s="1"/>
  <c r="AB50" i="8" s="1"/>
  <c r="K112" i="8"/>
  <c r="AH52" i="8"/>
  <c r="AJ52" i="8" s="1"/>
  <c r="K137" i="8"/>
  <c r="K114" i="8"/>
  <c r="AY97" i="8"/>
  <c r="BA97" i="8" s="1"/>
  <c r="AS97" i="8" s="1"/>
  <c r="AY68" i="8"/>
  <c r="BA68" i="8" s="1"/>
  <c r="AS68" i="8" s="1"/>
  <c r="AH54" i="8"/>
  <c r="AJ54" i="8" s="1"/>
  <c r="AB54" i="8" s="1"/>
  <c r="K139" i="8"/>
  <c r="K116" i="8"/>
  <c r="AY82" i="8"/>
  <c r="BA82" i="8" s="1"/>
  <c r="AS82" i="8" s="1"/>
  <c r="K135" i="8"/>
  <c r="AY72" i="8"/>
  <c r="BA72" i="8" s="1"/>
  <c r="AS72" i="8" s="1"/>
  <c r="AH161" i="8"/>
  <c r="AJ161" i="8" s="1"/>
  <c r="AB161" i="8" s="1"/>
  <c r="AH92" i="8"/>
  <c r="AL92" i="8" s="1"/>
  <c r="K128" i="8"/>
  <c r="T135" i="8" s="1"/>
  <c r="K106" i="8"/>
  <c r="AY93" i="8"/>
  <c r="BA93" i="8" s="1"/>
  <c r="AS93" i="8" s="1"/>
  <c r="AY64" i="8"/>
  <c r="BA64" i="8" s="1"/>
  <c r="AS64" i="8" s="1"/>
  <c r="AH157" i="8"/>
  <c r="AJ157" i="8" s="1"/>
  <c r="AB157" i="8" s="1"/>
  <c r="AH88" i="8"/>
  <c r="AJ88" i="8" s="1"/>
  <c r="AB88" i="8" s="1"/>
  <c r="K143" i="8"/>
  <c r="K118" i="8"/>
  <c r="AY118" i="8"/>
  <c r="BA118" i="8" s="1"/>
  <c r="AS118" i="8" s="1"/>
  <c r="AY89" i="8"/>
  <c r="BA89" i="8" s="1"/>
  <c r="AS89" i="8" s="1"/>
  <c r="AH84" i="8"/>
  <c r="AY85" i="8"/>
  <c r="BA85" i="8" s="1"/>
  <c r="AS85" i="8" s="1"/>
  <c r="BC158" i="8"/>
  <c r="BC65" i="8"/>
  <c r="AZ92" i="8"/>
  <c r="BC92" i="8"/>
  <c r="AI111" i="8"/>
  <c r="AL111" i="8"/>
  <c r="BC86" i="8"/>
  <c r="BC51" i="8"/>
  <c r="AZ45" i="8"/>
  <c r="BC136" i="8"/>
  <c r="BC157" i="8"/>
  <c r="AI153" i="8"/>
  <c r="AZ171" i="8"/>
  <c r="AI160" i="8"/>
  <c r="AL152" i="8"/>
  <c r="AL108" i="8"/>
  <c r="AZ173" i="8"/>
  <c r="BC137" i="8"/>
  <c r="BC169" i="8"/>
  <c r="AL115" i="8"/>
  <c r="BC175" i="8"/>
  <c r="AI92" i="8"/>
  <c r="BC60" i="8"/>
  <c r="AI140" i="8"/>
  <c r="AL140" i="8"/>
  <c r="AL69" i="8"/>
  <c r="AZ53" i="8"/>
  <c r="BC53" i="8"/>
  <c r="AZ104" i="8"/>
  <c r="BC138" i="8"/>
  <c r="AZ151" i="8"/>
  <c r="L137" i="8"/>
  <c r="L129" i="8"/>
  <c r="W12" i="8"/>
  <c r="K79" i="8"/>
  <c r="T82" i="8" s="1"/>
  <c r="K63" i="8"/>
  <c r="O63" i="8" s="1"/>
  <c r="K55" i="8"/>
  <c r="K81" i="8"/>
  <c r="M81" i="8" s="1"/>
  <c r="K89" i="8"/>
  <c r="M89" i="8" s="1"/>
  <c r="M135" i="8"/>
  <c r="E135" i="8" s="1"/>
  <c r="K56" i="8"/>
  <c r="K64" i="8"/>
  <c r="M64" i="8" s="1"/>
  <c r="K90" i="8"/>
  <c r="M90" i="8" s="1"/>
  <c r="M131" i="8"/>
  <c r="E131" i="8" s="1"/>
  <c r="W13" i="8"/>
  <c r="K82" i="8"/>
  <c r="W14" i="8"/>
  <c r="Y14" i="8" s="1"/>
  <c r="Z14" i="8" s="1"/>
  <c r="K57" i="8"/>
  <c r="K65" i="8"/>
  <c r="M65" i="8" s="1"/>
  <c r="K83" i="8"/>
  <c r="M83" i="8" s="1"/>
  <c r="K91" i="8"/>
  <c r="M136" i="8"/>
  <c r="E136" i="8" s="1"/>
  <c r="M132" i="8"/>
  <c r="W7" i="8"/>
  <c r="Y7" i="8" s="1"/>
  <c r="Z7" i="8" s="1"/>
  <c r="W15" i="8"/>
  <c r="K58" i="8"/>
  <c r="M58" i="8" s="1"/>
  <c r="K66" i="8"/>
  <c r="M66" i="8" s="1"/>
  <c r="K84" i="8"/>
  <c r="O84" i="8" s="1"/>
  <c r="K92" i="8"/>
  <c r="O142" i="8"/>
  <c r="K60" i="8"/>
  <c r="K94" i="8"/>
  <c r="W8" i="8"/>
  <c r="W16" i="8"/>
  <c r="K59" i="8"/>
  <c r="O59" i="8" s="1"/>
  <c r="K67" i="8"/>
  <c r="O67" i="8" s="1"/>
  <c r="K85" i="8"/>
  <c r="K93" i="8"/>
  <c r="M143" i="8"/>
  <c r="E143" i="8" s="1"/>
  <c r="N143" i="8" s="1"/>
  <c r="M137" i="8"/>
  <c r="M133" i="8"/>
  <c r="E133" i="8" s="1"/>
  <c r="W9" i="8"/>
  <c r="K86" i="8"/>
  <c r="M86" i="8" s="1"/>
  <c r="E86" i="8" s="1"/>
  <c r="W17" i="8"/>
  <c r="K68" i="8"/>
  <c r="W10" i="8"/>
  <c r="W18" i="8"/>
  <c r="Y18" i="8" s="1"/>
  <c r="Z18" i="8" s="1"/>
  <c r="K61" i="8"/>
  <c r="M61" i="8" s="1"/>
  <c r="K69" i="8"/>
  <c r="K87" i="8"/>
  <c r="M87" i="8" s="1"/>
  <c r="E87" i="8" s="1"/>
  <c r="O134" i="8"/>
  <c r="M128" i="8"/>
  <c r="E128" i="8" s="1"/>
  <c r="W11" i="8"/>
  <c r="W6" i="8"/>
  <c r="K26" i="8" s="1"/>
  <c r="K62" i="8"/>
  <c r="K70" i="8"/>
  <c r="K80" i="8"/>
  <c r="M80" i="8" s="1"/>
  <c r="E80" i="8" s="1"/>
  <c r="K88" i="8"/>
  <c r="M140" i="8"/>
  <c r="E140" i="8" s="1"/>
  <c r="O133" i="8"/>
  <c r="L132" i="8"/>
  <c r="L61" i="8"/>
  <c r="L89" i="8"/>
  <c r="L105" i="8"/>
  <c r="L67" i="8"/>
  <c r="L110" i="8"/>
  <c r="L90" i="8"/>
  <c r="M63" i="8"/>
  <c r="L109" i="8"/>
  <c r="L59" i="8"/>
  <c r="L108" i="8"/>
  <c r="L104" i="8"/>
  <c r="L63" i="8"/>
  <c r="M109" i="8"/>
  <c r="M113" i="8"/>
  <c r="M110" i="8"/>
  <c r="M104" i="8"/>
  <c r="M92" i="8"/>
  <c r="E92" i="8" s="1"/>
  <c r="M116" i="8"/>
  <c r="E116" i="8" s="1"/>
  <c r="M108" i="8"/>
  <c r="M79" i="8"/>
  <c r="E79" i="8" s="1"/>
  <c r="M56" i="8"/>
  <c r="E56" i="8" s="1"/>
  <c r="M57" i="8"/>
  <c r="E57" i="8" s="1"/>
  <c r="L111" i="8"/>
  <c r="L58" i="8"/>
  <c r="L66" i="8"/>
  <c r="L113" i="8"/>
  <c r="L83" i="8"/>
  <c r="L81" i="8"/>
  <c r="L64" i="8"/>
  <c r="L65" i="8"/>
  <c r="AA281" i="8"/>
  <c r="AC281" i="8" s="1"/>
  <c r="D30" i="8"/>
  <c r="G29" i="8" s="1"/>
  <c r="G37" i="8" s="1"/>
  <c r="C30" i="8"/>
  <c r="G27" i="8" s="1"/>
  <c r="G35" i="8" s="1"/>
  <c r="N85" i="12"/>
  <c r="N78" i="12"/>
  <c r="C20" i="1"/>
  <c r="AA7" i="8" l="1"/>
  <c r="AC7" i="8" s="1"/>
  <c r="AA8" i="8"/>
  <c r="AA9" i="8"/>
  <c r="AA11" i="8"/>
  <c r="AC11" i="8" s="1"/>
  <c r="AA12" i="8"/>
  <c r="BC85" i="8"/>
  <c r="BC82" i="8"/>
  <c r="AB149" i="8"/>
  <c r="BC93" i="8"/>
  <c r="AS117" i="8"/>
  <c r="AB74" i="8"/>
  <c r="BC118" i="8"/>
  <c r="AB132" i="8"/>
  <c r="BC94" i="8"/>
  <c r="AS88" i="8"/>
  <c r="BC171" i="8"/>
  <c r="AL42" i="8"/>
  <c r="BC148" i="8"/>
  <c r="AL134" i="8"/>
  <c r="AL63" i="8"/>
  <c r="AB95" i="8"/>
  <c r="AS130" i="8"/>
  <c r="BC104" i="8"/>
  <c r="BC139" i="8"/>
  <c r="AL113" i="8"/>
  <c r="BC151" i="8"/>
  <c r="BC47" i="8"/>
  <c r="AS147" i="8"/>
  <c r="BC116" i="8"/>
  <c r="AL67" i="8"/>
  <c r="AL131" i="8"/>
  <c r="AS48" i="8"/>
  <c r="AB52" i="8"/>
  <c r="AB96" i="8"/>
  <c r="BC133" i="8"/>
  <c r="AB62" i="8"/>
  <c r="BC111" i="8"/>
  <c r="AL62" i="8"/>
  <c r="BC83" i="8"/>
  <c r="BB61" i="8"/>
  <c r="BB69" i="8"/>
  <c r="BB62" i="8"/>
  <c r="BB70" i="8"/>
  <c r="BB63" i="8"/>
  <c r="BB71" i="8"/>
  <c r="BB73" i="8"/>
  <c r="BB64" i="8"/>
  <c r="BB72" i="8"/>
  <c r="BB65" i="8"/>
  <c r="BB66" i="8"/>
  <c r="BB74" i="8"/>
  <c r="BB67" i="8"/>
  <c r="BB75" i="8"/>
  <c r="BB68" i="8"/>
  <c r="BB60" i="8"/>
  <c r="AS179" i="8"/>
  <c r="AL139" i="8"/>
  <c r="AS45" i="8"/>
  <c r="AL157" i="8"/>
  <c r="AL68" i="8"/>
  <c r="AL153" i="8"/>
  <c r="AL85" i="8"/>
  <c r="AL98" i="8"/>
  <c r="BC41" i="8"/>
  <c r="BC69" i="8"/>
  <c r="BC160" i="8"/>
  <c r="BC181" i="8"/>
  <c r="BC71" i="8"/>
  <c r="AL75" i="8"/>
  <c r="AL73" i="8"/>
  <c r="AL95" i="8"/>
  <c r="AL50" i="8"/>
  <c r="BC115" i="8"/>
  <c r="AB126" i="8"/>
  <c r="BA39" i="8"/>
  <c r="AS39" i="8" s="1"/>
  <c r="AL118" i="8"/>
  <c r="AL106" i="8"/>
  <c r="BC152" i="8"/>
  <c r="AL114" i="8"/>
  <c r="AL133" i="8"/>
  <c r="AL112" i="8"/>
  <c r="AB162" i="8"/>
  <c r="AB153" i="8"/>
  <c r="BA134" i="8"/>
  <c r="AS134" i="8" s="1"/>
  <c r="BC134" i="8"/>
  <c r="AJ70" i="8"/>
  <c r="AB70" i="8" s="1"/>
  <c r="AL70" i="8"/>
  <c r="AL129" i="8"/>
  <c r="BC147" i="8"/>
  <c r="AL132" i="8"/>
  <c r="BC182" i="8"/>
  <c r="BC105" i="8"/>
  <c r="AL119" i="8"/>
  <c r="BC66" i="8"/>
  <c r="AJ155" i="8"/>
  <c r="AB155" i="8" s="1"/>
  <c r="BC62" i="8"/>
  <c r="BC153" i="8"/>
  <c r="BC91" i="8"/>
  <c r="BC108" i="8"/>
  <c r="BC177" i="8"/>
  <c r="BC68" i="8"/>
  <c r="AJ92" i="8"/>
  <c r="AB92" i="8" s="1"/>
  <c r="AL148" i="8"/>
  <c r="BC112" i="8"/>
  <c r="AL44" i="8"/>
  <c r="BC176" i="8"/>
  <c r="BC183" i="8"/>
  <c r="AL61" i="8"/>
  <c r="AJ84" i="8"/>
  <c r="AB84" i="8" s="1"/>
  <c r="AR9" i="8" s="1"/>
  <c r="AT9" i="8" s="1"/>
  <c r="AL84" i="8"/>
  <c r="AJ159" i="8"/>
  <c r="AB159" i="8" s="1"/>
  <c r="AL159" i="8"/>
  <c r="AB111" i="8"/>
  <c r="AK114" i="8" s="1"/>
  <c r="AS173" i="8"/>
  <c r="AL96" i="8"/>
  <c r="BC67" i="8"/>
  <c r="AL149" i="8"/>
  <c r="BC64" i="8"/>
  <c r="AL46" i="8"/>
  <c r="AL120" i="8"/>
  <c r="BC140" i="8"/>
  <c r="AL135" i="8"/>
  <c r="BC54" i="8"/>
  <c r="BC126" i="8"/>
  <c r="BC87" i="8"/>
  <c r="BC131" i="8"/>
  <c r="BC73" i="8"/>
  <c r="BC49" i="8"/>
  <c r="AL136" i="8"/>
  <c r="AL150" i="8"/>
  <c r="BC154" i="8"/>
  <c r="AL109" i="8"/>
  <c r="Y6" i="8"/>
  <c r="Z6" i="8" s="1"/>
  <c r="M55" i="8"/>
  <c r="T58" i="8"/>
  <c r="BC45" i="8"/>
  <c r="BC178" i="8"/>
  <c r="AS53" i="8"/>
  <c r="AJ163" i="8"/>
  <c r="AB163" i="8" s="1"/>
  <c r="AL163" i="8"/>
  <c r="AJ48" i="8"/>
  <c r="AB48" i="8" s="1"/>
  <c r="AL48" i="8"/>
  <c r="AJ156" i="8"/>
  <c r="AB156" i="8" s="1"/>
  <c r="AL156" i="8"/>
  <c r="AS92" i="8"/>
  <c r="AB140" i="8"/>
  <c r="BC97" i="8"/>
  <c r="AL53" i="8"/>
  <c r="BC43" i="8"/>
  <c r="AL105" i="8"/>
  <c r="AL117" i="8"/>
  <c r="BC125" i="8"/>
  <c r="AL41" i="8"/>
  <c r="AL161" i="8"/>
  <c r="AL107" i="8"/>
  <c r="AL138" i="8"/>
  <c r="BC173" i="8"/>
  <c r="BC75" i="8"/>
  <c r="BC90" i="8"/>
  <c r="AL47" i="8"/>
  <c r="BC42" i="8"/>
  <c r="BC74" i="8"/>
  <c r="BC72" i="8"/>
  <c r="AJ39" i="8"/>
  <c r="AB39" i="8" s="1"/>
  <c r="AL39" i="8"/>
  <c r="AJ158" i="8"/>
  <c r="AB158" i="8" s="1"/>
  <c r="AL158" i="8"/>
  <c r="AJ40" i="8"/>
  <c r="AB40" i="8" s="1"/>
  <c r="AL40" i="8"/>
  <c r="AB160" i="8"/>
  <c r="BA96" i="8"/>
  <c r="AS96" i="8" s="1"/>
  <c r="BC96" i="8"/>
  <c r="BC114" i="8"/>
  <c r="BC128" i="8"/>
  <c r="BC70" i="8"/>
  <c r="BC110" i="8"/>
  <c r="AL130" i="8"/>
  <c r="BC61" i="8"/>
  <c r="BC135" i="8"/>
  <c r="BC46" i="8"/>
  <c r="BC150" i="8"/>
  <c r="AL83" i="8"/>
  <c r="BC44" i="8"/>
  <c r="BC95" i="8"/>
  <c r="AL154" i="8"/>
  <c r="BC170" i="8"/>
  <c r="AL162" i="8"/>
  <c r="BC127" i="8"/>
  <c r="AL126" i="8"/>
  <c r="AJ91" i="8"/>
  <c r="AB91" i="8" s="1"/>
  <c r="AL91" i="8"/>
  <c r="AS104" i="8"/>
  <c r="AJ45" i="8"/>
  <c r="AB45" i="8" s="1"/>
  <c r="AL45" i="8"/>
  <c r="BA162" i="8"/>
  <c r="AS162" i="8" s="1"/>
  <c r="BC162" i="8"/>
  <c r="AL87" i="8"/>
  <c r="AL54" i="8"/>
  <c r="BC174" i="8"/>
  <c r="BC88" i="8"/>
  <c r="AL72" i="8"/>
  <c r="BC159" i="8"/>
  <c r="AL127" i="8"/>
  <c r="BC107" i="8"/>
  <c r="BC52" i="8"/>
  <c r="AL128" i="8"/>
  <c r="AL97" i="8"/>
  <c r="BC48" i="8"/>
  <c r="BC155" i="8"/>
  <c r="AL90" i="8"/>
  <c r="AL74" i="8"/>
  <c r="BC149" i="8"/>
  <c r="AL52" i="8"/>
  <c r="AL160" i="8"/>
  <c r="BC84" i="8"/>
  <c r="BC106" i="8"/>
  <c r="AL88" i="8"/>
  <c r="AJ93" i="8"/>
  <c r="AB93" i="8" s="1"/>
  <c r="AL93" i="8"/>
  <c r="BA129" i="8"/>
  <c r="AS129" i="8" s="1"/>
  <c r="BC129" i="8"/>
  <c r="AS171" i="8"/>
  <c r="AS151" i="8"/>
  <c r="AS152" i="8"/>
  <c r="BC117" i="8"/>
  <c r="AL89" i="8"/>
  <c r="AL86" i="8"/>
  <c r="AL110" i="8"/>
  <c r="BC180" i="8"/>
  <c r="BC132" i="8"/>
  <c r="BC113" i="8"/>
  <c r="BC172" i="8"/>
  <c r="BC156" i="8"/>
  <c r="AL137" i="8"/>
  <c r="BC179" i="8"/>
  <c r="BC130" i="8"/>
  <c r="AL116" i="8"/>
  <c r="AL94" i="8"/>
  <c r="BC161" i="8"/>
  <c r="BC89" i="8"/>
  <c r="AL43" i="8"/>
  <c r="BC119" i="8"/>
  <c r="O111" i="8"/>
  <c r="AJ49" i="8"/>
  <c r="AB49" i="8" s="1"/>
  <c r="AL49" i="8"/>
  <c r="AB90" i="8"/>
  <c r="AS153" i="8"/>
  <c r="AJ66" i="8"/>
  <c r="AB66" i="8" s="1"/>
  <c r="AL66" i="8"/>
  <c r="BC63" i="8"/>
  <c r="AL64" i="8"/>
  <c r="AL141" i="8"/>
  <c r="BC40" i="8"/>
  <c r="AL151" i="8"/>
  <c r="AL51" i="8"/>
  <c r="BC184" i="8"/>
  <c r="BC50" i="8"/>
  <c r="AL76" i="8"/>
  <c r="AL71" i="8"/>
  <c r="BC109" i="8"/>
  <c r="AL65" i="8"/>
  <c r="E104" i="8"/>
  <c r="M142" i="8"/>
  <c r="E142" i="8" s="1"/>
  <c r="N142" i="8" s="1"/>
  <c r="P142" i="8" s="1"/>
  <c r="O136" i="8"/>
  <c r="M67" i="8"/>
  <c r="O131" i="8"/>
  <c r="M84" i="8"/>
  <c r="E84" i="8" s="1"/>
  <c r="M59" i="8"/>
  <c r="E59" i="8" s="1"/>
  <c r="E105" i="8"/>
  <c r="O140" i="8"/>
  <c r="M134" i="8"/>
  <c r="E134" i="8" s="1"/>
  <c r="O128" i="8"/>
  <c r="E137" i="8"/>
  <c r="E108" i="8"/>
  <c r="O132" i="8"/>
  <c r="O137" i="8"/>
  <c r="M139" i="8"/>
  <c r="E139" i="8" s="1"/>
  <c r="O139" i="8"/>
  <c r="O135" i="8"/>
  <c r="E109" i="8"/>
  <c r="E132" i="8"/>
  <c r="O129" i="8"/>
  <c r="M138" i="8"/>
  <c r="E138" i="8" s="1"/>
  <c r="O138" i="8"/>
  <c r="E129" i="8"/>
  <c r="M141" i="8"/>
  <c r="E141" i="8" s="1"/>
  <c r="O141" i="8"/>
  <c r="M130" i="8"/>
  <c r="E130" i="8" s="1"/>
  <c r="O130" i="8"/>
  <c r="O143" i="8"/>
  <c r="P143" i="8" s="1"/>
  <c r="E113" i="8"/>
  <c r="E90" i="8"/>
  <c r="E81" i="8"/>
  <c r="O83" i="8"/>
  <c r="O81" i="8"/>
  <c r="O87" i="8"/>
  <c r="E61" i="8"/>
  <c r="E65" i="8"/>
  <c r="O58" i="8"/>
  <c r="E55" i="8"/>
  <c r="O55" i="8"/>
  <c r="M88" i="8"/>
  <c r="E88" i="8" s="1"/>
  <c r="O88" i="8"/>
  <c r="M118" i="8"/>
  <c r="E118" i="8" s="1"/>
  <c r="O118" i="8"/>
  <c r="M85" i="8"/>
  <c r="E85" i="8" s="1"/>
  <c r="O85" i="8"/>
  <c r="E89" i="8"/>
  <c r="M115" i="8"/>
  <c r="E115" i="8" s="1"/>
  <c r="O115" i="8"/>
  <c r="O113" i="8"/>
  <c r="O80" i="8"/>
  <c r="O109" i="8"/>
  <c r="O79" i="8"/>
  <c r="O64" i="8"/>
  <c r="O110" i="8"/>
  <c r="O89" i="8"/>
  <c r="O61" i="8"/>
  <c r="E66" i="8"/>
  <c r="M70" i="8"/>
  <c r="E70" i="8" s="1"/>
  <c r="O70" i="8"/>
  <c r="E83" i="8"/>
  <c r="M114" i="8"/>
  <c r="E114" i="8" s="1"/>
  <c r="O114" i="8"/>
  <c r="M103" i="8"/>
  <c r="E103" i="8" s="1"/>
  <c r="O103" i="8"/>
  <c r="M112" i="8"/>
  <c r="E112" i="8" s="1"/>
  <c r="O112" i="8"/>
  <c r="O86" i="8"/>
  <c r="O65" i="8"/>
  <c r="E64" i="8"/>
  <c r="M69" i="8"/>
  <c r="E69" i="8" s="1"/>
  <c r="O69" i="8"/>
  <c r="E58" i="8"/>
  <c r="M82" i="8"/>
  <c r="E82" i="8" s="1"/>
  <c r="O82" i="8"/>
  <c r="M94" i="8"/>
  <c r="E94" i="8" s="1"/>
  <c r="O94" i="8"/>
  <c r="E63" i="8"/>
  <c r="O57" i="8"/>
  <c r="O105" i="8"/>
  <c r="O66" i="8"/>
  <c r="O56" i="8"/>
  <c r="M68" i="8"/>
  <c r="E68" i="8" s="1"/>
  <c r="O68" i="8"/>
  <c r="M62" i="8"/>
  <c r="E62" i="8" s="1"/>
  <c r="O62" i="8"/>
  <c r="M60" i="8"/>
  <c r="E60" i="8" s="1"/>
  <c r="O60" i="8"/>
  <c r="M91" i="8"/>
  <c r="E91" i="8" s="1"/>
  <c r="O91" i="8"/>
  <c r="M106" i="8"/>
  <c r="E106" i="8" s="1"/>
  <c r="O106" i="8"/>
  <c r="E111" i="8"/>
  <c r="E110" i="8"/>
  <c r="M117" i="8"/>
  <c r="E117" i="8" s="1"/>
  <c r="O117" i="8"/>
  <c r="M93" i="8"/>
  <c r="E93" i="8" s="1"/>
  <c r="O93" i="8"/>
  <c r="M107" i="8"/>
  <c r="E107" i="8" s="1"/>
  <c r="O107" i="8"/>
  <c r="O104" i="8"/>
  <c r="O92" i="8"/>
  <c r="O108" i="8"/>
  <c r="E67" i="8"/>
  <c r="O116" i="8"/>
  <c r="O90" i="8"/>
  <c r="Y16" i="8"/>
  <c r="Z16" i="8" s="1"/>
  <c r="AB16" i="8"/>
  <c r="Y10" i="8"/>
  <c r="Z10" i="8" s="1"/>
  <c r="AB10" i="8"/>
  <c r="AB7" i="8"/>
  <c r="Y12" i="8"/>
  <c r="Z12" i="8" s="1"/>
  <c r="AB12" i="8"/>
  <c r="Y17" i="8"/>
  <c r="Z17" i="8" s="1"/>
  <c r="AB17" i="8"/>
  <c r="AB18" i="8"/>
  <c r="AB6" i="8"/>
  <c r="Y11" i="8"/>
  <c r="Z11" i="8" s="1"/>
  <c r="AB11" i="8"/>
  <c r="Y8" i="8"/>
  <c r="Z8" i="8" s="1"/>
  <c r="AB8" i="8"/>
  <c r="Y13" i="8"/>
  <c r="Z13" i="8" s="1"/>
  <c r="AB13" i="8"/>
  <c r="AB14" i="8"/>
  <c r="Y15" i="8"/>
  <c r="Z15" i="8" s="1"/>
  <c r="AB15" i="8"/>
  <c r="Y9" i="8"/>
  <c r="Z9" i="8" s="1"/>
  <c r="AB9" i="8"/>
  <c r="C15" i="12"/>
  <c r="AJ136" i="12"/>
  <c r="AJ114" i="12"/>
  <c r="AJ92" i="12"/>
  <c r="AJ93" i="12" s="1"/>
  <c r="AJ94" i="12" s="1"/>
  <c r="AJ95" i="12" s="1"/>
  <c r="AJ96" i="12" s="1"/>
  <c r="AJ97" i="12" s="1"/>
  <c r="AJ98" i="12" s="1"/>
  <c r="AJ99" i="12" s="1"/>
  <c r="AJ100" i="12" s="1"/>
  <c r="AJ101" i="12" s="1"/>
  <c r="AJ102" i="12" s="1"/>
  <c r="AJ103" i="12" s="1"/>
  <c r="AJ104" i="12" s="1"/>
  <c r="AJ71" i="12"/>
  <c r="AJ49" i="12"/>
  <c r="AJ27" i="12"/>
  <c r="AJ6" i="12"/>
  <c r="AJ7" i="12" s="1"/>
  <c r="AJ8" i="12" s="1"/>
  <c r="S115" i="12"/>
  <c r="S93" i="12"/>
  <c r="S72" i="12"/>
  <c r="S50" i="12"/>
  <c r="S28" i="12"/>
  <c r="G32" i="12"/>
  <c r="B30" i="12"/>
  <c r="S6" i="12"/>
  <c r="G21" i="12"/>
  <c r="G13" i="12"/>
  <c r="AP101" i="12" s="1"/>
  <c r="G12" i="12"/>
  <c r="C10" i="12"/>
  <c r="C9" i="12"/>
  <c r="C7" i="12"/>
  <c r="C4" i="12"/>
  <c r="AA18" i="8" l="1"/>
  <c r="AC18" i="8" s="1"/>
  <c r="AA14" i="8"/>
  <c r="AC14" i="8" s="1"/>
  <c r="AR12" i="8"/>
  <c r="AT12" i="8" s="1"/>
  <c r="AA10" i="8"/>
  <c r="AC10" i="8" s="1"/>
  <c r="AA13" i="8"/>
  <c r="AC13" i="8" s="1"/>
  <c r="AR10" i="8"/>
  <c r="AT10" i="8" s="1"/>
  <c r="AR17" i="8"/>
  <c r="AT17" i="8" s="1"/>
  <c r="AA17" i="8"/>
  <c r="AC17" i="8" s="1"/>
  <c r="AR14" i="8"/>
  <c r="AT14" i="8" s="1"/>
  <c r="AR8" i="8"/>
  <c r="AT8" i="8" s="1"/>
  <c r="AC9" i="8"/>
  <c r="AR15" i="8"/>
  <c r="AT15" i="8" s="1"/>
  <c r="AR18" i="8"/>
  <c r="AT18" i="8" s="1"/>
  <c r="AA16" i="8"/>
  <c r="AC16" i="8" s="1"/>
  <c r="AR6" i="8"/>
  <c r="AT6" i="8" s="1"/>
  <c r="AR13" i="8"/>
  <c r="AT13" i="8" s="1"/>
  <c r="AC12" i="8"/>
  <c r="AC8" i="8"/>
  <c r="AR16" i="8"/>
  <c r="AT16" i="8" s="1"/>
  <c r="AR11" i="8"/>
  <c r="AT11" i="8" s="1"/>
  <c r="AA6" i="8"/>
  <c r="AA15" i="8"/>
  <c r="AC15" i="8" s="1"/>
  <c r="AR7" i="8"/>
  <c r="AT7" i="8" s="1"/>
  <c r="AK86" i="8"/>
  <c r="AK75" i="8"/>
  <c r="AM75" i="8" s="1"/>
  <c r="BB134" i="8"/>
  <c r="BD134" i="8" s="1"/>
  <c r="AK112" i="8"/>
  <c r="BB162" i="8"/>
  <c r="BD162" i="8" s="1"/>
  <c r="BB86" i="8"/>
  <c r="BD86" i="8" s="1"/>
  <c r="BB158" i="8"/>
  <c r="BD158" i="8" s="1"/>
  <c r="BB184" i="8"/>
  <c r="BD184" i="8" s="1"/>
  <c r="BB127" i="8"/>
  <c r="AK94" i="8"/>
  <c r="AM94" i="8" s="1"/>
  <c r="BB130" i="8"/>
  <c r="BB83" i="8"/>
  <c r="BB96" i="8"/>
  <c r="BD96" i="8" s="1"/>
  <c r="AK74" i="8"/>
  <c r="AM74" i="8" s="1"/>
  <c r="AK111" i="8"/>
  <c r="AM111" i="8" s="1"/>
  <c r="BB151" i="8"/>
  <c r="BD151" i="8" s="1"/>
  <c r="BB173" i="8"/>
  <c r="BD173" i="8" s="1"/>
  <c r="BB180" i="8"/>
  <c r="BD180" i="8" s="1"/>
  <c r="AK97" i="8"/>
  <c r="AM97" i="8" s="1"/>
  <c r="AK85" i="8"/>
  <c r="AM85" i="8" s="1"/>
  <c r="AK96" i="8"/>
  <c r="AM96" i="8" s="1"/>
  <c r="AK115" i="8"/>
  <c r="AM115" i="8" s="1"/>
  <c r="AK116" i="8"/>
  <c r="AM116" i="8" s="1"/>
  <c r="BB176" i="8"/>
  <c r="BD176" i="8" s="1"/>
  <c r="BB172" i="8"/>
  <c r="BD172" i="8" s="1"/>
  <c r="BB154" i="8"/>
  <c r="BD154" i="8" s="1"/>
  <c r="BB150" i="8"/>
  <c r="BD150" i="8" s="1"/>
  <c r="AK67" i="8"/>
  <c r="AM67" i="8" s="1"/>
  <c r="AK64" i="8"/>
  <c r="AM64" i="8" s="1"/>
  <c r="BB97" i="8"/>
  <c r="BD97" i="8" s="1"/>
  <c r="BB93" i="8"/>
  <c r="BD93" i="8" s="1"/>
  <c r="BB125" i="8"/>
  <c r="BD125" i="8" s="1"/>
  <c r="BB137" i="8"/>
  <c r="BD137" i="8" s="1"/>
  <c r="AK83" i="8"/>
  <c r="AM83" i="8" s="1"/>
  <c r="AK88" i="8"/>
  <c r="AM88" i="8" s="1"/>
  <c r="AK118" i="8"/>
  <c r="AM118" i="8" s="1"/>
  <c r="AK108" i="8"/>
  <c r="AM108" i="8" s="1"/>
  <c r="BB183" i="8"/>
  <c r="BD183" i="8" s="1"/>
  <c r="BB179" i="8"/>
  <c r="BD179" i="8" s="1"/>
  <c r="BB161" i="8"/>
  <c r="BD161" i="8" s="1"/>
  <c r="BB157" i="8"/>
  <c r="BD157" i="8" s="1"/>
  <c r="AK61" i="8"/>
  <c r="AM61" i="8" s="1"/>
  <c r="AK69" i="8"/>
  <c r="AM69" i="8" s="1"/>
  <c r="BB89" i="8"/>
  <c r="BD89" i="8" s="1"/>
  <c r="BB85" i="8"/>
  <c r="BD85" i="8" s="1"/>
  <c r="BB133" i="8"/>
  <c r="BB129" i="8"/>
  <c r="BD129" i="8" s="1"/>
  <c r="AK159" i="8"/>
  <c r="AM159" i="8" s="1"/>
  <c r="AK91" i="8"/>
  <c r="AM91" i="8" s="1"/>
  <c r="AK92" i="8"/>
  <c r="AM92" i="8" s="1"/>
  <c r="BB39" i="8"/>
  <c r="BD39" i="8" s="1"/>
  <c r="BB40" i="8"/>
  <c r="BD40" i="8" s="1"/>
  <c r="BB48" i="8"/>
  <c r="BD48" i="8" s="1"/>
  <c r="BB41" i="8"/>
  <c r="BD41" i="8" s="1"/>
  <c r="BB49" i="8"/>
  <c r="BD49" i="8" s="1"/>
  <c r="BB47" i="8"/>
  <c r="BD47" i="8" s="1"/>
  <c r="BB42" i="8"/>
  <c r="BB50" i="8"/>
  <c r="BD50" i="8" s="1"/>
  <c r="BB43" i="8"/>
  <c r="BD43" i="8" s="1"/>
  <c r="BB51" i="8"/>
  <c r="BB52" i="8"/>
  <c r="BD52" i="8" s="1"/>
  <c r="BB44" i="8"/>
  <c r="BD44" i="8" s="1"/>
  <c r="BB45" i="8"/>
  <c r="BD45" i="8" s="1"/>
  <c r="BB53" i="8"/>
  <c r="BD53" i="8" s="1"/>
  <c r="BB46" i="8"/>
  <c r="BD46" i="8" s="1"/>
  <c r="BB54" i="8"/>
  <c r="BD54" i="8" s="1"/>
  <c r="AK110" i="8"/>
  <c r="AM110" i="8" s="1"/>
  <c r="AK107" i="8"/>
  <c r="AM107" i="8" s="1"/>
  <c r="BB175" i="8"/>
  <c r="BD175" i="8" s="1"/>
  <c r="BB171" i="8"/>
  <c r="BD171" i="8" s="1"/>
  <c r="BB153" i="8"/>
  <c r="BD153" i="8" s="1"/>
  <c r="BB149" i="8"/>
  <c r="BD149" i="8" s="1"/>
  <c r="AK70" i="8"/>
  <c r="AM70" i="8" s="1"/>
  <c r="AK71" i="8"/>
  <c r="AM71" i="8" s="1"/>
  <c r="BB88" i="8"/>
  <c r="BD88" i="8" s="1"/>
  <c r="BB92" i="8"/>
  <c r="BB126" i="8"/>
  <c r="BD126" i="8" s="1"/>
  <c r="BB139" i="8"/>
  <c r="BD139" i="8" s="1"/>
  <c r="AK84" i="8"/>
  <c r="AM84" i="8" s="1"/>
  <c r="AK95" i="8"/>
  <c r="AM95" i="8" s="1"/>
  <c r="AK128" i="8"/>
  <c r="AM128" i="8" s="1"/>
  <c r="AK136" i="8"/>
  <c r="AM136" i="8" s="1"/>
  <c r="AK129" i="8"/>
  <c r="AM129" i="8" s="1"/>
  <c r="AK137" i="8"/>
  <c r="AM137" i="8" s="1"/>
  <c r="AK132" i="8"/>
  <c r="AM132" i="8" s="1"/>
  <c r="AK130" i="8"/>
  <c r="AM130" i="8" s="1"/>
  <c r="AK138" i="8"/>
  <c r="AM138" i="8" s="1"/>
  <c r="AK135" i="8"/>
  <c r="AM135" i="8" s="1"/>
  <c r="AK131" i="8"/>
  <c r="AM131" i="8" s="1"/>
  <c r="AK139" i="8"/>
  <c r="AM139" i="8" s="1"/>
  <c r="AK140" i="8"/>
  <c r="AM140" i="8" s="1"/>
  <c r="AK127" i="8"/>
  <c r="AM127" i="8" s="1"/>
  <c r="AK133" i="8"/>
  <c r="AM133" i="8" s="1"/>
  <c r="AK141" i="8"/>
  <c r="AM141" i="8" s="1"/>
  <c r="AK134" i="8"/>
  <c r="AM134" i="8" s="1"/>
  <c r="AK126" i="8"/>
  <c r="AM126" i="8" s="1"/>
  <c r="AK106" i="8"/>
  <c r="AM106" i="8" s="1"/>
  <c r="AK119" i="8"/>
  <c r="AM119" i="8" s="1"/>
  <c r="BB178" i="8"/>
  <c r="BD178" i="8" s="1"/>
  <c r="BB182" i="8"/>
  <c r="BD182" i="8" s="1"/>
  <c r="BB156" i="8"/>
  <c r="BD156" i="8" s="1"/>
  <c r="BB160" i="8"/>
  <c r="BD160" i="8" s="1"/>
  <c r="AK66" i="8"/>
  <c r="AM66" i="8" s="1"/>
  <c r="AK63" i="8"/>
  <c r="AM63" i="8" s="1"/>
  <c r="BB95" i="8"/>
  <c r="BD95" i="8" s="1"/>
  <c r="BB84" i="8"/>
  <c r="BD84" i="8" s="1"/>
  <c r="BB140" i="8"/>
  <c r="BD140" i="8" s="1"/>
  <c r="BB136" i="8"/>
  <c r="BD136" i="8" s="1"/>
  <c r="AK72" i="8"/>
  <c r="AM72" i="8" s="1"/>
  <c r="BB106" i="8"/>
  <c r="BD106" i="8" s="1"/>
  <c r="BB114" i="8"/>
  <c r="BD114" i="8" s="1"/>
  <c r="BB107" i="8"/>
  <c r="BD107" i="8" s="1"/>
  <c r="BB115" i="8"/>
  <c r="BD115" i="8" s="1"/>
  <c r="BB108" i="8"/>
  <c r="BD108" i="8" s="1"/>
  <c r="BB116" i="8"/>
  <c r="BD116" i="8" s="1"/>
  <c r="BB110" i="8"/>
  <c r="BD110" i="8" s="1"/>
  <c r="BB109" i="8"/>
  <c r="BD109" i="8" s="1"/>
  <c r="BB117" i="8"/>
  <c r="BD117" i="8" s="1"/>
  <c r="BB118" i="8"/>
  <c r="BD118" i="8" s="1"/>
  <c r="BB111" i="8"/>
  <c r="BD111" i="8" s="1"/>
  <c r="BB119" i="8"/>
  <c r="BD119" i="8" s="1"/>
  <c r="BB105" i="8"/>
  <c r="BD105" i="8" s="1"/>
  <c r="BB112" i="8"/>
  <c r="BD112" i="8" s="1"/>
  <c r="BB104" i="8"/>
  <c r="BD104" i="8" s="1"/>
  <c r="BB113" i="8"/>
  <c r="BD113" i="8" s="1"/>
  <c r="AK98" i="8"/>
  <c r="AM98" i="8" s="1"/>
  <c r="AK87" i="8"/>
  <c r="AM87" i="8" s="1"/>
  <c r="AK105" i="8"/>
  <c r="AM105" i="8" s="1"/>
  <c r="AK117" i="8"/>
  <c r="AM117" i="8" s="1"/>
  <c r="BB169" i="8"/>
  <c r="BD169" i="8" s="1"/>
  <c r="BB174" i="8"/>
  <c r="BD174" i="8" s="1"/>
  <c r="BB147" i="8"/>
  <c r="BD147" i="8" s="1"/>
  <c r="BB152" i="8"/>
  <c r="BD152" i="8" s="1"/>
  <c r="AK62" i="8"/>
  <c r="AM62" i="8" s="1"/>
  <c r="AK73" i="8"/>
  <c r="AM73" i="8" s="1"/>
  <c r="BB91" i="8"/>
  <c r="BD91" i="8" s="1"/>
  <c r="BB87" i="8"/>
  <c r="BD87" i="8" s="1"/>
  <c r="BB132" i="8"/>
  <c r="BD132" i="8" s="1"/>
  <c r="BB128" i="8"/>
  <c r="BD128" i="8" s="1"/>
  <c r="AK90" i="8"/>
  <c r="AM90" i="8" s="1"/>
  <c r="AK93" i="8"/>
  <c r="AM93" i="8" s="1"/>
  <c r="AK113" i="8"/>
  <c r="AM113" i="8" s="1"/>
  <c r="AK109" i="8"/>
  <c r="AM109" i="8" s="1"/>
  <c r="BB177" i="8"/>
  <c r="BD177" i="8" s="1"/>
  <c r="BB181" i="8"/>
  <c r="BD181" i="8" s="1"/>
  <c r="BB155" i="8"/>
  <c r="BD155" i="8" s="1"/>
  <c r="BB159" i="8"/>
  <c r="BD159" i="8" s="1"/>
  <c r="AK76" i="8"/>
  <c r="AM76" i="8" s="1"/>
  <c r="AK65" i="8"/>
  <c r="AM65" i="8" s="1"/>
  <c r="BB82" i="8"/>
  <c r="BD82" i="8" s="1"/>
  <c r="BB94" i="8"/>
  <c r="BD94" i="8" s="1"/>
  <c r="BB131" i="8"/>
  <c r="BD131" i="8" s="1"/>
  <c r="BB135" i="8"/>
  <c r="BD135" i="8" s="1"/>
  <c r="AK158" i="8"/>
  <c r="AM158" i="8" s="1"/>
  <c r="AK151" i="8"/>
  <c r="AM151" i="8" s="1"/>
  <c r="AK89" i="8"/>
  <c r="AM89" i="8" s="1"/>
  <c r="AK120" i="8"/>
  <c r="AM120" i="8" s="1"/>
  <c r="BB170" i="8"/>
  <c r="BD170" i="8" s="1"/>
  <c r="BB148" i="8"/>
  <c r="BD148" i="8" s="1"/>
  <c r="AK68" i="8"/>
  <c r="AM68" i="8" s="1"/>
  <c r="BB90" i="8"/>
  <c r="BD90" i="8" s="1"/>
  <c r="BB138" i="8"/>
  <c r="BD138" i="8" s="1"/>
  <c r="AK157" i="8"/>
  <c r="AM157" i="8" s="1"/>
  <c r="AK149" i="8"/>
  <c r="AM149" i="8" s="1"/>
  <c r="AK161" i="8"/>
  <c r="AM161" i="8" s="1"/>
  <c r="AK148" i="8"/>
  <c r="AM148" i="8" s="1"/>
  <c r="AK153" i="8"/>
  <c r="AM153" i="8" s="1"/>
  <c r="AK156" i="8"/>
  <c r="AM156" i="8" s="1"/>
  <c r="AK160" i="8"/>
  <c r="AM160" i="8" s="1"/>
  <c r="AK163" i="8"/>
  <c r="AM163" i="8" s="1"/>
  <c r="AK152" i="8"/>
  <c r="AM152" i="8" s="1"/>
  <c r="AK155" i="8"/>
  <c r="AM155" i="8" s="1"/>
  <c r="AK150" i="8"/>
  <c r="AM150" i="8" s="1"/>
  <c r="AK162" i="8"/>
  <c r="AM162" i="8" s="1"/>
  <c r="AK154" i="8"/>
  <c r="AM154" i="8" s="1"/>
  <c r="BD75" i="8"/>
  <c r="AK47" i="8"/>
  <c r="AM47" i="8" s="1"/>
  <c r="AK44" i="8"/>
  <c r="AM44" i="8" s="1"/>
  <c r="AK53" i="8"/>
  <c r="AM53" i="8" s="1"/>
  <c r="BD64" i="8"/>
  <c r="AM114" i="8"/>
  <c r="BD74" i="8"/>
  <c r="BD133" i="8"/>
  <c r="BD67" i="8"/>
  <c r="AK50" i="8"/>
  <c r="AM50" i="8" s="1"/>
  <c r="AK49" i="8"/>
  <c r="AM49" i="8" s="1"/>
  <c r="AK45" i="8"/>
  <c r="AM45" i="8" s="1"/>
  <c r="BD51" i="8"/>
  <c r="BD63" i="8"/>
  <c r="BD71" i="8"/>
  <c r="BD83" i="8"/>
  <c r="BD62" i="8"/>
  <c r="AK54" i="8"/>
  <c r="AM54" i="8" s="1"/>
  <c r="AK43" i="8"/>
  <c r="AM43" i="8" s="1"/>
  <c r="BD127" i="8"/>
  <c r="BD42" i="8"/>
  <c r="AK52" i="8"/>
  <c r="AM52" i="8" s="1"/>
  <c r="AK51" i="8"/>
  <c r="AM51" i="8" s="1"/>
  <c r="AM112" i="8"/>
  <c r="AK40" i="8"/>
  <c r="AM40" i="8" s="1"/>
  <c r="AK42" i="8"/>
  <c r="AM42" i="8" s="1"/>
  <c r="BD65" i="8"/>
  <c r="BD60" i="8"/>
  <c r="BD92" i="8"/>
  <c r="BD70" i="8"/>
  <c r="AK41" i="8"/>
  <c r="AM41" i="8" s="1"/>
  <c r="AK48" i="8"/>
  <c r="AM48" i="8" s="1"/>
  <c r="BD61" i="8"/>
  <c r="BD72" i="8"/>
  <c r="BD69" i="8"/>
  <c r="BD130" i="8"/>
  <c r="BD68" i="8"/>
  <c r="BD73" i="8"/>
  <c r="BD66" i="8"/>
  <c r="AM86" i="8"/>
  <c r="AK39" i="8"/>
  <c r="AM39" i="8" s="1"/>
  <c r="AK46" i="8"/>
  <c r="AM46" i="8" s="1"/>
  <c r="N138" i="8"/>
  <c r="N137" i="8"/>
  <c r="N141" i="8"/>
  <c r="P141" i="8" s="1"/>
  <c r="N139" i="8"/>
  <c r="P139" i="8" s="1"/>
  <c r="N140" i="8"/>
  <c r="P140" i="8" s="1"/>
  <c r="N133" i="8"/>
  <c r="P133" i="8" s="1"/>
  <c r="P138" i="8"/>
  <c r="N130" i="8"/>
  <c r="P130" i="8" s="1"/>
  <c r="N131" i="8"/>
  <c r="P131" i="8" s="1"/>
  <c r="N132" i="8"/>
  <c r="P132" i="8" s="1"/>
  <c r="N128" i="8"/>
  <c r="P128" i="8" s="1"/>
  <c r="N129" i="8"/>
  <c r="P129" i="8" s="1"/>
  <c r="N135" i="8"/>
  <c r="P135" i="8" s="1"/>
  <c r="P137" i="8"/>
  <c r="N134" i="8"/>
  <c r="P134" i="8" s="1"/>
  <c r="N136" i="8"/>
  <c r="P136" i="8" s="1"/>
  <c r="N108" i="8"/>
  <c r="P108" i="8" s="1"/>
  <c r="N116" i="8"/>
  <c r="P116" i="8" s="1"/>
  <c r="N109" i="8"/>
  <c r="P109" i="8" s="1"/>
  <c r="N117" i="8"/>
  <c r="P117" i="8" s="1"/>
  <c r="N114" i="8"/>
  <c r="P114" i="8" s="1"/>
  <c r="N110" i="8"/>
  <c r="P110" i="8" s="1"/>
  <c r="N118" i="8"/>
  <c r="P118" i="8" s="1"/>
  <c r="N111" i="8"/>
  <c r="P111" i="8" s="1"/>
  <c r="N103" i="8"/>
  <c r="P103" i="8" s="1"/>
  <c r="N104" i="8"/>
  <c r="P104" i="8" s="1"/>
  <c r="N112" i="8"/>
  <c r="P112" i="8" s="1"/>
  <c r="N105" i="8"/>
  <c r="P105" i="8" s="1"/>
  <c r="N113" i="8"/>
  <c r="P113" i="8" s="1"/>
  <c r="N107" i="8"/>
  <c r="P107" i="8" s="1"/>
  <c r="N115" i="8"/>
  <c r="P115" i="8" s="1"/>
  <c r="N106" i="8"/>
  <c r="P106" i="8" s="1"/>
  <c r="AC6" i="8"/>
  <c r="N89" i="8"/>
  <c r="P89" i="8" s="1"/>
  <c r="N91" i="8"/>
  <c r="P91" i="8" s="1"/>
  <c r="N87" i="8"/>
  <c r="P87" i="8" s="1"/>
  <c r="N85" i="8"/>
  <c r="P85" i="8" s="1"/>
  <c r="N79" i="8"/>
  <c r="P79" i="8" s="1"/>
  <c r="N92" i="8"/>
  <c r="P92" i="8" s="1"/>
  <c r="N84" i="8"/>
  <c r="P84" i="8" s="1"/>
  <c r="N81" i="8"/>
  <c r="P81" i="8" s="1"/>
  <c r="N86" i="8"/>
  <c r="P86" i="8" s="1"/>
  <c r="N88" i="8"/>
  <c r="P88" i="8" s="1"/>
  <c r="N83" i="8"/>
  <c r="P83" i="8" s="1"/>
  <c r="N80" i="8"/>
  <c r="P80" i="8" s="1"/>
  <c r="N90" i="8"/>
  <c r="P90" i="8" s="1"/>
  <c r="N94" i="8"/>
  <c r="P94" i="8" s="1"/>
  <c r="N82" i="8"/>
  <c r="P82" i="8" s="1"/>
  <c r="N93" i="8"/>
  <c r="P93" i="8" s="1"/>
  <c r="N60" i="8"/>
  <c r="P60" i="8" s="1"/>
  <c r="N68" i="8"/>
  <c r="P68" i="8" s="1"/>
  <c r="N62" i="8"/>
  <c r="P62" i="8" s="1"/>
  <c r="N70" i="8"/>
  <c r="P70" i="8" s="1"/>
  <c r="N63" i="8"/>
  <c r="P63" i="8" s="1"/>
  <c r="N55" i="8"/>
  <c r="P55" i="8" s="1"/>
  <c r="N58" i="8"/>
  <c r="P58" i="8" s="1"/>
  <c r="N56" i="8"/>
  <c r="P56" i="8" s="1"/>
  <c r="N64" i="8"/>
  <c r="P64" i="8" s="1"/>
  <c r="N57" i="8"/>
  <c r="P57" i="8" s="1"/>
  <c r="N66" i="8"/>
  <c r="P66" i="8" s="1"/>
  <c r="N69" i="8"/>
  <c r="P69" i="8" s="1"/>
  <c r="N65" i="8"/>
  <c r="P65" i="8" s="1"/>
  <c r="N61" i="8"/>
  <c r="P61" i="8" s="1"/>
  <c r="N59" i="8"/>
  <c r="P59" i="8" s="1"/>
  <c r="N67" i="8"/>
  <c r="P67" i="8" s="1"/>
  <c r="AK114" i="12"/>
  <c r="T72" i="12"/>
  <c r="AP84" i="12"/>
  <c r="AP115" i="12"/>
  <c r="V72" i="12"/>
  <c r="V76" i="12"/>
  <c r="V80" i="12"/>
  <c r="V84" i="12"/>
  <c r="V5" i="12"/>
  <c r="V9" i="12"/>
  <c r="V13" i="12"/>
  <c r="V17" i="12"/>
  <c r="V28" i="12"/>
  <c r="V32" i="12"/>
  <c r="V36" i="12"/>
  <c r="V40" i="12"/>
  <c r="V92" i="12"/>
  <c r="V52" i="12"/>
  <c r="V56" i="12"/>
  <c r="V60" i="12"/>
  <c r="V64" i="12"/>
  <c r="V96" i="12"/>
  <c r="V100" i="12"/>
  <c r="V104" i="12"/>
  <c r="V115" i="12"/>
  <c r="V119" i="12"/>
  <c r="V123" i="12"/>
  <c r="V127" i="12"/>
  <c r="AM26" i="12"/>
  <c r="AM113" i="12"/>
  <c r="AM138" i="12"/>
  <c r="AM142" i="12"/>
  <c r="AM146" i="12"/>
  <c r="AM150" i="12"/>
  <c r="AM117" i="12"/>
  <c r="V74" i="12"/>
  <c r="V78" i="12"/>
  <c r="V82" i="12"/>
  <c r="V86" i="12"/>
  <c r="V7" i="12"/>
  <c r="V11" i="12"/>
  <c r="V15" i="12"/>
  <c r="V19" i="12"/>
  <c r="V30" i="12"/>
  <c r="V34" i="12"/>
  <c r="V38" i="12"/>
  <c r="V42" i="12"/>
  <c r="V50" i="12"/>
  <c r="V54" i="12"/>
  <c r="V58" i="12"/>
  <c r="V62" i="12"/>
  <c r="V94" i="12"/>
  <c r="V98" i="12"/>
  <c r="V102" i="12"/>
  <c r="V27" i="12"/>
  <c r="V75" i="12"/>
  <c r="V79" i="12"/>
  <c r="V83" i="12"/>
  <c r="V71" i="12"/>
  <c r="V8" i="12"/>
  <c r="V12" i="12"/>
  <c r="V16" i="12"/>
  <c r="V20" i="12"/>
  <c r="V31" i="12"/>
  <c r="V35" i="12"/>
  <c r="V39" i="12"/>
  <c r="V49" i="12"/>
  <c r="V51" i="12"/>
  <c r="V55" i="12"/>
  <c r="V59" i="12"/>
  <c r="V63" i="12"/>
  <c r="V95" i="12"/>
  <c r="V99" i="12"/>
  <c r="V103" i="12"/>
  <c r="V107" i="12"/>
  <c r="V118" i="12"/>
  <c r="V77" i="12"/>
  <c r="V6" i="12"/>
  <c r="V29" i="12"/>
  <c r="V114" i="12"/>
  <c r="V93" i="12"/>
  <c r="V106" i="12"/>
  <c r="V121" i="12"/>
  <c r="V126" i="12"/>
  <c r="AM48" i="12"/>
  <c r="AM136" i="12"/>
  <c r="AM141" i="12"/>
  <c r="AM147" i="12"/>
  <c r="AM115" i="12"/>
  <c r="AM120" i="12"/>
  <c r="AM124" i="12"/>
  <c r="AM128" i="12"/>
  <c r="AM95" i="12"/>
  <c r="AM99" i="12"/>
  <c r="AM103" i="12"/>
  <c r="AM71" i="12"/>
  <c r="AM75" i="12"/>
  <c r="AM79" i="12"/>
  <c r="AM83" i="12"/>
  <c r="AM50" i="12"/>
  <c r="AM54" i="12"/>
  <c r="AM58" i="12"/>
  <c r="AM62" i="12"/>
  <c r="AM29" i="12"/>
  <c r="AM33" i="12"/>
  <c r="AM37" i="12"/>
  <c r="AM41" i="12"/>
  <c r="AM9" i="12"/>
  <c r="AM13" i="12"/>
  <c r="AM17" i="12"/>
  <c r="V10" i="12"/>
  <c r="V97" i="12"/>
  <c r="V122" i="12"/>
  <c r="AM137" i="12"/>
  <c r="AM116" i="12"/>
  <c r="AM92" i="12"/>
  <c r="AM104" i="12"/>
  <c r="AM80" i="12"/>
  <c r="AM55" i="12"/>
  <c r="AM30" i="12"/>
  <c r="AM6" i="12"/>
  <c r="AM18" i="12"/>
  <c r="V85" i="12"/>
  <c r="V14" i="12"/>
  <c r="V37" i="12"/>
  <c r="V57" i="12"/>
  <c r="V101" i="12"/>
  <c r="V117" i="12"/>
  <c r="V124" i="12"/>
  <c r="V129" i="12"/>
  <c r="AM91" i="12"/>
  <c r="AM139" i="12"/>
  <c r="AM144" i="12"/>
  <c r="AM149" i="12"/>
  <c r="AM118" i="12"/>
  <c r="AM122" i="12"/>
  <c r="AM126" i="12"/>
  <c r="AM93" i="12"/>
  <c r="AM97" i="12"/>
  <c r="AM101" i="12"/>
  <c r="AM105" i="12"/>
  <c r="AM73" i="12"/>
  <c r="AM77" i="12"/>
  <c r="AM81" i="12"/>
  <c r="AM85" i="12"/>
  <c r="AM52" i="12"/>
  <c r="AM56" i="12"/>
  <c r="AM60" i="12"/>
  <c r="AM27" i="12"/>
  <c r="AM31" i="12"/>
  <c r="AM35" i="12"/>
  <c r="AM39" i="12"/>
  <c r="AM7" i="12"/>
  <c r="AM11" i="12"/>
  <c r="AM15" i="12"/>
  <c r="AM19" i="12"/>
  <c r="AM36" i="12"/>
  <c r="AM8" i="12"/>
  <c r="AM12" i="12"/>
  <c r="AM20" i="12"/>
  <c r="V81" i="12"/>
  <c r="V53" i="12"/>
  <c r="V128" i="12"/>
  <c r="AM143" i="12"/>
  <c r="AM121" i="12"/>
  <c r="AM96" i="12"/>
  <c r="AM72" i="12"/>
  <c r="AM84" i="12"/>
  <c r="AM59" i="12"/>
  <c r="AM34" i="12"/>
  <c r="AM10" i="12"/>
  <c r="V73" i="12"/>
  <c r="V18" i="12"/>
  <c r="V41" i="12"/>
  <c r="V61" i="12"/>
  <c r="V105" i="12"/>
  <c r="V120" i="12"/>
  <c r="V125" i="12"/>
  <c r="AM5" i="12"/>
  <c r="AM135" i="12"/>
  <c r="AM140" i="12"/>
  <c r="AM145" i="12"/>
  <c r="AM114" i="12"/>
  <c r="AM119" i="12"/>
  <c r="AM123" i="12"/>
  <c r="AM127" i="12"/>
  <c r="AM94" i="12"/>
  <c r="AM98" i="12"/>
  <c r="AM102" i="12"/>
  <c r="AM106" i="12"/>
  <c r="AM74" i="12"/>
  <c r="AM78" i="12"/>
  <c r="AM82" i="12"/>
  <c r="AM49" i="12"/>
  <c r="AM53" i="12"/>
  <c r="AM57" i="12"/>
  <c r="AM61" i="12"/>
  <c r="AM28" i="12"/>
  <c r="AM32" i="12"/>
  <c r="AM40" i="12"/>
  <c r="AM16" i="12"/>
  <c r="V33" i="12"/>
  <c r="V116" i="12"/>
  <c r="AM70" i="12"/>
  <c r="AM148" i="12"/>
  <c r="AM125" i="12"/>
  <c r="AM100" i="12"/>
  <c r="AM76" i="12"/>
  <c r="AM51" i="12"/>
  <c r="AM63" i="12"/>
  <c r="AM38" i="12"/>
  <c r="AM14" i="12"/>
  <c r="E85" i="12"/>
  <c r="E81" i="12"/>
  <c r="E77" i="12"/>
  <c r="E73" i="12"/>
  <c r="E82" i="12"/>
  <c r="E78" i="12"/>
  <c r="E74" i="12"/>
  <c r="E83" i="12"/>
  <c r="E49" i="12"/>
  <c r="E53" i="12"/>
  <c r="E57" i="12"/>
  <c r="E48" i="12"/>
  <c r="E84" i="12"/>
  <c r="E79" i="12"/>
  <c r="E76" i="12"/>
  <c r="E51" i="12"/>
  <c r="E55" i="12"/>
  <c r="E59" i="12"/>
  <c r="E80" i="12"/>
  <c r="E52" i="12"/>
  <c r="E60" i="12"/>
  <c r="E54" i="12"/>
  <c r="E75" i="12"/>
  <c r="E56" i="12"/>
  <c r="E50" i="12"/>
  <c r="E58" i="12"/>
  <c r="G82" i="12"/>
  <c r="G78" i="12"/>
  <c r="G74" i="12"/>
  <c r="G83" i="12"/>
  <c r="G79" i="12"/>
  <c r="G75" i="12"/>
  <c r="G84" i="12"/>
  <c r="G73" i="12"/>
  <c r="G85" i="12"/>
  <c r="G76" i="12"/>
  <c r="G80" i="12"/>
  <c r="G77" i="12"/>
  <c r="G81" i="12"/>
  <c r="G48" i="12"/>
  <c r="H83" i="12"/>
  <c r="H79" i="12"/>
  <c r="H75" i="12"/>
  <c r="H84" i="12"/>
  <c r="H80" i="12"/>
  <c r="H76" i="12"/>
  <c r="H85" i="12"/>
  <c r="H74" i="12"/>
  <c r="H48" i="12"/>
  <c r="H77" i="12"/>
  <c r="H81" i="12"/>
  <c r="H78" i="12"/>
  <c r="H82" i="12"/>
  <c r="H73" i="12"/>
  <c r="AP80" i="12"/>
  <c r="AP93" i="12"/>
  <c r="AP150" i="12"/>
  <c r="AP72" i="12"/>
  <c r="AP127" i="12"/>
  <c r="AP146" i="12"/>
  <c r="AP16" i="12"/>
  <c r="AP105" i="12"/>
  <c r="AP123" i="12"/>
  <c r="AP138" i="12"/>
  <c r="T50" i="12"/>
  <c r="C12" i="12"/>
  <c r="AO138" i="12"/>
  <c r="G56" i="12"/>
  <c r="G55" i="12"/>
  <c r="G49" i="12"/>
  <c r="G54" i="12"/>
  <c r="G53" i="12"/>
  <c r="G51" i="12"/>
  <c r="G60" i="12"/>
  <c r="G58" i="12"/>
  <c r="G52" i="12"/>
  <c r="G59" i="12"/>
  <c r="G57" i="12"/>
  <c r="G50" i="12"/>
  <c r="AK6" i="12"/>
  <c r="Y51" i="12"/>
  <c r="H54" i="12"/>
  <c r="H53" i="12"/>
  <c r="H52" i="12"/>
  <c r="H51" i="12"/>
  <c r="H60" i="12"/>
  <c r="H58" i="12"/>
  <c r="H56" i="12"/>
  <c r="H49" i="12"/>
  <c r="H59" i="12"/>
  <c r="H57" i="12"/>
  <c r="H50" i="12"/>
  <c r="H55" i="12"/>
  <c r="AK92" i="12"/>
  <c r="AP76" i="12"/>
  <c r="AP97" i="12"/>
  <c r="AP119" i="12"/>
  <c r="AP142" i="12"/>
  <c r="AO104" i="12"/>
  <c r="AO96" i="12"/>
  <c r="AO113" i="12"/>
  <c r="AO122" i="12"/>
  <c r="AO149" i="12"/>
  <c r="AO141" i="12"/>
  <c r="T28" i="12"/>
  <c r="AK71" i="12"/>
  <c r="Y13" i="12"/>
  <c r="AP70" i="12"/>
  <c r="AP83" i="12"/>
  <c r="AP79" i="12"/>
  <c r="AP75" i="12"/>
  <c r="AP71" i="12"/>
  <c r="AO103" i="12"/>
  <c r="AO99" i="12"/>
  <c r="AO95" i="12"/>
  <c r="AP91" i="12"/>
  <c r="AP104" i="12"/>
  <c r="AP100" i="12"/>
  <c r="AP96" i="12"/>
  <c r="AP92" i="12"/>
  <c r="AO125" i="12"/>
  <c r="AO121" i="12"/>
  <c r="AO117" i="12"/>
  <c r="AP113" i="12"/>
  <c r="AP126" i="12"/>
  <c r="AP122" i="12"/>
  <c r="AP118" i="12"/>
  <c r="AP114" i="12"/>
  <c r="AO135" i="12"/>
  <c r="AO148" i="12"/>
  <c r="AO144" i="12"/>
  <c r="AO140" i="12"/>
  <c r="AO136" i="12"/>
  <c r="AP149" i="12"/>
  <c r="AP145" i="12"/>
  <c r="AP141" i="12"/>
  <c r="AP137" i="12"/>
  <c r="AO91" i="12"/>
  <c r="AO92" i="12"/>
  <c r="AO114" i="12"/>
  <c r="G15" i="12"/>
  <c r="AQ61" i="12" s="1"/>
  <c r="Y36" i="12"/>
  <c r="AP82" i="12"/>
  <c r="AP78" i="12"/>
  <c r="AP74" i="12"/>
  <c r="AO106" i="12"/>
  <c r="AO102" i="12"/>
  <c r="AO98" i="12"/>
  <c r="AO94" i="12"/>
  <c r="AP103" i="12"/>
  <c r="AP99" i="12"/>
  <c r="AP95" i="12"/>
  <c r="AO128" i="12"/>
  <c r="AO124" i="12"/>
  <c r="AO120" i="12"/>
  <c r="AO116" i="12"/>
  <c r="AP125" i="12"/>
  <c r="AP121" i="12"/>
  <c r="AP117" i="12"/>
  <c r="X281" i="12"/>
  <c r="AO147" i="12"/>
  <c r="AO143" i="12"/>
  <c r="AO139" i="12"/>
  <c r="AP135" i="12"/>
  <c r="AP148" i="12"/>
  <c r="AP144" i="12"/>
  <c r="AP140" i="12"/>
  <c r="AP136" i="12"/>
  <c r="X34" i="12"/>
  <c r="AO100" i="12"/>
  <c r="AO126" i="12"/>
  <c r="AO118" i="12"/>
  <c r="AO145" i="12"/>
  <c r="AO137" i="12"/>
  <c r="T115" i="12"/>
  <c r="X11" i="12"/>
  <c r="Y59" i="12"/>
  <c r="AP85" i="12"/>
  <c r="AP81" i="12"/>
  <c r="AP77" i="12"/>
  <c r="AP73" i="12"/>
  <c r="AO105" i="12"/>
  <c r="AO101" i="12"/>
  <c r="AO97" i="12"/>
  <c r="AO93" i="12"/>
  <c r="AP106" i="12"/>
  <c r="AP102" i="12"/>
  <c r="AP98" i="12"/>
  <c r="AP94" i="12"/>
  <c r="AO127" i="12"/>
  <c r="AO123" i="12"/>
  <c r="AO119" i="12"/>
  <c r="AO115" i="12"/>
  <c r="AP128" i="12"/>
  <c r="AP124" i="12"/>
  <c r="AP120" i="12"/>
  <c r="AP116" i="12"/>
  <c r="AO150" i="12"/>
  <c r="AO146" i="12"/>
  <c r="AO142" i="12"/>
  <c r="Y281" i="12"/>
  <c r="AP147" i="12"/>
  <c r="AP143" i="12"/>
  <c r="AP139" i="12"/>
  <c r="Z14" i="12"/>
  <c r="AO71" i="12"/>
  <c r="AO75" i="12"/>
  <c r="AO79" i="12"/>
  <c r="AO83" i="12"/>
  <c r="AO70" i="12"/>
  <c r="AO51" i="12"/>
  <c r="AO55" i="12"/>
  <c r="AO59" i="12"/>
  <c r="AO63" i="12"/>
  <c r="AO29" i="12"/>
  <c r="AO33" i="12"/>
  <c r="AO37" i="12"/>
  <c r="AO41" i="12"/>
  <c r="AO8" i="12"/>
  <c r="AO12" i="12"/>
  <c r="AO16" i="12"/>
  <c r="AO20" i="12"/>
  <c r="AO72" i="12"/>
  <c r="AO76" i="12"/>
  <c r="AO80" i="12"/>
  <c r="AO84" i="12"/>
  <c r="AO52" i="12"/>
  <c r="AO56" i="12"/>
  <c r="AO60" i="12"/>
  <c r="AO30" i="12"/>
  <c r="AO34" i="12"/>
  <c r="AO38" i="12"/>
  <c r="AO9" i="12"/>
  <c r="AO13" i="12"/>
  <c r="AO17" i="12"/>
  <c r="X117" i="12"/>
  <c r="X121" i="12"/>
  <c r="AO73" i="12"/>
  <c r="AO77" i="12"/>
  <c r="AO81" i="12"/>
  <c r="AO85" i="12"/>
  <c r="AO49" i="12"/>
  <c r="AO53" i="12"/>
  <c r="AO57" i="12"/>
  <c r="AO61" i="12"/>
  <c r="AO48" i="12"/>
  <c r="AO27" i="12"/>
  <c r="AO31" i="12"/>
  <c r="AO35" i="12"/>
  <c r="AO39" i="12"/>
  <c r="AO26" i="12"/>
  <c r="AO6" i="12"/>
  <c r="AO10" i="12"/>
  <c r="AO14" i="12"/>
  <c r="AO18" i="12"/>
  <c r="AO5" i="12"/>
  <c r="X118" i="12"/>
  <c r="X122" i="12"/>
  <c r="AO74" i="12"/>
  <c r="AO62" i="12"/>
  <c r="AO40" i="12"/>
  <c r="AO19" i="12"/>
  <c r="X115" i="12"/>
  <c r="X123" i="12"/>
  <c r="X127" i="12"/>
  <c r="X114" i="12"/>
  <c r="X96" i="12"/>
  <c r="X100" i="12"/>
  <c r="X104" i="12"/>
  <c r="X72" i="12"/>
  <c r="X76" i="12"/>
  <c r="X80" i="12"/>
  <c r="X84" i="12"/>
  <c r="X71" i="12"/>
  <c r="AO78" i="12"/>
  <c r="AO50" i="12"/>
  <c r="AO28" i="12"/>
  <c r="AO7" i="12"/>
  <c r="X116" i="12"/>
  <c r="X124" i="12"/>
  <c r="X128" i="12"/>
  <c r="X93" i="12"/>
  <c r="X97" i="12"/>
  <c r="X101" i="12"/>
  <c r="X105" i="12"/>
  <c r="X73" i="12"/>
  <c r="X77" i="12"/>
  <c r="X81" i="12"/>
  <c r="X85" i="12"/>
  <c r="X92" i="12"/>
  <c r="X51" i="12"/>
  <c r="X55" i="12"/>
  <c r="X59" i="12"/>
  <c r="X63" i="12"/>
  <c r="AO82" i="12"/>
  <c r="AO54" i="12"/>
  <c r="AO32" i="12"/>
  <c r="AO11" i="12"/>
  <c r="X119" i="12"/>
  <c r="X125" i="12"/>
  <c r="X129" i="12"/>
  <c r="X94" i="12"/>
  <c r="X98" i="12"/>
  <c r="X102" i="12"/>
  <c r="X106" i="12"/>
  <c r="X74" i="12"/>
  <c r="X78" i="12"/>
  <c r="X82" i="12"/>
  <c r="X86" i="12"/>
  <c r="X52" i="12"/>
  <c r="X56" i="12"/>
  <c r="X60" i="12"/>
  <c r="X64" i="12"/>
  <c r="AO15" i="12"/>
  <c r="X95" i="12"/>
  <c r="X53" i="12"/>
  <c r="X61" i="12"/>
  <c r="X31" i="12"/>
  <c r="X35" i="12"/>
  <c r="X39" i="12"/>
  <c r="X8" i="12"/>
  <c r="X12" i="12"/>
  <c r="X16" i="12"/>
  <c r="X20" i="12"/>
  <c r="X120" i="12"/>
  <c r="X99" i="12"/>
  <c r="X75" i="12"/>
  <c r="X54" i="12"/>
  <c r="X62" i="12"/>
  <c r="X28" i="12"/>
  <c r="X32" i="12"/>
  <c r="X36" i="12"/>
  <c r="X40" i="12"/>
  <c r="X27" i="12"/>
  <c r="X9" i="12"/>
  <c r="X13" i="12"/>
  <c r="X17" i="12"/>
  <c r="AO58" i="12"/>
  <c r="X126" i="12"/>
  <c r="X103" i="12"/>
  <c r="X79" i="12"/>
  <c r="X57" i="12"/>
  <c r="X29" i="12"/>
  <c r="X33" i="12"/>
  <c r="X37" i="12"/>
  <c r="X41" i="12"/>
  <c r="X6" i="12"/>
  <c r="X10" i="12"/>
  <c r="X14" i="12"/>
  <c r="X18" i="12"/>
  <c r="X5" i="12"/>
  <c r="AK27" i="12"/>
  <c r="S51" i="12"/>
  <c r="S94" i="12"/>
  <c r="AJ50" i="12"/>
  <c r="AJ137" i="12"/>
  <c r="X7" i="12"/>
  <c r="X30" i="12"/>
  <c r="Y9" i="12"/>
  <c r="Y32" i="12"/>
  <c r="X49" i="12"/>
  <c r="X107" i="12"/>
  <c r="AO36" i="12"/>
  <c r="AP52" i="12"/>
  <c r="AP56" i="12"/>
  <c r="AP60" i="12"/>
  <c r="AP30" i="12"/>
  <c r="AP34" i="12"/>
  <c r="AP38" i="12"/>
  <c r="AP9" i="12"/>
  <c r="AP13" i="12"/>
  <c r="AP17" i="12"/>
  <c r="Y117" i="12"/>
  <c r="Y121" i="12"/>
  <c r="AP49" i="12"/>
  <c r="AP53" i="12"/>
  <c r="AP57" i="12"/>
  <c r="AP61" i="12"/>
  <c r="AP48" i="12"/>
  <c r="AP27" i="12"/>
  <c r="AP31" i="12"/>
  <c r="AP35" i="12"/>
  <c r="AP39" i="12"/>
  <c r="AP26" i="12"/>
  <c r="AP6" i="12"/>
  <c r="AP10" i="12"/>
  <c r="AP14" i="12"/>
  <c r="AP18" i="12"/>
  <c r="AP5" i="12"/>
  <c r="Y118" i="12"/>
  <c r="Y122" i="12"/>
  <c r="Y126" i="12"/>
  <c r="AP50" i="12"/>
  <c r="AP54" i="12"/>
  <c r="AP58" i="12"/>
  <c r="AP62" i="12"/>
  <c r="AP28" i="12"/>
  <c r="AP32" i="12"/>
  <c r="AP36" i="12"/>
  <c r="AP40" i="12"/>
  <c r="AP7" i="12"/>
  <c r="AP11" i="12"/>
  <c r="AP15" i="12"/>
  <c r="AP19" i="12"/>
  <c r="Y115" i="12"/>
  <c r="Y119" i="12"/>
  <c r="Y123" i="12"/>
  <c r="Y127" i="12"/>
  <c r="Y114" i="12"/>
  <c r="AP63" i="12"/>
  <c r="AP41" i="12"/>
  <c r="AP20" i="12"/>
  <c r="Y124" i="12"/>
  <c r="Y93" i="12"/>
  <c r="Y97" i="12"/>
  <c r="Y101" i="12"/>
  <c r="Y105" i="12"/>
  <c r="Y92" i="12"/>
  <c r="Y73" i="12"/>
  <c r="Y77" i="12"/>
  <c r="Y81" i="12"/>
  <c r="Y85" i="12"/>
  <c r="AP51" i="12"/>
  <c r="AP29" i="12"/>
  <c r="AP8" i="12"/>
  <c r="Y125" i="12"/>
  <c r="Y94" i="12"/>
  <c r="Y98" i="12"/>
  <c r="Y102" i="12"/>
  <c r="Y106" i="12"/>
  <c r="Y74" i="12"/>
  <c r="Y78" i="12"/>
  <c r="Y82" i="12"/>
  <c r="Y86" i="12"/>
  <c r="Y52" i="12"/>
  <c r="Y56" i="12"/>
  <c r="Y60" i="12"/>
  <c r="Y64" i="12"/>
  <c r="AP55" i="12"/>
  <c r="AP33" i="12"/>
  <c r="AP12" i="12"/>
  <c r="Y116" i="12"/>
  <c r="Y128" i="12"/>
  <c r="Y95" i="12"/>
  <c r="Y99" i="12"/>
  <c r="Y103" i="12"/>
  <c r="Y107" i="12"/>
  <c r="Y75" i="12"/>
  <c r="Y79" i="12"/>
  <c r="Y83" i="12"/>
  <c r="Y53" i="12"/>
  <c r="Y57" i="12"/>
  <c r="Y61" i="12"/>
  <c r="Y129" i="12"/>
  <c r="Y96" i="12"/>
  <c r="Y72" i="12"/>
  <c r="Y71" i="12"/>
  <c r="Y54" i="12"/>
  <c r="Y62" i="12"/>
  <c r="Y29" i="12"/>
  <c r="Y33" i="12"/>
  <c r="Y37" i="12"/>
  <c r="Y41" i="12"/>
  <c r="Y6" i="12"/>
  <c r="Y10" i="12"/>
  <c r="Y14" i="12"/>
  <c r="Y18" i="12"/>
  <c r="Y5" i="12"/>
  <c r="AP59" i="12"/>
  <c r="Y100" i="12"/>
  <c r="Y76" i="12"/>
  <c r="Y55" i="12"/>
  <c r="Y63" i="12"/>
  <c r="Y30" i="12"/>
  <c r="Y34" i="12"/>
  <c r="Y38" i="12"/>
  <c r="Y42" i="12"/>
  <c r="Y7" i="12"/>
  <c r="Y11" i="12"/>
  <c r="Y15" i="12"/>
  <c r="Y19" i="12"/>
  <c r="AP37" i="12"/>
  <c r="Y104" i="12"/>
  <c r="Y80" i="12"/>
  <c r="Y50" i="12"/>
  <c r="Y58" i="12"/>
  <c r="Y49" i="12"/>
  <c r="Y31" i="12"/>
  <c r="Y35" i="12"/>
  <c r="Y39" i="12"/>
  <c r="Y8" i="12"/>
  <c r="Y12" i="12"/>
  <c r="Y16" i="12"/>
  <c r="Y20" i="12"/>
  <c r="T93" i="12"/>
  <c r="AK49" i="12"/>
  <c r="AK136" i="12"/>
  <c r="S116" i="12"/>
  <c r="X19" i="12"/>
  <c r="X42" i="12"/>
  <c r="Y27" i="12"/>
  <c r="Y28" i="12"/>
  <c r="X58" i="12"/>
  <c r="X83" i="12"/>
  <c r="S73" i="12"/>
  <c r="AJ28" i="12"/>
  <c r="AJ115" i="12"/>
  <c r="AQ57" i="12"/>
  <c r="AQ6" i="12"/>
  <c r="AQ32" i="12"/>
  <c r="Z119" i="12"/>
  <c r="AQ8" i="12"/>
  <c r="Z125" i="12"/>
  <c r="Z99" i="12"/>
  <c r="Z61" i="12"/>
  <c r="Z50" i="12"/>
  <c r="Z55" i="12"/>
  <c r="Z101" i="12"/>
  <c r="Z8" i="12"/>
  <c r="S29" i="12"/>
  <c r="AJ9" i="12"/>
  <c r="AJ10" i="12" s="1"/>
  <c r="AJ11" i="12" s="1"/>
  <c r="AJ12" i="12" s="1"/>
  <c r="AJ105" i="12"/>
  <c r="X15" i="12"/>
  <c r="X38" i="12"/>
  <c r="Y17" i="12"/>
  <c r="Y40" i="12"/>
  <c r="X50" i="12"/>
  <c r="Y84" i="12"/>
  <c r="Y120" i="12"/>
  <c r="AJ72" i="12"/>
  <c r="S7" i="12"/>
  <c r="G40" i="12"/>
  <c r="G42" i="12" s="1"/>
  <c r="F13" i="9"/>
  <c r="Z25" i="9" s="1"/>
  <c r="F12" i="9"/>
  <c r="R25" i="9"/>
  <c r="R26" i="9" s="1"/>
  <c r="R27" i="9" s="1"/>
  <c r="R28" i="9" s="1"/>
  <c r="R29" i="9" s="1"/>
  <c r="R30" i="9" s="1"/>
  <c r="R31" i="9" s="1"/>
  <c r="R32" i="9" s="1"/>
  <c r="R33" i="9" s="1"/>
  <c r="R34" i="9" s="1"/>
  <c r="R35" i="9" s="1"/>
  <c r="R36" i="9" s="1"/>
  <c r="AQ17" i="12" l="1"/>
  <c r="Z33" i="12"/>
  <c r="AQ56" i="12"/>
  <c r="Z106" i="12"/>
  <c r="Z114" i="12"/>
  <c r="AQ10" i="12"/>
  <c r="Z18" i="12"/>
  <c r="Z9" i="12"/>
  <c r="AQ38" i="12"/>
  <c r="Z76" i="12"/>
  <c r="AQ9" i="12"/>
  <c r="AQ41" i="12"/>
  <c r="AQ54" i="12"/>
  <c r="Z59" i="12"/>
  <c r="Z42" i="12"/>
  <c r="Z11" i="12"/>
  <c r="Z49" i="12"/>
  <c r="Z72" i="12"/>
  <c r="Z83" i="12"/>
  <c r="Z86" i="12"/>
  <c r="Z128" i="12"/>
  <c r="AQ29" i="12"/>
  <c r="AQ11" i="12"/>
  <c r="AQ50" i="12"/>
  <c r="AQ35" i="12"/>
  <c r="Z51" i="12"/>
  <c r="Z81" i="12"/>
  <c r="Z30" i="12"/>
  <c r="Z37" i="12"/>
  <c r="Z62" i="12"/>
  <c r="Z96" i="12"/>
  <c r="Z103" i="12"/>
  <c r="Z82" i="12"/>
  <c r="Z116" i="12"/>
  <c r="AQ51" i="12"/>
  <c r="AQ7" i="12"/>
  <c r="Z118" i="12"/>
  <c r="I84" i="12"/>
  <c r="I80" i="12"/>
  <c r="I76" i="12"/>
  <c r="I85" i="12"/>
  <c r="I81" i="12"/>
  <c r="I77" i="12"/>
  <c r="I73" i="12"/>
  <c r="I75" i="12"/>
  <c r="I79" i="12"/>
  <c r="I78" i="12"/>
  <c r="I82" i="12"/>
  <c r="I83" i="12"/>
  <c r="I74" i="12"/>
  <c r="I48" i="12"/>
  <c r="Z39" i="12"/>
  <c r="Z20" i="12"/>
  <c r="Z64" i="12"/>
  <c r="Z7" i="12"/>
  <c r="Z73" i="12"/>
  <c r="Z71" i="12"/>
  <c r="Z117" i="12"/>
  <c r="Z79" i="12"/>
  <c r="AQ30" i="12"/>
  <c r="Z102" i="12"/>
  <c r="AQ20" i="12"/>
  <c r="AQ63" i="12"/>
  <c r="Z115" i="12"/>
  <c r="AQ28" i="12"/>
  <c r="AQ5" i="12"/>
  <c r="AQ31" i="12"/>
  <c r="I52" i="12"/>
  <c r="I51" i="12"/>
  <c r="I60" i="12"/>
  <c r="I59" i="12"/>
  <c r="I58" i="12"/>
  <c r="I57" i="12"/>
  <c r="I50" i="12"/>
  <c r="I56" i="12"/>
  <c r="I49" i="12"/>
  <c r="I54" i="12"/>
  <c r="I55" i="12"/>
  <c r="I53" i="12"/>
  <c r="Z92" i="12"/>
  <c r="Z28" i="12"/>
  <c r="Z17" i="12"/>
  <c r="Z35" i="12"/>
  <c r="Z105" i="12"/>
  <c r="Z16" i="12"/>
  <c r="Z38" i="12"/>
  <c r="Z56" i="12"/>
  <c r="Z19" i="12"/>
  <c r="Z5" i="12"/>
  <c r="Z29" i="12"/>
  <c r="Z97" i="12"/>
  <c r="Z58" i="12"/>
  <c r="Z84" i="12"/>
  <c r="Z104" i="12"/>
  <c r="AQ13" i="12"/>
  <c r="Z57" i="12"/>
  <c r="Z75" i="12"/>
  <c r="Z95" i="12"/>
  <c r="AQ52" i="12"/>
  <c r="Z78" i="12"/>
  <c r="Z98" i="12"/>
  <c r="Z124" i="12"/>
  <c r="AQ16" i="12"/>
  <c r="AQ37" i="12"/>
  <c r="AQ59" i="12"/>
  <c r="Z127" i="12"/>
  <c r="AQ19" i="12"/>
  <c r="AQ40" i="12"/>
  <c r="AQ62" i="12"/>
  <c r="Z126" i="12"/>
  <c r="AQ18" i="12"/>
  <c r="AQ26" i="12"/>
  <c r="AQ27" i="12"/>
  <c r="AQ53" i="12"/>
  <c r="Z32" i="12"/>
  <c r="Z93" i="12"/>
  <c r="Z36" i="12"/>
  <c r="Z85" i="12"/>
  <c r="G11" i="12"/>
  <c r="F77" i="12" s="1"/>
  <c r="Z27" i="12"/>
  <c r="Z13" i="12"/>
  <c r="Z31" i="12"/>
  <c r="Z121" i="12"/>
  <c r="Z12" i="12"/>
  <c r="Z34" i="12"/>
  <c r="Z77" i="12"/>
  <c r="Z15" i="12"/>
  <c r="Z41" i="12"/>
  <c r="Z63" i="12"/>
  <c r="AQ60" i="12"/>
  <c r="Z54" i="12"/>
  <c r="Z80" i="12"/>
  <c r="Z100" i="12"/>
  <c r="AQ34" i="12"/>
  <c r="Z53" i="12"/>
  <c r="Z107" i="12"/>
  <c r="Z129" i="12"/>
  <c r="Z52" i="12"/>
  <c r="Z74" i="12"/>
  <c r="Z94" i="12"/>
  <c r="Z120" i="12"/>
  <c r="AQ12" i="12"/>
  <c r="AQ33" i="12"/>
  <c r="AQ55" i="12"/>
  <c r="Z123" i="12"/>
  <c r="AQ15" i="12"/>
  <c r="AQ36" i="12"/>
  <c r="AQ58" i="12"/>
  <c r="Z122" i="12"/>
  <c r="AQ14" i="12"/>
  <c r="AQ39" i="12"/>
  <c r="AQ48" i="12"/>
  <c r="AQ49" i="12"/>
  <c r="Z6" i="12"/>
  <c r="Z10" i="12"/>
  <c r="Z40" i="12"/>
  <c r="AK28" i="12"/>
  <c r="Z60" i="12"/>
  <c r="AQ136" i="12"/>
  <c r="AQ140" i="12"/>
  <c r="AQ144" i="12"/>
  <c r="AQ148" i="12"/>
  <c r="AQ135" i="12"/>
  <c r="AQ117" i="12"/>
  <c r="AQ121" i="12"/>
  <c r="AQ125" i="12"/>
  <c r="AQ95" i="12"/>
  <c r="AQ99" i="12"/>
  <c r="AQ103" i="12"/>
  <c r="AQ74" i="12"/>
  <c r="AQ78" i="12"/>
  <c r="AQ82" i="12"/>
  <c r="Z281" i="12"/>
  <c r="AQ124" i="12"/>
  <c r="AQ98" i="12"/>
  <c r="AQ106" i="12"/>
  <c r="AQ73" i="12"/>
  <c r="AQ77" i="12"/>
  <c r="AQ137" i="12"/>
  <c r="AQ141" i="12"/>
  <c r="AQ145" i="12"/>
  <c r="AQ149" i="12"/>
  <c r="AQ114" i="12"/>
  <c r="AQ118" i="12"/>
  <c r="AQ122" i="12"/>
  <c r="AQ126" i="12"/>
  <c r="AQ113" i="12"/>
  <c r="AQ92" i="12"/>
  <c r="AQ96" i="12"/>
  <c r="AQ100" i="12"/>
  <c r="AQ104" i="12"/>
  <c r="AQ91" i="12"/>
  <c r="AQ71" i="12"/>
  <c r="AQ75" i="12"/>
  <c r="AQ79" i="12"/>
  <c r="AQ83" i="12"/>
  <c r="AQ70" i="12"/>
  <c r="AQ94" i="12"/>
  <c r="AQ81" i="12"/>
  <c r="AQ138" i="12"/>
  <c r="AQ142" i="12"/>
  <c r="AQ146" i="12"/>
  <c r="AQ150" i="12"/>
  <c r="AQ115" i="12"/>
  <c r="AQ119" i="12"/>
  <c r="AQ123" i="12"/>
  <c r="AQ127" i="12"/>
  <c r="AQ93" i="12"/>
  <c r="AQ97" i="12"/>
  <c r="AQ101" i="12"/>
  <c r="AQ105" i="12"/>
  <c r="AQ72" i="12"/>
  <c r="AQ76" i="12"/>
  <c r="AQ80" i="12"/>
  <c r="AQ84" i="12"/>
  <c r="AQ139" i="12"/>
  <c r="AQ143" i="12"/>
  <c r="AQ147" i="12"/>
  <c r="AQ116" i="12"/>
  <c r="AQ120" i="12"/>
  <c r="AQ128" i="12"/>
  <c r="AQ102" i="12"/>
  <c r="AQ85" i="12"/>
  <c r="T29" i="12"/>
  <c r="AJ73" i="12"/>
  <c r="AJ106" i="12"/>
  <c r="S30" i="12"/>
  <c r="AJ116" i="12"/>
  <c r="S74" i="12"/>
  <c r="AK137" i="12"/>
  <c r="T94" i="12"/>
  <c r="AJ138" i="12"/>
  <c r="S95" i="12"/>
  <c r="T73" i="12"/>
  <c r="AK72" i="12"/>
  <c r="AK7" i="12"/>
  <c r="AK50" i="12"/>
  <c r="T7" i="12"/>
  <c r="T51" i="12"/>
  <c r="S117" i="12"/>
  <c r="AJ13" i="12"/>
  <c r="T116" i="12"/>
  <c r="AJ29" i="12"/>
  <c r="AK93" i="12"/>
  <c r="AJ51" i="12"/>
  <c r="S52" i="12"/>
  <c r="AK115" i="12"/>
  <c r="S8" i="12"/>
  <c r="Y25" i="9"/>
  <c r="Y29" i="9"/>
  <c r="Y33" i="9"/>
  <c r="Y24" i="9"/>
  <c r="Y26" i="9"/>
  <c r="Y30" i="9"/>
  <c r="Y34" i="9"/>
  <c r="Y32" i="9"/>
  <c r="D46" i="9"/>
  <c r="Y28" i="9"/>
  <c r="Y36" i="9"/>
  <c r="Y27" i="9"/>
  <c r="Y31" i="9"/>
  <c r="Y35" i="9"/>
  <c r="S24" i="9"/>
  <c r="S25" i="9"/>
  <c r="S26" i="9"/>
  <c r="S27" i="9"/>
  <c r="S28" i="9"/>
  <c r="S29" i="9"/>
  <c r="S30" i="9"/>
  <c r="S31" i="9"/>
  <c r="S32" i="9"/>
  <c r="S33" i="9"/>
  <c r="S34" i="9"/>
  <c r="S35" i="9"/>
  <c r="S36" i="9"/>
  <c r="B9" i="9"/>
  <c r="B7" i="9"/>
  <c r="B4" i="9"/>
  <c r="F85" i="12" l="1"/>
  <c r="F49" i="12"/>
  <c r="F75" i="12"/>
  <c r="K75" i="12" s="1"/>
  <c r="AN50" i="12"/>
  <c r="AS50" i="12" s="1"/>
  <c r="AN5" i="12"/>
  <c r="AN7" i="12"/>
  <c r="AS7" i="12" s="1"/>
  <c r="F52" i="12"/>
  <c r="K52" i="12" s="1"/>
  <c r="F76" i="12"/>
  <c r="K76" i="12" s="1"/>
  <c r="K77" i="12"/>
  <c r="F84" i="12"/>
  <c r="W73" i="12"/>
  <c r="AB73" i="12" s="1"/>
  <c r="W28" i="12"/>
  <c r="AB28" i="12" s="1"/>
  <c r="F53" i="12"/>
  <c r="K53" i="12" s="1"/>
  <c r="F54" i="12"/>
  <c r="F73" i="12"/>
  <c r="F80" i="12"/>
  <c r="F58" i="12"/>
  <c r="K84" i="12"/>
  <c r="F51" i="12"/>
  <c r="F55" i="12"/>
  <c r="F59" i="12"/>
  <c r="F57" i="12"/>
  <c r="F82" i="12"/>
  <c r="K82" i="12" s="1"/>
  <c r="G14" i="12"/>
  <c r="J57" i="12" s="1"/>
  <c r="AN26" i="12"/>
  <c r="AS26" i="12" s="1"/>
  <c r="F74" i="12"/>
  <c r="F56" i="12"/>
  <c r="F48" i="12"/>
  <c r="AN91" i="12"/>
  <c r="AS91" i="12" s="1"/>
  <c r="AN72" i="12"/>
  <c r="AS72" i="12" s="1"/>
  <c r="AN93" i="12"/>
  <c r="AS93" i="12" s="1"/>
  <c r="AN92" i="12"/>
  <c r="AS92" i="12" s="1"/>
  <c r="AN99" i="12"/>
  <c r="AS99" i="12" s="1"/>
  <c r="F79" i="12"/>
  <c r="F50" i="12"/>
  <c r="K50" i="12" s="1"/>
  <c r="F83" i="12"/>
  <c r="F78" i="12"/>
  <c r="F81" i="12"/>
  <c r="F60" i="12"/>
  <c r="K60" i="12" s="1"/>
  <c r="K83" i="12"/>
  <c r="K85" i="12"/>
  <c r="AN48" i="12"/>
  <c r="AS48" i="12" s="1"/>
  <c r="W94" i="12"/>
  <c r="AB94" i="12" s="1"/>
  <c r="AN6" i="12"/>
  <c r="AS6" i="12" s="1"/>
  <c r="AN105" i="12"/>
  <c r="AS105" i="12" s="1"/>
  <c r="AN104" i="12"/>
  <c r="AS104" i="12" s="1"/>
  <c r="AN114" i="12"/>
  <c r="AS114" i="12" s="1"/>
  <c r="AN137" i="12"/>
  <c r="AS137" i="12" s="1"/>
  <c r="AN95" i="12"/>
  <c r="AS95" i="12" s="1"/>
  <c r="AN136" i="12"/>
  <c r="AS136" i="12" s="1"/>
  <c r="W27" i="12"/>
  <c r="AB27" i="12" s="1"/>
  <c r="W5" i="12"/>
  <c r="W7" i="12"/>
  <c r="AB7" i="12" s="1"/>
  <c r="G19" i="12"/>
  <c r="G24" i="12" s="1"/>
  <c r="AN28" i="12"/>
  <c r="AS28" i="12" s="1"/>
  <c r="W116" i="12"/>
  <c r="AB116" i="12" s="1"/>
  <c r="W6" i="12"/>
  <c r="AB6" i="12" s="1"/>
  <c r="AN98" i="12"/>
  <c r="AS98" i="12" s="1"/>
  <c r="J53" i="12"/>
  <c r="W51" i="12"/>
  <c r="AB51" i="12" s="1"/>
  <c r="W92" i="12"/>
  <c r="AB92" i="12" s="1"/>
  <c r="W50" i="12"/>
  <c r="AB50" i="12" s="1"/>
  <c r="W93" i="12"/>
  <c r="AB93" i="12" s="1"/>
  <c r="W72" i="12"/>
  <c r="AB72" i="12" s="1"/>
  <c r="AN9" i="12"/>
  <c r="AS9" i="12" s="1"/>
  <c r="AN70" i="12"/>
  <c r="AS70" i="12" s="1"/>
  <c r="AN102" i="12"/>
  <c r="AS102" i="12" s="1"/>
  <c r="AN100" i="12"/>
  <c r="AS100" i="12" s="1"/>
  <c r="C49" i="12"/>
  <c r="W26" i="9"/>
  <c r="W30" i="9"/>
  <c r="W34" i="9"/>
  <c r="W27" i="9"/>
  <c r="W31" i="9"/>
  <c r="W35" i="9"/>
  <c r="W24" i="9"/>
  <c r="W28" i="9"/>
  <c r="W32" i="9"/>
  <c r="W36" i="9"/>
  <c r="W25" i="9"/>
  <c r="W29" i="9"/>
  <c r="W33" i="9"/>
  <c r="W115" i="12"/>
  <c r="AB115" i="12" s="1"/>
  <c r="AN12" i="12"/>
  <c r="AS12" i="12" s="1"/>
  <c r="W114" i="12"/>
  <c r="AB114" i="12" s="1"/>
  <c r="AN49" i="12"/>
  <c r="AS49" i="12" s="1"/>
  <c r="AN27" i="12"/>
  <c r="AS27" i="12" s="1"/>
  <c r="AN8" i="12"/>
  <c r="AS8" i="12" s="1"/>
  <c r="W49" i="12"/>
  <c r="AB49" i="12" s="1"/>
  <c r="W71" i="12"/>
  <c r="AB71" i="12" s="1"/>
  <c r="AN73" i="12"/>
  <c r="AS73" i="12" s="1"/>
  <c r="AN10" i="12"/>
  <c r="AS10" i="12" s="1"/>
  <c r="W29" i="12"/>
  <c r="AB29" i="12" s="1"/>
  <c r="AN97" i="12"/>
  <c r="AS97" i="12" s="1"/>
  <c r="AN71" i="12"/>
  <c r="AS71" i="12" s="1"/>
  <c r="AN103" i="12"/>
  <c r="AS103" i="12" s="1"/>
  <c r="AN113" i="12"/>
  <c r="AS113" i="12" s="1"/>
  <c r="C50" i="12"/>
  <c r="AN138" i="12"/>
  <c r="AN116" i="12"/>
  <c r="AS5" i="12"/>
  <c r="AN115" i="12"/>
  <c r="AS115" i="12" s="1"/>
  <c r="AK116" i="12"/>
  <c r="T117" i="12"/>
  <c r="AN94" i="12"/>
  <c r="AN101" i="12"/>
  <c r="T30" i="12"/>
  <c r="W30" i="12" s="1"/>
  <c r="T8" i="12"/>
  <c r="W8" i="12" s="1"/>
  <c r="AK94" i="12"/>
  <c r="T74" i="12"/>
  <c r="AN96" i="12"/>
  <c r="AN135" i="12"/>
  <c r="AN106" i="12"/>
  <c r="AJ30" i="12"/>
  <c r="AN29" i="12"/>
  <c r="T52" i="12"/>
  <c r="AK51" i="12"/>
  <c r="AJ139" i="12"/>
  <c r="AN139" i="12" s="1"/>
  <c r="S75" i="12"/>
  <c r="W74" i="12"/>
  <c r="AJ74" i="12"/>
  <c r="AN74" i="12" s="1"/>
  <c r="AK29" i="12"/>
  <c r="AN11" i="12"/>
  <c r="AJ117" i="12"/>
  <c r="AN117" i="12" s="1"/>
  <c r="AJ52" i="12"/>
  <c r="AN51" i="12"/>
  <c r="AJ14" i="12"/>
  <c r="S118" i="12"/>
  <c r="W117" i="12"/>
  <c r="AK73" i="12"/>
  <c r="S96" i="12"/>
  <c r="W95" i="12"/>
  <c r="T95" i="12"/>
  <c r="S31" i="12"/>
  <c r="S53" i="12"/>
  <c r="W52" i="12"/>
  <c r="AR118" i="12"/>
  <c r="AR77" i="12"/>
  <c r="AR31" i="12"/>
  <c r="AA121" i="12"/>
  <c r="AR138" i="12"/>
  <c r="AR92" i="12"/>
  <c r="AT92" i="12" s="1"/>
  <c r="AR55" i="12"/>
  <c r="AR10" i="12"/>
  <c r="AA99" i="12"/>
  <c r="AA10" i="12"/>
  <c r="AR120" i="12"/>
  <c r="AR75" i="12"/>
  <c r="AR33" i="12"/>
  <c r="AA119" i="12"/>
  <c r="AA78" i="12"/>
  <c r="AR140" i="12"/>
  <c r="AA93" i="12"/>
  <c r="AA50" i="12"/>
  <c r="AA118" i="12"/>
  <c r="AA51" i="12"/>
  <c r="AR57" i="12"/>
  <c r="AA15" i="12"/>
  <c r="AA33" i="12"/>
  <c r="AR53" i="12"/>
  <c r="AA12" i="12"/>
  <c r="AR144" i="12"/>
  <c r="AK8" i="12"/>
  <c r="AK138" i="12"/>
  <c r="S9" i="12"/>
  <c r="AA72" i="12" l="1"/>
  <c r="AA54" i="12"/>
  <c r="AA114" i="12"/>
  <c r="AA57" i="12"/>
  <c r="AA82" i="12"/>
  <c r="AA123" i="12"/>
  <c r="AR37" i="12"/>
  <c r="AR79" i="12"/>
  <c r="AR124" i="12"/>
  <c r="AA14" i="12"/>
  <c r="AA103" i="12"/>
  <c r="AR14" i="12"/>
  <c r="AR59" i="12"/>
  <c r="AR96" i="12"/>
  <c r="AT96" i="12" s="1"/>
  <c r="AR142" i="12"/>
  <c r="AA125" i="12"/>
  <c r="AR35" i="12"/>
  <c r="AR81" i="12"/>
  <c r="AR122" i="12"/>
  <c r="C52" i="12"/>
  <c r="C58" i="12"/>
  <c r="J52" i="12"/>
  <c r="L52" i="12" s="1"/>
  <c r="M52" i="12" s="1"/>
  <c r="J59" i="12"/>
  <c r="AA28" i="12"/>
  <c r="AC28" i="12" s="1"/>
  <c r="U28" i="12" s="1"/>
  <c r="AR8" i="12"/>
  <c r="C30" i="12"/>
  <c r="G27" i="12" s="1"/>
  <c r="G35" i="12" s="1"/>
  <c r="AA32" i="12"/>
  <c r="AA77" i="12"/>
  <c r="AR127" i="12"/>
  <c r="AA41" i="12"/>
  <c r="AA80" i="12"/>
  <c r="AR94" i="12"/>
  <c r="AV94" i="12" s="1"/>
  <c r="AA60" i="12"/>
  <c r="AR28" i="12"/>
  <c r="AT28" i="12" s="1"/>
  <c r="AL28" i="12" s="1"/>
  <c r="AA59" i="12"/>
  <c r="AR20" i="12"/>
  <c r="AA61" i="12"/>
  <c r="AA86" i="12"/>
  <c r="AA127" i="12"/>
  <c r="AR41" i="12"/>
  <c r="AR83" i="12"/>
  <c r="AR128" i="12"/>
  <c r="AA18" i="12"/>
  <c r="AA107" i="12"/>
  <c r="AR18" i="12"/>
  <c r="AR63" i="12"/>
  <c r="AR100" i="12"/>
  <c r="AR146" i="12"/>
  <c r="AA129" i="12"/>
  <c r="AR39" i="12"/>
  <c r="AR85" i="12"/>
  <c r="AR126" i="12"/>
  <c r="C60" i="12"/>
  <c r="C53" i="12"/>
  <c r="J54" i="12"/>
  <c r="J60" i="12"/>
  <c r="L60" i="12" s="1"/>
  <c r="M60" i="12" s="1"/>
  <c r="K37" i="12"/>
  <c r="AA36" i="12"/>
  <c r="AA85" i="12"/>
  <c r="AR148" i="12"/>
  <c r="AA49" i="12"/>
  <c r="AA92" i="12"/>
  <c r="AE92" i="12" s="1"/>
  <c r="AR115" i="12"/>
  <c r="AA11" i="12"/>
  <c r="AR49" i="12"/>
  <c r="AA64" i="12"/>
  <c r="AR40" i="12"/>
  <c r="AA5" i="12"/>
  <c r="AE5" i="12" s="1"/>
  <c r="AA94" i="12"/>
  <c r="AR5" i="12"/>
  <c r="AV5" i="12" s="1"/>
  <c r="AR50" i="12"/>
  <c r="AR91" i="12"/>
  <c r="AV91" i="12" s="1"/>
  <c r="AR137" i="12"/>
  <c r="AA71" i="12"/>
  <c r="AE71" i="12" s="1"/>
  <c r="AA116" i="12"/>
  <c r="AR26" i="12"/>
  <c r="AT26" i="12" s="1"/>
  <c r="AL26" i="12" s="1"/>
  <c r="AR70" i="12"/>
  <c r="AR104" i="12"/>
  <c r="AV104" i="12" s="1"/>
  <c r="AR150" i="12"/>
  <c r="AR7" i="12"/>
  <c r="AV7" i="12" s="1"/>
  <c r="AR48" i="12"/>
  <c r="AR93" i="12"/>
  <c r="AV93" i="12" s="1"/>
  <c r="AR135" i="12"/>
  <c r="J49" i="12"/>
  <c r="L49" i="12" s="1"/>
  <c r="C57" i="12"/>
  <c r="AA105" i="12"/>
  <c r="AA8" i="12"/>
  <c r="AA9" i="12"/>
  <c r="AA98" i="12"/>
  <c r="AR54" i="12"/>
  <c r="AR95" i="12"/>
  <c r="AR141" i="12"/>
  <c r="AA75" i="12"/>
  <c r="AA120" i="12"/>
  <c r="AR30" i="12"/>
  <c r="AR72" i="12"/>
  <c r="AV72" i="12" s="1"/>
  <c r="AR113" i="12"/>
  <c r="AA96" i="12"/>
  <c r="AR11" i="12"/>
  <c r="AR52" i="12"/>
  <c r="AR97" i="12"/>
  <c r="AR139" i="12"/>
  <c r="AV139" i="12" s="1"/>
  <c r="C51" i="12"/>
  <c r="J55" i="12"/>
  <c r="O55" i="12" s="1"/>
  <c r="C55" i="12"/>
  <c r="AA37" i="12"/>
  <c r="AA55" i="12"/>
  <c r="AA101" i="12"/>
  <c r="AR136" i="12"/>
  <c r="AA19" i="12"/>
  <c r="AR61" i="12"/>
  <c r="AR9" i="12"/>
  <c r="AV9" i="12" s="1"/>
  <c r="AA52" i="12"/>
  <c r="AA122" i="12"/>
  <c r="AR102" i="12"/>
  <c r="AA58" i="12"/>
  <c r="AA126" i="12"/>
  <c r="AA31" i="12"/>
  <c r="AA76" i="12"/>
  <c r="AA34" i="12"/>
  <c r="AA16" i="12"/>
  <c r="AR78" i="12"/>
  <c r="AA13" i="12"/>
  <c r="AA102" i="12"/>
  <c r="AR13" i="12"/>
  <c r="AR58" i="12"/>
  <c r="AR99" i="12"/>
  <c r="AR145" i="12"/>
  <c r="AA79" i="12"/>
  <c r="AA124" i="12"/>
  <c r="AR34" i="12"/>
  <c r="AR76" i="12"/>
  <c r="AR117" i="12"/>
  <c r="AA100" i="12"/>
  <c r="AR15" i="12"/>
  <c r="AR56" i="12"/>
  <c r="AR101" i="12"/>
  <c r="AR143" i="12"/>
  <c r="C56" i="12"/>
  <c r="J56" i="12"/>
  <c r="O56" i="12" s="1"/>
  <c r="C59" i="12"/>
  <c r="J58" i="12"/>
  <c r="O58" i="12" s="1"/>
  <c r="AA20" i="12"/>
  <c r="D30" i="12"/>
  <c r="G29" i="12" s="1"/>
  <c r="G37" i="12" s="1"/>
  <c r="AR82" i="12"/>
  <c r="AA30" i="12"/>
  <c r="AC30" i="12" s="1"/>
  <c r="AA56" i="12"/>
  <c r="AA63" i="12"/>
  <c r="AA35" i="12"/>
  <c r="AA84" i="12"/>
  <c r="AA38" i="12"/>
  <c r="AA73" i="12"/>
  <c r="AE73" i="12" s="1"/>
  <c r="AR98" i="12"/>
  <c r="AA17" i="12"/>
  <c r="AA106" i="12"/>
  <c r="AR17" i="12"/>
  <c r="AR62" i="12"/>
  <c r="AR103" i="12"/>
  <c r="AV103" i="12" s="1"/>
  <c r="AR149" i="12"/>
  <c r="AA83" i="12"/>
  <c r="AA128" i="12"/>
  <c r="AR38" i="12"/>
  <c r="AR80" i="12"/>
  <c r="AR121" i="12"/>
  <c r="AA104" i="12"/>
  <c r="AR19" i="12"/>
  <c r="AR60" i="12"/>
  <c r="AR105" i="12"/>
  <c r="AT105" i="12" s="1"/>
  <c r="AR147" i="12"/>
  <c r="C54" i="12"/>
  <c r="J50" i="12"/>
  <c r="O50" i="12" s="1"/>
  <c r="AR106" i="12"/>
  <c r="AT106" i="12" s="1"/>
  <c r="AR74" i="12"/>
  <c r="AA40" i="12"/>
  <c r="AA53" i="12"/>
  <c r="AR12" i="12"/>
  <c r="AV12" i="12" s="1"/>
  <c r="AR123" i="12"/>
  <c r="AR16" i="12"/>
  <c r="AA27" i="12"/>
  <c r="AA62" i="12"/>
  <c r="AR32" i="12"/>
  <c r="AA29" i="12"/>
  <c r="AC29" i="12" s="1"/>
  <c r="U29" i="12" s="1"/>
  <c r="AA7" i="12"/>
  <c r="AR36" i="12"/>
  <c r="AA39" i="12"/>
  <c r="AA97" i="12"/>
  <c r="AA42" i="12"/>
  <c r="AA81" i="12"/>
  <c r="AR119" i="12"/>
  <c r="AA74" i="12"/>
  <c r="AE74" i="12" s="1"/>
  <c r="AA115" i="12"/>
  <c r="AR29" i="12"/>
  <c r="AV29" i="12" s="1"/>
  <c r="AR71" i="12"/>
  <c r="AR116" i="12"/>
  <c r="AT116" i="12" s="1"/>
  <c r="AA6" i="12"/>
  <c r="AA95" i="12"/>
  <c r="AC95" i="12" s="1"/>
  <c r="AR6" i="12"/>
  <c r="AR51" i="12"/>
  <c r="AV51" i="12" s="1"/>
  <c r="AR84" i="12"/>
  <c r="AR125" i="12"/>
  <c r="AA117" i="12"/>
  <c r="AR27" i="12"/>
  <c r="AT27" i="12" s="1"/>
  <c r="AL27" i="12" s="1"/>
  <c r="AR73" i="12"/>
  <c r="AR114" i="12"/>
  <c r="AT114" i="12" s="1"/>
  <c r="AL114" i="12" s="1"/>
  <c r="AA281" i="12"/>
  <c r="J51" i="12"/>
  <c r="O51" i="12" s="1"/>
  <c r="AT91" i="12"/>
  <c r="AL91" i="12" s="1"/>
  <c r="AB5" i="12"/>
  <c r="L50" i="12"/>
  <c r="M50" i="12" s="1"/>
  <c r="AL92" i="12"/>
  <c r="AT97" i="12"/>
  <c r="AC73" i="12"/>
  <c r="U73" i="12" s="1"/>
  <c r="K48" i="12"/>
  <c r="AC94" i="12"/>
  <c r="U94" i="12" s="1"/>
  <c r="AT50" i="12"/>
  <c r="AL50" i="12" s="1"/>
  <c r="AC93" i="12"/>
  <c r="U93" i="12" s="1"/>
  <c r="O59" i="12"/>
  <c r="AT136" i="12"/>
  <c r="AL136" i="12" s="1"/>
  <c r="K79" i="12"/>
  <c r="AT95" i="12"/>
  <c r="K59" i="12"/>
  <c r="K74" i="12"/>
  <c r="O54" i="12"/>
  <c r="K81" i="12"/>
  <c r="AT99" i="12"/>
  <c r="K78" i="12"/>
  <c r="J85" i="12"/>
  <c r="L85" i="12" s="1"/>
  <c r="J81" i="12"/>
  <c r="L81" i="12" s="1"/>
  <c r="J77" i="12"/>
  <c r="J73" i="12"/>
  <c r="L73" i="12" s="1"/>
  <c r="J82" i="12"/>
  <c r="L82" i="12" s="1"/>
  <c r="J78" i="12"/>
  <c r="L78" i="12" s="1"/>
  <c r="J74" i="12"/>
  <c r="L74" i="12" s="1"/>
  <c r="J79" i="12"/>
  <c r="L79" i="12" s="1"/>
  <c r="J76" i="12"/>
  <c r="L76" i="12" s="1"/>
  <c r="J80" i="12"/>
  <c r="L80" i="12" s="1"/>
  <c r="J83" i="12"/>
  <c r="L83" i="12" s="1"/>
  <c r="J48" i="12"/>
  <c r="L48" i="12" s="1"/>
  <c r="J84" i="12"/>
  <c r="L84" i="12" s="1"/>
  <c r="J75" i="12"/>
  <c r="L75" i="12" s="1"/>
  <c r="C75" i="12"/>
  <c r="C82" i="12"/>
  <c r="C83" i="12"/>
  <c r="C78" i="12"/>
  <c r="C84" i="12"/>
  <c r="C79" i="12"/>
  <c r="C76" i="12"/>
  <c r="C80" i="12"/>
  <c r="C81" i="12"/>
  <c r="C85" i="12"/>
  <c r="C77" i="12"/>
  <c r="C74" i="12"/>
  <c r="O57" i="12"/>
  <c r="O53" i="12"/>
  <c r="K80" i="12"/>
  <c r="K73" i="12"/>
  <c r="AT98" i="12"/>
  <c r="AT113" i="12"/>
  <c r="AL113" i="12" s="1"/>
  <c r="K51" i="12"/>
  <c r="K56" i="12"/>
  <c r="AC52" i="12"/>
  <c r="AT102" i="12"/>
  <c r="AV113" i="12"/>
  <c r="L59" i="12"/>
  <c r="M59" i="12" s="1"/>
  <c r="K57" i="12"/>
  <c r="AC27" i="12"/>
  <c r="U27" i="12" s="1"/>
  <c r="AC7" i="12"/>
  <c r="U7" i="12" s="1"/>
  <c r="AT49" i="12"/>
  <c r="AL49" i="12" s="1"/>
  <c r="AC5" i="12"/>
  <c r="U5" i="12" s="1"/>
  <c r="AT137" i="12"/>
  <c r="AL137" i="12" s="1"/>
  <c r="AC6" i="12"/>
  <c r="U6" i="12" s="1"/>
  <c r="AC116" i="12"/>
  <c r="U116" i="12" s="1"/>
  <c r="AT6" i="12"/>
  <c r="AL6" i="12" s="1"/>
  <c r="AT104" i="12"/>
  <c r="AT48" i="12"/>
  <c r="AL48" i="12" s="1"/>
  <c r="AT115" i="12"/>
  <c r="AL115" i="12" s="1"/>
  <c r="AT100" i="12"/>
  <c r="AT8" i="12"/>
  <c r="AL8" i="12" s="1"/>
  <c r="AT10" i="12"/>
  <c r="AT12" i="12"/>
  <c r="AC72" i="12"/>
  <c r="U72" i="12" s="1"/>
  <c r="AB8" i="12"/>
  <c r="AE8" i="12"/>
  <c r="AV95" i="12"/>
  <c r="AV97" i="12"/>
  <c r="AV10" i="12"/>
  <c r="K54" i="12"/>
  <c r="L54" i="12"/>
  <c r="M54" i="12" s="1"/>
  <c r="AT103" i="12"/>
  <c r="K55" i="12"/>
  <c r="K58" i="12"/>
  <c r="L57" i="12"/>
  <c r="M57" i="12" s="1"/>
  <c r="AE7" i="12"/>
  <c r="W9" i="12"/>
  <c r="AB9" i="12" s="1"/>
  <c r="AC51" i="12"/>
  <c r="U51" i="12" s="1"/>
  <c r="AC50" i="12"/>
  <c r="U50" i="12" s="1"/>
  <c r="AC8" i="12"/>
  <c r="AC115" i="12"/>
  <c r="U115" i="12" s="1"/>
  <c r="AT71" i="12"/>
  <c r="AL71" i="12" s="1"/>
  <c r="AT70" i="12"/>
  <c r="AL70" i="12" s="1"/>
  <c r="AC117" i="12"/>
  <c r="AV73" i="12"/>
  <c r="AE6" i="12"/>
  <c r="AV6" i="12"/>
  <c r="K49" i="12"/>
  <c r="L53" i="12"/>
  <c r="M53" i="12" s="1"/>
  <c r="AV117" i="12"/>
  <c r="AV74" i="12"/>
  <c r="AV137" i="12"/>
  <c r="AE93" i="12"/>
  <c r="AE115" i="12"/>
  <c r="AT138" i="12"/>
  <c r="AB52" i="12"/>
  <c r="AE52" i="12"/>
  <c r="AB117" i="12"/>
  <c r="AE117" i="12"/>
  <c r="AS51" i="12"/>
  <c r="AS11" i="12"/>
  <c r="AV11" i="12"/>
  <c r="AB74" i="12"/>
  <c r="AV28" i="12"/>
  <c r="AV70" i="12"/>
  <c r="AE72" i="12"/>
  <c r="AV49" i="12"/>
  <c r="AV136" i="12"/>
  <c r="AV105" i="12"/>
  <c r="AV99" i="12"/>
  <c r="AC49" i="12"/>
  <c r="U49" i="12" s="1"/>
  <c r="AE49" i="12"/>
  <c r="AS135" i="12"/>
  <c r="AV135" i="12"/>
  <c r="AS94" i="12"/>
  <c r="AS138" i="12"/>
  <c r="AV138" i="12"/>
  <c r="AS29" i="12"/>
  <c r="AS96" i="12"/>
  <c r="AE27" i="12"/>
  <c r="AE94" i="12"/>
  <c r="AE50" i="12"/>
  <c r="AV48" i="12"/>
  <c r="AV100" i="12"/>
  <c r="AE116" i="12"/>
  <c r="AC114" i="12"/>
  <c r="U114" i="12" s="1"/>
  <c r="AE114" i="12"/>
  <c r="AB95" i="12"/>
  <c r="AE95" i="12"/>
  <c r="AS106" i="12"/>
  <c r="AS101" i="12"/>
  <c r="AV101" i="12"/>
  <c r="AV115" i="12"/>
  <c r="AV50" i="12"/>
  <c r="AV8" i="12"/>
  <c r="AV92" i="12"/>
  <c r="AV102" i="12"/>
  <c r="AS116" i="12"/>
  <c r="AE51" i="12"/>
  <c r="AV98" i="12"/>
  <c r="AV71" i="12"/>
  <c r="AB30" i="12"/>
  <c r="AT11" i="12"/>
  <c r="AT135" i="12"/>
  <c r="AK74" i="12"/>
  <c r="AK95" i="12"/>
  <c r="AC74" i="12"/>
  <c r="T96" i="12"/>
  <c r="AK9" i="12"/>
  <c r="AT101" i="12"/>
  <c r="T31" i="12"/>
  <c r="W31" i="12" s="1"/>
  <c r="AJ140" i="12"/>
  <c r="AN140" i="12" s="1"/>
  <c r="AV140" i="12" s="1"/>
  <c r="S54" i="12"/>
  <c r="AJ53" i="12"/>
  <c r="AN52" i="12"/>
  <c r="AK30" i="12"/>
  <c r="AJ75" i="12"/>
  <c r="AN75" i="12" s="1"/>
  <c r="AV75" i="12" s="1"/>
  <c r="AT74" i="12"/>
  <c r="AS139" i="12"/>
  <c r="AT73" i="12"/>
  <c r="AL73" i="12" s="1"/>
  <c r="S97" i="12"/>
  <c r="W96" i="12"/>
  <c r="AN13" i="12"/>
  <c r="T9" i="12"/>
  <c r="AK52" i="12"/>
  <c r="AJ31" i="12"/>
  <c r="AN30" i="12"/>
  <c r="S119" i="12"/>
  <c r="W118" i="12"/>
  <c r="AK139" i="12"/>
  <c r="AT51" i="12"/>
  <c r="S32" i="12"/>
  <c r="AJ15" i="12"/>
  <c r="AN14" i="12"/>
  <c r="AT117" i="12"/>
  <c r="AJ118" i="12"/>
  <c r="AN118" i="12" s="1"/>
  <c r="T118" i="12"/>
  <c r="S76" i="12"/>
  <c r="T53" i="12"/>
  <c r="W53" i="12" s="1"/>
  <c r="T75" i="12"/>
  <c r="AK117" i="12"/>
  <c r="S10" i="12"/>
  <c r="L15" i="10"/>
  <c r="L16" i="10"/>
  <c r="L17" i="10"/>
  <c r="L18" i="10"/>
  <c r="L19" i="10"/>
  <c r="L20" i="10"/>
  <c r="L21" i="10"/>
  <c r="L22" i="10"/>
  <c r="L23" i="10"/>
  <c r="L24" i="10"/>
  <c r="L25" i="10"/>
  <c r="L26" i="10"/>
  <c r="L27" i="10"/>
  <c r="L28" i="10"/>
  <c r="L29" i="10"/>
  <c r="L30" i="10"/>
  <c r="L31" i="10"/>
  <c r="L32" i="10"/>
  <c r="L33" i="10"/>
  <c r="L34" i="10"/>
  <c r="L35" i="10"/>
  <c r="L36" i="10"/>
  <c r="L37" i="10"/>
  <c r="L38" i="10"/>
  <c r="L39" i="10"/>
  <c r="L40" i="10"/>
  <c r="L41" i="10"/>
  <c r="L42" i="10"/>
  <c r="L43" i="10"/>
  <c r="L44" i="10"/>
  <c r="L45" i="10"/>
  <c r="L46" i="10"/>
  <c r="L47" i="10"/>
  <c r="L48" i="10"/>
  <c r="L49" i="10"/>
  <c r="L50" i="10"/>
  <c r="L51" i="10"/>
  <c r="L52" i="10"/>
  <c r="L53" i="10"/>
  <c r="L54" i="10"/>
  <c r="L55" i="10"/>
  <c r="L56" i="10"/>
  <c r="L57" i="10"/>
  <c r="L58" i="10"/>
  <c r="L59" i="10"/>
  <c r="L60" i="10"/>
  <c r="L61" i="10"/>
  <c r="L62" i="10"/>
  <c r="L63" i="10"/>
  <c r="L64" i="10"/>
  <c r="L65" i="10"/>
  <c r="L66" i="10"/>
  <c r="L67" i="10"/>
  <c r="L68" i="10"/>
  <c r="L69" i="10"/>
  <c r="L70" i="10"/>
  <c r="L71" i="10"/>
  <c r="L72" i="10"/>
  <c r="L73" i="10"/>
  <c r="L74" i="10"/>
  <c r="L75" i="10"/>
  <c r="L76" i="10"/>
  <c r="L77" i="10"/>
  <c r="L78" i="10"/>
  <c r="L79" i="10"/>
  <c r="L80" i="10"/>
  <c r="L81" i="10"/>
  <c r="L14" i="10"/>
  <c r="C81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8" i="10"/>
  <c r="I59" i="10"/>
  <c r="I60" i="10"/>
  <c r="I61" i="10"/>
  <c r="I62" i="10"/>
  <c r="I63" i="10"/>
  <c r="I64" i="10"/>
  <c r="I65" i="10"/>
  <c r="I66" i="10"/>
  <c r="I67" i="10"/>
  <c r="I68" i="10"/>
  <c r="I69" i="10"/>
  <c r="I70" i="10"/>
  <c r="I71" i="10"/>
  <c r="I72" i="10"/>
  <c r="I73" i="10"/>
  <c r="I74" i="10"/>
  <c r="I75" i="10"/>
  <c r="I76" i="10"/>
  <c r="I77" i="10"/>
  <c r="I78" i="10"/>
  <c r="I79" i="10"/>
  <c r="I80" i="10"/>
  <c r="I81" i="10"/>
  <c r="I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73" i="10"/>
  <c r="F74" i="10"/>
  <c r="F75" i="10"/>
  <c r="F76" i="10"/>
  <c r="F77" i="10"/>
  <c r="F78" i="10"/>
  <c r="F79" i="10"/>
  <c r="F80" i="10"/>
  <c r="F81" i="10"/>
  <c r="F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53" i="10"/>
  <c r="C54" i="10"/>
  <c r="C55" i="10"/>
  <c r="C56" i="10"/>
  <c r="C57" i="10"/>
  <c r="C58" i="10"/>
  <c r="C59" i="10"/>
  <c r="C60" i="10"/>
  <c r="C61" i="10"/>
  <c r="C62" i="10"/>
  <c r="C63" i="10"/>
  <c r="C64" i="10"/>
  <c r="C65" i="10"/>
  <c r="C66" i="10"/>
  <c r="C67" i="10"/>
  <c r="C68" i="10"/>
  <c r="C69" i="10"/>
  <c r="C70" i="10"/>
  <c r="C71" i="10"/>
  <c r="C72" i="10"/>
  <c r="C73" i="10"/>
  <c r="C74" i="10"/>
  <c r="C75" i="10"/>
  <c r="C76" i="10"/>
  <c r="C77" i="10"/>
  <c r="C78" i="10"/>
  <c r="C79" i="10"/>
  <c r="C80" i="10"/>
  <c r="C14" i="10"/>
  <c r="AE30" i="12" l="1"/>
  <c r="AV96" i="12"/>
  <c r="AC71" i="12"/>
  <c r="U71" i="12" s="1"/>
  <c r="AC92" i="12"/>
  <c r="U92" i="12" s="1"/>
  <c r="AV27" i="12"/>
  <c r="L51" i="12"/>
  <c r="M51" i="12" s="1"/>
  <c r="O52" i="12"/>
  <c r="M49" i="12"/>
  <c r="AT139" i="12"/>
  <c r="AV116" i="12"/>
  <c r="L58" i="12"/>
  <c r="M58" i="12" s="1"/>
  <c r="AT93" i="12"/>
  <c r="AL93" i="12" s="1"/>
  <c r="AT5" i="12"/>
  <c r="AL5" i="12" s="1"/>
  <c r="AE29" i="12"/>
  <c r="AV26" i="12"/>
  <c r="AV114" i="12"/>
  <c r="L55" i="12"/>
  <c r="M55" i="12" s="1"/>
  <c r="O49" i="12"/>
  <c r="AL135" i="12"/>
  <c r="AV106" i="12"/>
  <c r="L56" i="12"/>
  <c r="M56" i="12" s="1"/>
  <c r="AL51" i="12"/>
  <c r="U74" i="12"/>
  <c r="AT29" i="12"/>
  <c r="AL29" i="12" s="1"/>
  <c r="AE28" i="12"/>
  <c r="AT9" i="12"/>
  <c r="O60" i="12"/>
  <c r="AT94" i="12"/>
  <c r="AL94" i="12" s="1"/>
  <c r="AT72" i="12"/>
  <c r="AL72" i="12" s="1"/>
  <c r="AT7" i="12"/>
  <c r="AL7" i="12" s="1"/>
  <c r="U8" i="12"/>
  <c r="T97" i="12"/>
  <c r="U30" i="12"/>
  <c r="AL9" i="12"/>
  <c r="U52" i="12"/>
  <c r="U95" i="12"/>
  <c r="AL95" i="12"/>
  <c r="AL138" i="12"/>
  <c r="U117" i="12"/>
  <c r="AL116" i="12"/>
  <c r="AL139" i="12"/>
  <c r="O48" i="12"/>
  <c r="O79" i="12"/>
  <c r="AE9" i="12"/>
  <c r="O75" i="12"/>
  <c r="O73" i="12"/>
  <c r="O76" i="12"/>
  <c r="O82" i="12"/>
  <c r="O84" i="12"/>
  <c r="L77" i="12"/>
  <c r="O77" i="12"/>
  <c r="O81" i="12"/>
  <c r="O83" i="12"/>
  <c r="O78" i="12"/>
  <c r="O80" i="12"/>
  <c r="O85" i="12"/>
  <c r="O74" i="12"/>
  <c r="AC9" i="12"/>
  <c r="U9" i="12" s="1"/>
  <c r="T119" i="12"/>
  <c r="AK10" i="12"/>
  <c r="AL10" i="12" s="1"/>
  <c r="T76" i="12"/>
  <c r="W76" i="12" s="1"/>
  <c r="AE76" i="12" s="1"/>
  <c r="W75" i="12"/>
  <c r="AB75" i="12" s="1"/>
  <c r="AS30" i="12"/>
  <c r="AV30" i="12"/>
  <c r="AT118" i="12"/>
  <c r="AV118" i="12"/>
  <c r="AT13" i="12"/>
  <c r="AV13" i="12"/>
  <c r="AB53" i="12"/>
  <c r="AE53" i="12"/>
  <c r="AB96" i="12"/>
  <c r="AE96" i="12"/>
  <c r="AC53" i="12"/>
  <c r="AS14" i="12"/>
  <c r="AV14" i="12"/>
  <c r="AB118" i="12"/>
  <c r="AE118" i="12"/>
  <c r="AS52" i="12"/>
  <c r="AV52" i="12"/>
  <c r="AC118" i="12"/>
  <c r="AB31" i="12"/>
  <c r="AE31" i="12"/>
  <c r="AT14" i="12"/>
  <c r="AK53" i="12"/>
  <c r="AT30" i="12"/>
  <c r="AS13" i="12"/>
  <c r="AT52" i="12"/>
  <c r="AS117" i="12"/>
  <c r="AL117" i="12" s="1"/>
  <c r="AJ16" i="12"/>
  <c r="AN15" i="12"/>
  <c r="AV15" i="12" s="1"/>
  <c r="S120" i="12"/>
  <c r="W119" i="12"/>
  <c r="AE119" i="12" s="1"/>
  <c r="AJ54" i="12"/>
  <c r="AN53" i="12"/>
  <c r="AV53" i="12" s="1"/>
  <c r="T54" i="12"/>
  <c r="AS118" i="12"/>
  <c r="AJ119" i="12"/>
  <c r="AN119" i="12" s="1"/>
  <c r="AV119" i="12" s="1"/>
  <c r="AK140" i="12"/>
  <c r="AK75" i="12"/>
  <c r="AS74" i="12"/>
  <c r="AL74" i="12" s="1"/>
  <c r="AJ76" i="12"/>
  <c r="AN76" i="12" s="1"/>
  <c r="AV76" i="12" s="1"/>
  <c r="AT75" i="12"/>
  <c r="S33" i="12"/>
  <c r="AK96" i="12"/>
  <c r="AL96" i="12" s="1"/>
  <c r="T10" i="12"/>
  <c r="W10" i="12" s="1"/>
  <c r="S98" i="12"/>
  <c r="W97" i="12"/>
  <c r="AE97" i="12" s="1"/>
  <c r="AS75" i="12"/>
  <c r="AK31" i="12"/>
  <c r="S55" i="12"/>
  <c r="W54" i="12"/>
  <c r="AE54" i="12" s="1"/>
  <c r="AC96" i="12"/>
  <c r="AC31" i="12"/>
  <c r="U31" i="12" s="1"/>
  <c r="T32" i="12"/>
  <c r="AK118" i="12"/>
  <c r="S77" i="12"/>
  <c r="AJ32" i="12"/>
  <c r="AN31" i="12"/>
  <c r="AV31" i="12" s="1"/>
  <c r="AT140" i="12"/>
  <c r="AJ141" i="12"/>
  <c r="AN141" i="12" s="1"/>
  <c r="S11" i="12"/>
  <c r="AL52" i="12" l="1"/>
  <c r="U53" i="12"/>
  <c r="U118" i="12"/>
  <c r="AL30" i="12"/>
  <c r="AL118" i="12"/>
  <c r="U96" i="12"/>
  <c r="AL75" i="12"/>
  <c r="AC75" i="12"/>
  <c r="U75" i="12" s="1"/>
  <c r="AE75" i="12"/>
  <c r="AE10" i="12"/>
  <c r="AB10" i="12"/>
  <c r="AC10" i="12"/>
  <c r="AK97" i="12"/>
  <c r="AL97" i="12" s="1"/>
  <c r="T33" i="12"/>
  <c r="W32" i="12"/>
  <c r="AE32" i="12" s="1"/>
  <c r="AT141" i="12"/>
  <c r="AV141" i="12"/>
  <c r="AS119" i="12"/>
  <c r="AT119" i="12"/>
  <c r="S121" i="12"/>
  <c r="W120" i="12"/>
  <c r="AE120" i="12" s="1"/>
  <c r="AK32" i="12"/>
  <c r="AB97" i="12"/>
  <c r="AC97" i="12"/>
  <c r="AK76" i="12"/>
  <c r="T55" i="12"/>
  <c r="W55" i="12" s="1"/>
  <c r="AE55" i="12" s="1"/>
  <c r="AK11" i="12"/>
  <c r="AL11" i="12" s="1"/>
  <c r="AS15" i="12"/>
  <c r="AT15" i="12"/>
  <c r="AB76" i="12"/>
  <c r="AC76" i="12"/>
  <c r="U76" i="12" s="1"/>
  <c r="S56" i="12"/>
  <c r="S78" i="12"/>
  <c r="AK119" i="12"/>
  <c r="S99" i="12"/>
  <c r="W98" i="12"/>
  <c r="AE98" i="12" s="1"/>
  <c r="S34" i="12"/>
  <c r="W33" i="12"/>
  <c r="AE33" i="12" s="1"/>
  <c r="AK141" i="12"/>
  <c r="AS140" i="12"/>
  <c r="AL140" i="12" s="1"/>
  <c r="T98" i="12"/>
  <c r="AJ17" i="12"/>
  <c r="AN16" i="12"/>
  <c r="AV16" i="12" s="1"/>
  <c r="AJ55" i="12"/>
  <c r="AN54" i="12"/>
  <c r="AV54" i="12" s="1"/>
  <c r="AS31" i="12"/>
  <c r="AT31" i="12"/>
  <c r="AL31" i="12" s="1"/>
  <c r="AS141" i="12"/>
  <c r="AJ142" i="12"/>
  <c r="AN142" i="12" s="1"/>
  <c r="AV142" i="12" s="1"/>
  <c r="AJ33" i="12"/>
  <c r="AN32" i="12"/>
  <c r="AV32" i="12" s="1"/>
  <c r="AK54" i="12"/>
  <c r="AB54" i="12"/>
  <c r="AC54" i="12"/>
  <c r="T11" i="12"/>
  <c r="W11" i="12" s="1"/>
  <c r="T120" i="12"/>
  <c r="AJ77" i="12"/>
  <c r="AN77" i="12" s="1"/>
  <c r="AV77" i="12" s="1"/>
  <c r="AT76" i="12"/>
  <c r="AJ120" i="12"/>
  <c r="AN120" i="12" s="1"/>
  <c r="AV120" i="12" s="1"/>
  <c r="AS53" i="12"/>
  <c r="AT53" i="12"/>
  <c r="AB119" i="12"/>
  <c r="AC119" i="12"/>
  <c r="U119" i="12" s="1"/>
  <c r="T77" i="12"/>
  <c r="W77" i="12" s="1"/>
  <c r="AE77" i="12" s="1"/>
  <c r="S12" i="12"/>
  <c r="B10" i="9"/>
  <c r="U97" i="12" l="1"/>
  <c r="U10" i="12"/>
  <c r="U54" i="12"/>
  <c r="AL53" i="12"/>
  <c r="AL141" i="12"/>
  <c r="AL119" i="12"/>
  <c r="AC32" i="12"/>
  <c r="AB32" i="12"/>
  <c r="AE11" i="12"/>
  <c r="AB11" i="12"/>
  <c r="AC11" i="12"/>
  <c r="W12" i="12"/>
  <c r="AE12" i="12" s="1"/>
  <c r="AS120" i="12"/>
  <c r="AT120" i="12"/>
  <c r="AJ56" i="12"/>
  <c r="AN55" i="12"/>
  <c r="AV55" i="12" s="1"/>
  <c r="AB55" i="12"/>
  <c r="AC55" i="12"/>
  <c r="AK77" i="12"/>
  <c r="S122" i="12"/>
  <c r="W121" i="12"/>
  <c r="AE121" i="12" s="1"/>
  <c r="T12" i="12"/>
  <c r="AS32" i="12"/>
  <c r="AT32" i="12"/>
  <c r="AK98" i="12"/>
  <c r="AL98" i="12" s="1"/>
  <c r="AB98" i="12"/>
  <c r="AC98" i="12"/>
  <c r="S79" i="12"/>
  <c r="S57" i="12"/>
  <c r="W56" i="12"/>
  <c r="AE56" i="12" s="1"/>
  <c r="AS76" i="12"/>
  <c r="AL76" i="12" s="1"/>
  <c r="T34" i="12"/>
  <c r="AK55" i="12"/>
  <c r="AB77" i="12"/>
  <c r="AC77" i="12"/>
  <c r="AJ34" i="12"/>
  <c r="AN33" i="12"/>
  <c r="AV33" i="12" s="1"/>
  <c r="AS16" i="12"/>
  <c r="AT16" i="12"/>
  <c r="AK142" i="12"/>
  <c r="S100" i="12"/>
  <c r="W99" i="12"/>
  <c r="AE99" i="12" s="1"/>
  <c r="AK12" i="12"/>
  <c r="AL12" i="12" s="1"/>
  <c r="AK33" i="12"/>
  <c r="T121" i="12"/>
  <c r="T99" i="12"/>
  <c r="S35" i="12"/>
  <c r="W34" i="12"/>
  <c r="AE34" i="12" s="1"/>
  <c r="T78" i="12"/>
  <c r="W78" i="12" s="1"/>
  <c r="AE78" i="12" s="1"/>
  <c r="AJ121" i="12"/>
  <c r="AN121" i="12" s="1"/>
  <c r="AV121" i="12" s="1"/>
  <c r="AJ78" i="12"/>
  <c r="AN78" i="12" s="1"/>
  <c r="AV78" i="12" s="1"/>
  <c r="AT77" i="12"/>
  <c r="AT142" i="12"/>
  <c r="AJ143" i="12"/>
  <c r="AN143" i="12" s="1"/>
  <c r="AV143" i="12" s="1"/>
  <c r="AS54" i="12"/>
  <c r="AT54" i="12"/>
  <c r="AJ18" i="12"/>
  <c r="AN17" i="12"/>
  <c r="AV17" i="12" s="1"/>
  <c r="AB33" i="12"/>
  <c r="AC33" i="12"/>
  <c r="AK120" i="12"/>
  <c r="T56" i="12"/>
  <c r="AB120" i="12"/>
  <c r="AC120" i="12"/>
  <c r="S13" i="12"/>
  <c r="F21" i="9"/>
  <c r="A30" i="9"/>
  <c r="U120" i="12" l="1"/>
  <c r="AL54" i="12"/>
  <c r="AL32" i="12"/>
  <c r="U77" i="12"/>
  <c r="U98" i="12"/>
  <c r="U11" i="12"/>
  <c r="U33" i="12"/>
  <c r="U32" i="12"/>
  <c r="U55" i="12"/>
  <c r="AL120" i="12"/>
  <c r="AK121" i="12"/>
  <c r="AC12" i="12"/>
  <c r="AB12" i="12"/>
  <c r="AS143" i="12"/>
  <c r="AT143" i="12"/>
  <c r="AJ79" i="12"/>
  <c r="AN79" i="12" s="1"/>
  <c r="AV79" i="12" s="1"/>
  <c r="AT78" i="12"/>
  <c r="S36" i="12"/>
  <c r="W35" i="12"/>
  <c r="AE35" i="12" s="1"/>
  <c r="AK56" i="12"/>
  <c r="AK78" i="12"/>
  <c r="AJ57" i="12"/>
  <c r="AN56" i="12"/>
  <c r="AV56" i="12" s="1"/>
  <c r="AJ122" i="12"/>
  <c r="AN122" i="12" s="1"/>
  <c r="AV122" i="12" s="1"/>
  <c r="T100" i="12"/>
  <c r="AK34" i="12"/>
  <c r="AK143" i="12"/>
  <c r="AJ35" i="12"/>
  <c r="AN34" i="12"/>
  <c r="AV34" i="12" s="1"/>
  <c r="T35" i="12"/>
  <c r="AB78" i="12"/>
  <c r="AC78" i="12"/>
  <c r="AK99" i="12"/>
  <c r="AL99" i="12" s="1"/>
  <c r="AS77" i="12"/>
  <c r="AL77" i="12" s="1"/>
  <c r="AS142" i="12"/>
  <c r="AL142" i="12" s="1"/>
  <c r="AJ19" i="12"/>
  <c r="AN18" i="12"/>
  <c r="AV18" i="12" s="1"/>
  <c r="AS33" i="12"/>
  <c r="AT33" i="12"/>
  <c r="S58" i="12"/>
  <c r="AS121" i="12"/>
  <c r="AT121" i="12"/>
  <c r="T79" i="12"/>
  <c r="T122" i="12"/>
  <c r="AK13" i="12"/>
  <c r="AL13" i="12" s="1"/>
  <c r="S80" i="12"/>
  <c r="W79" i="12"/>
  <c r="AE79" i="12" s="1"/>
  <c r="AB121" i="12"/>
  <c r="AC121" i="12"/>
  <c r="S101" i="12"/>
  <c r="W100" i="12"/>
  <c r="AE100" i="12" s="1"/>
  <c r="T13" i="12"/>
  <c r="W13" i="12" s="1"/>
  <c r="T57" i="12"/>
  <c r="AS17" i="12"/>
  <c r="AT17" i="12"/>
  <c r="AJ144" i="12"/>
  <c r="AN144" i="12" s="1"/>
  <c r="AV144" i="12" s="1"/>
  <c r="AB34" i="12"/>
  <c r="AC34" i="12"/>
  <c r="AB99" i="12"/>
  <c r="AC99" i="12"/>
  <c r="AB56" i="12"/>
  <c r="AC56" i="12"/>
  <c r="S123" i="12"/>
  <c r="W122" i="12"/>
  <c r="AE122" i="12" s="1"/>
  <c r="AS55" i="12"/>
  <c r="AT55" i="12"/>
  <c r="S14" i="12"/>
  <c r="Z28" i="9"/>
  <c r="Z32" i="9"/>
  <c r="Z36" i="9"/>
  <c r="Z27" i="9"/>
  <c r="Z29" i="9"/>
  <c r="Z33" i="9"/>
  <c r="Z24" i="9"/>
  <c r="Z35" i="9"/>
  <c r="Z26" i="9"/>
  <c r="Z30" i="9"/>
  <c r="Z34" i="9"/>
  <c r="Z31" i="9"/>
  <c r="E48" i="9"/>
  <c r="E52" i="9"/>
  <c r="E56" i="9"/>
  <c r="E49" i="9"/>
  <c r="E53" i="9"/>
  <c r="E57" i="9"/>
  <c r="E51" i="9"/>
  <c r="E46" i="9"/>
  <c r="E50" i="9"/>
  <c r="E54" i="9"/>
  <c r="E58" i="9"/>
  <c r="E47" i="9"/>
  <c r="E55" i="9"/>
  <c r="F40" i="9"/>
  <c r="F42" i="9" s="1"/>
  <c r="F15" i="9"/>
  <c r="O28" i="1"/>
  <c r="I27" i="1"/>
  <c r="F46" i="9" l="1"/>
  <c r="F48" i="9"/>
  <c r="U121" i="12"/>
  <c r="AL33" i="12"/>
  <c r="U78" i="12"/>
  <c r="U12" i="12"/>
  <c r="U56" i="12"/>
  <c r="U34" i="12"/>
  <c r="U99" i="12"/>
  <c r="AL143" i="12"/>
  <c r="AL55" i="12"/>
  <c r="AL121" i="12"/>
  <c r="AE13" i="12"/>
  <c r="AB13" i="12"/>
  <c r="AC13" i="12"/>
  <c r="T58" i="12"/>
  <c r="W58" i="12" s="1"/>
  <c r="AE58" i="12" s="1"/>
  <c r="W57" i="12"/>
  <c r="AE57" i="12" s="1"/>
  <c r="W14" i="12"/>
  <c r="AE14" i="12" s="1"/>
  <c r="AK14" i="12"/>
  <c r="AL14" i="12" s="1"/>
  <c r="T36" i="12"/>
  <c r="AK35" i="12"/>
  <c r="AS78" i="12"/>
  <c r="AL78" i="12" s="1"/>
  <c r="AS144" i="12"/>
  <c r="AT144" i="12"/>
  <c r="AJ58" i="12"/>
  <c r="AN57" i="12"/>
  <c r="AV57" i="12" s="1"/>
  <c r="AJ80" i="12"/>
  <c r="AN80" i="12" s="1"/>
  <c r="AV80" i="12" s="1"/>
  <c r="AT79" i="12"/>
  <c r="AB122" i="12"/>
  <c r="AC122" i="12"/>
  <c r="AJ145" i="12"/>
  <c r="AN145" i="12" s="1"/>
  <c r="AV145" i="12" s="1"/>
  <c r="T14" i="12"/>
  <c r="T123" i="12"/>
  <c r="AK100" i="12"/>
  <c r="AL100" i="12" s="1"/>
  <c r="AS34" i="12"/>
  <c r="AT34" i="12"/>
  <c r="T101" i="12"/>
  <c r="AK79" i="12"/>
  <c r="AK122" i="12"/>
  <c r="AJ20" i="12"/>
  <c r="AN19" i="12"/>
  <c r="AV19" i="12" s="1"/>
  <c r="AB100" i="12"/>
  <c r="AC100" i="12"/>
  <c r="AB79" i="12"/>
  <c r="AC79" i="12"/>
  <c r="T80" i="12"/>
  <c r="AJ36" i="12"/>
  <c r="AN35" i="12"/>
  <c r="AV35" i="12" s="1"/>
  <c r="AS122" i="12"/>
  <c r="AT122" i="12"/>
  <c r="AJ123" i="12"/>
  <c r="AN123" i="12" s="1"/>
  <c r="AV123" i="12" s="1"/>
  <c r="AK57" i="12"/>
  <c r="S59" i="12"/>
  <c r="S37" i="12"/>
  <c r="W36" i="12"/>
  <c r="AE36" i="12" s="1"/>
  <c r="S124" i="12"/>
  <c r="W123" i="12"/>
  <c r="AE123" i="12" s="1"/>
  <c r="S102" i="12"/>
  <c r="W101" i="12"/>
  <c r="AE101" i="12" s="1"/>
  <c r="S81" i="12"/>
  <c r="W80" i="12"/>
  <c r="AE80" i="12" s="1"/>
  <c r="AS18" i="12"/>
  <c r="AT18" i="12"/>
  <c r="AK144" i="12"/>
  <c r="AS56" i="12"/>
  <c r="AT56" i="12"/>
  <c r="AB35" i="12"/>
  <c r="AC35" i="12"/>
  <c r="S15" i="12"/>
  <c r="AA27" i="9"/>
  <c r="AA31" i="9"/>
  <c r="AA35" i="9"/>
  <c r="AA28" i="9"/>
  <c r="AA32" i="9"/>
  <c r="AA26" i="9"/>
  <c r="AA30" i="9"/>
  <c r="AA36" i="9"/>
  <c r="AA25" i="9"/>
  <c r="AA29" i="9"/>
  <c r="AA33" i="9"/>
  <c r="AA24" i="9"/>
  <c r="AA34" i="9"/>
  <c r="F11" i="9"/>
  <c r="H46" i="9" s="1"/>
  <c r="D48" i="9"/>
  <c r="D52" i="9"/>
  <c r="D56" i="9"/>
  <c r="D54" i="9"/>
  <c r="D55" i="9"/>
  <c r="D49" i="9"/>
  <c r="D53" i="9"/>
  <c r="D57" i="9"/>
  <c r="D50" i="9"/>
  <c r="D58" i="9"/>
  <c r="D51" i="9"/>
  <c r="D47" i="9"/>
  <c r="F47" i="9"/>
  <c r="F51" i="9"/>
  <c r="F55" i="9"/>
  <c r="F50" i="9"/>
  <c r="F52" i="9"/>
  <c r="F56" i="9"/>
  <c r="F54" i="9"/>
  <c r="F49" i="9"/>
  <c r="F53" i="9"/>
  <c r="F57" i="9"/>
  <c r="F58" i="9"/>
  <c r="F19" i="9" l="1"/>
  <c r="F24" i="9" s="1"/>
  <c r="U13" i="12"/>
  <c r="H53" i="9"/>
  <c r="H54" i="9"/>
  <c r="H55" i="9"/>
  <c r="H49" i="9"/>
  <c r="H50" i="9"/>
  <c r="H51" i="9"/>
  <c r="H56" i="9"/>
  <c r="H57" i="9"/>
  <c r="H58" i="9"/>
  <c r="H48" i="9"/>
  <c r="H47" i="9"/>
  <c r="H52" i="9"/>
  <c r="U79" i="12"/>
  <c r="U35" i="12"/>
  <c r="U100" i="12"/>
  <c r="AL56" i="12"/>
  <c r="AL122" i="12"/>
  <c r="U122" i="12"/>
  <c r="AL34" i="12"/>
  <c r="AL144" i="12"/>
  <c r="AB57" i="12"/>
  <c r="AC57" i="12"/>
  <c r="AB14" i="12"/>
  <c r="AC14" i="12"/>
  <c r="X24" i="9"/>
  <c r="AC24" i="9" s="1"/>
  <c r="AB36" i="12"/>
  <c r="AC36" i="12"/>
  <c r="T81" i="12"/>
  <c r="AK101" i="12"/>
  <c r="AL101" i="12" s="1"/>
  <c r="T37" i="12"/>
  <c r="AK145" i="12"/>
  <c r="S103" i="12"/>
  <c r="W102" i="12"/>
  <c r="AE102" i="12" s="1"/>
  <c r="S38" i="12"/>
  <c r="W37" i="12"/>
  <c r="AE37" i="12" s="1"/>
  <c r="T59" i="12"/>
  <c r="AK123" i="12"/>
  <c r="T102" i="12"/>
  <c r="T124" i="12"/>
  <c r="AJ81" i="12"/>
  <c r="AN81" i="12" s="1"/>
  <c r="AV81" i="12" s="1"/>
  <c r="AT80" i="12"/>
  <c r="AK15" i="12"/>
  <c r="AL15" i="12" s="1"/>
  <c r="AK80" i="12"/>
  <c r="AB80" i="12"/>
  <c r="AC80" i="12"/>
  <c r="AK58" i="12"/>
  <c r="AS35" i="12"/>
  <c r="AT35" i="12"/>
  <c r="AS79" i="12"/>
  <c r="AL79" i="12" s="1"/>
  <c r="T15" i="12"/>
  <c r="W15" i="12" s="1"/>
  <c r="AS57" i="12"/>
  <c r="AT57" i="12"/>
  <c r="AB101" i="12"/>
  <c r="AC101" i="12"/>
  <c r="S60" i="12"/>
  <c r="W59" i="12"/>
  <c r="AE59" i="12" s="1"/>
  <c r="AN20" i="12"/>
  <c r="AV20" i="12" s="1"/>
  <c r="AS145" i="12"/>
  <c r="AT145" i="12"/>
  <c r="AB123" i="12"/>
  <c r="AC123" i="12"/>
  <c r="AK36" i="12"/>
  <c r="S82" i="12"/>
  <c r="W81" i="12"/>
  <c r="AE81" i="12" s="1"/>
  <c r="S125" i="12"/>
  <c r="W124" i="12"/>
  <c r="AE124" i="12" s="1"/>
  <c r="AB58" i="12"/>
  <c r="AC58" i="12"/>
  <c r="U58" i="12" s="1"/>
  <c r="AT123" i="12"/>
  <c r="AJ124" i="12"/>
  <c r="AN124" i="12" s="1"/>
  <c r="AJ37" i="12"/>
  <c r="AN36" i="12"/>
  <c r="AV36" i="12" s="1"/>
  <c r="AS19" i="12"/>
  <c r="AT19" i="12"/>
  <c r="AJ146" i="12"/>
  <c r="AN146" i="12" s="1"/>
  <c r="AJ59" i="12"/>
  <c r="AN58" i="12"/>
  <c r="AV58" i="12" s="1"/>
  <c r="S16" i="12"/>
  <c r="F14" i="9"/>
  <c r="X26" i="9"/>
  <c r="AC26" i="9" s="1"/>
  <c r="X28" i="9"/>
  <c r="AC28" i="9" s="1"/>
  <c r="X34" i="9"/>
  <c r="AC34" i="9" s="1"/>
  <c r="X30" i="9"/>
  <c r="AC30" i="9" s="1"/>
  <c r="X36" i="9"/>
  <c r="AC36" i="9" s="1"/>
  <c r="X32" i="9"/>
  <c r="AC32" i="9" s="1"/>
  <c r="X35" i="9"/>
  <c r="AC35" i="9" s="1"/>
  <c r="X27" i="9"/>
  <c r="AC27" i="9" s="1"/>
  <c r="X31" i="9"/>
  <c r="AC31" i="9" s="1"/>
  <c r="X29" i="9"/>
  <c r="AC29" i="9" s="1"/>
  <c r="X33" i="9"/>
  <c r="AC33" i="9" s="1"/>
  <c r="X25" i="9"/>
  <c r="AC25" i="9" s="1"/>
  <c r="G19" i="1"/>
  <c r="O14" i="1"/>
  <c r="C10" i="2"/>
  <c r="C9" i="2"/>
  <c r="C15" i="2" s="1"/>
  <c r="C8" i="2"/>
  <c r="O13" i="1"/>
  <c r="C14" i="1"/>
  <c r="G14" i="10" s="1"/>
  <c r="C13" i="1"/>
  <c r="C30" i="9" l="1"/>
  <c r="B30" i="9"/>
  <c r="F27" i="9" s="1"/>
  <c r="F35" i="9" s="1"/>
  <c r="I26" i="2"/>
  <c r="U14" i="12"/>
  <c r="AL145" i="12"/>
  <c r="U36" i="12"/>
  <c r="D14" i="10"/>
  <c r="U123" i="12"/>
  <c r="U80" i="12"/>
  <c r="U57" i="12"/>
  <c r="J57" i="9"/>
  <c r="J58" i="9"/>
  <c r="J50" i="9"/>
  <c r="J49" i="9"/>
  <c r="J52" i="9"/>
  <c r="J56" i="9"/>
  <c r="J48" i="9"/>
  <c r="J55" i="9"/>
  <c r="J51" i="9"/>
  <c r="J54" i="9"/>
  <c r="J53" i="9"/>
  <c r="J47" i="9"/>
  <c r="J46" i="9"/>
  <c r="AL57" i="12"/>
  <c r="AL35" i="12"/>
  <c r="U101" i="12"/>
  <c r="AK124" i="12"/>
  <c r="AE15" i="12"/>
  <c r="AB15" i="12"/>
  <c r="AC15" i="12"/>
  <c r="AT146" i="12"/>
  <c r="AV146" i="12"/>
  <c r="AK102" i="12"/>
  <c r="AL102" i="12" s="1"/>
  <c r="AT124" i="12"/>
  <c r="AV124" i="12"/>
  <c r="T16" i="12"/>
  <c r="W16" i="12" s="1"/>
  <c r="AK59" i="12"/>
  <c r="AS123" i="12"/>
  <c r="AL123" i="12" s="1"/>
  <c r="AJ147" i="12"/>
  <c r="AN147" i="12" s="1"/>
  <c r="AV147" i="12" s="1"/>
  <c r="AJ38" i="12"/>
  <c r="AN37" i="12"/>
  <c r="AV37" i="12" s="1"/>
  <c r="AS58" i="12"/>
  <c r="AT58" i="12"/>
  <c r="AJ125" i="12"/>
  <c r="AN125" i="12" s="1"/>
  <c r="AV125" i="12" s="1"/>
  <c r="AB124" i="12"/>
  <c r="AC124" i="12"/>
  <c r="AK37" i="12"/>
  <c r="S61" i="12"/>
  <c r="AK16" i="12"/>
  <c r="AL16" i="12" s="1"/>
  <c r="AJ82" i="12"/>
  <c r="AN82" i="12" s="1"/>
  <c r="AV82" i="12" s="1"/>
  <c r="AT81" i="12"/>
  <c r="T60" i="12"/>
  <c r="W60" i="12" s="1"/>
  <c r="AE60" i="12" s="1"/>
  <c r="S104" i="12"/>
  <c r="W103" i="12"/>
  <c r="AE103" i="12" s="1"/>
  <c r="T82" i="12"/>
  <c r="W82" i="12" s="1"/>
  <c r="AE82" i="12" s="1"/>
  <c r="AS146" i="12"/>
  <c r="S83" i="12"/>
  <c r="AJ60" i="12"/>
  <c r="AN59" i="12"/>
  <c r="AV59" i="12" s="1"/>
  <c r="S126" i="12"/>
  <c r="W125" i="12"/>
  <c r="AE125" i="12" s="1"/>
  <c r="AS20" i="12"/>
  <c r="AT20" i="12"/>
  <c r="T125" i="12"/>
  <c r="AB37" i="12"/>
  <c r="AC37" i="12"/>
  <c r="AK146" i="12"/>
  <c r="AB59" i="12"/>
  <c r="AC59" i="12"/>
  <c r="AB102" i="12"/>
  <c r="AC102" i="12"/>
  <c r="AS124" i="12"/>
  <c r="AS80" i="12"/>
  <c r="AL80" i="12" s="1"/>
  <c r="AS36" i="12"/>
  <c r="AT36" i="12"/>
  <c r="AB81" i="12"/>
  <c r="AC81" i="12"/>
  <c r="AK81" i="12"/>
  <c r="T103" i="12"/>
  <c r="S39" i="12"/>
  <c r="T38" i="12"/>
  <c r="W38" i="12" s="1"/>
  <c r="AE38" i="12" s="1"/>
  <c r="S17" i="12"/>
  <c r="AB28" i="9"/>
  <c r="AD28" i="9" s="1"/>
  <c r="AE28" i="9" s="1"/>
  <c r="AB32" i="9"/>
  <c r="AD32" i="9" s="1"/>
  <c r="AE32" i="9" s="1"/>
  <c r="AB36" i="9"/>
  <c r="AD36" i="9" s="1"/>
  <c r="AE36" i="9" s="1"/>
  <c r="AB25" i="9"/>
  <c r="AD25" i="9" s="1"/>
  <c r="AE25" i="9" s="1"/>
  <c r="AB29" i="9"/>
  <c r="AD29" i="9" s="1"/>
  <c r="AE29" i="9" s="1"/>
  <c r="AB33" i="9"/>
  <c r="AD33" i="9" s="1"/>
  <c r="AE33" i="9" s="1"/>
  <c r="AB24" i="9"/>
  <c r="AD24" i="9" s="1"/>
  <c r="AE24" i="9" s="1"/>
  <c r="AB26" i="9"/>
  <c r="AD26" i="9" s="1"/>
  <c r="AE26" i="9" s="1"/>
  <c r="AB30" i="9"/>
  <c r="AD30" i="9" s="1"/>
  <c r="AE30" i="9" s="1"/>
  <c r="AB34" i="9"/>
  <c r="AD34" i="9" s="1"/>
  <c r="AE34" i="9" s="1"/>
  <c r="AB27" i="9"/>
  <c r="AD27" i="9" s="1"/>
  <c r="AE27" i="9" s="1"/>
  <c r="AB31" i="9"/>
  <c r="AD31" i="9" s="1"/>
  <c r="AE31" i="9" s="1"/>
  <c r="AB35" i="9"/>
  <c r="AD35" i="9" s="1"/>
  <c r="AE35" i="9" s="1"/>
  <c r="U25" i="9"/>
  <c r="U33" i="9"/>
  <c r="U35" i="9"/>
  <c r="U36" i="9"/>
  <c r="U28" i="9"/>
  <c r="U29" i="9"/>
  <c r="U30" i="9"/>
  <c r="U26" i="9"/>
  <c r="U27" i="9"/>
  <c r="U32" i="9"/>
  <c r="U34" i="9"/>
  <c r="U31" i="9"/>
  <c r="G48" i="9"/>
  <c r="K48" i="9" s="1"/>
  <c r="G52" i="9"/>
  <c r="K52" i="9" s="1"/>
  <c r="G56" i="9"/>
  <c r="K56" i="9" s="1"/>
  <c r="L56" i="9" s="1"/>
  <c r="G51" i="9"/>
  <c r="K51" i="9" s="1"/>
  <c r="G49" i="9"/>
  <c r="K49" i="9" s="1"/>
  <c r="G53" i="9"/>
  <c r="K53" i="9" s="1"/>
  <c r="G57" i="9"/>
  <c r="K57" i="9" s="1"/>
  <c r="G55" i="9"/>
  <c r="K55" i="9" s="1"/>
  <c r="G50" i="9"/>
  <c r="K50" i="9" s="1"/>
  <c r="G54" i="9"/>
  <c r="K54" i="9" s="1"/>
  <c r="G58" i="9"/>
  <c r="K58" i="9" s="1"/>
  <c r="L58" i="9" s="1"/>
  <c r="G47" i="9"/>
  <c r="G46" i="9"/>
  <c r="K46" i="9" s="1"/>
  <c r="L46" i="9" s="1"/>
  <c r="F29" i="9"/>
  <c r="F37" i="9" s="1"/>
  <c r="D19" i="10"/>
  <c r="D27" i="10"/>
  <c r="D35" i="10"/>
  <c r="D43" i="10"/>
  <c r="D51" i="10"/>
  <c r="D59" i="10"/>
  <c r="D67" i="10"/>
  <c r="D75" i="10"/>
  <c r="D22" i="10"/>
  <c r="D30" i="10"/>
  <c r="D38" i="10"/>
  <c r="D46" i="10"/>
  <c r="D54" i="10"/>
  <c r="D62" i="10"/>
  <c r="D70" i="10"/>
  <c r="D78" i="10"/>
  <c r="D15" i="10"/>
  <c r="D23" i="10"/>
  <c r="D31" i="10"/>
  <c r="D39" i="10"/>
  <c r="D47" i="10"/>
  <c r="D55" i="10"/>
  <c r="D63" i="10"/>
  <c r="D71" i="10"/>
  <c r="D79" i="10"/>
  <c r="D34" i="10"/>
  <c r="D66" i="10"/>
  <c r="D42" i="10"/>
  <c r="D74" i="10"/>
  <c r="D18" i="10"/>
  <c r="D50" i="10"/>
  <c r="D26" i="10"/>
  <c r="D58" i="10"/>
  <c r="D65" i="10"/>
  <c r="D49" i="10"/>
  <c r="D33" i="10"/>
  <c r="D17" i="10"/>
  <c r="D72" i="10"/>
  <c r="D56" i="10"/>
  <c r="D40" i="10"/>
  <c r="D24" i="10"/>
  <c r="D77" i="10"/>
  <c r="D61" i="10"/>
  <c r="D45" i="10"/>
  <c r="D29" i="10"/>
  <c r="D73" i="10"/>
  <c r="D41" i="10"/>
  <c r="D64" i="10"/>
  <c r="D44" i="10"/>
  <c r="D20" i="10"/>
  <c r="D37" i="10"/>
  <c r="D80" i="10"/>
  <c r="D36" i="10"/>
  <c r="D25" i="10"/>
  <c r="D52" i="10"/>
  <c r="D53" i="10"/>
  <c r="D68" i="10"/>
  <c r="D28" i="10"/>
  <c r="D69" i="10"/>
  <c r="D60" i="10"/>
  <c r="D16" i="10"/>
  <c r="D57" i="10"/>
  <c r="D76" i="10"/>
  <c r="D32" i="10"/>
  <c r="D81" i="10"/>
  <c r="D21" i="10"/>
  <c r="D48" i="10"/>
  <c r="G22" i="10"/>
  <c r="G30" i="10"/>
  <c r="G38" i="10"/>
  <c r="G46" i="10"/>
  <c r="G54" i="10"/>
  <c r="G62" i="10"/>
  <c r="G70" i="10"/>
  <c r="G78" i="10"/>
  <c r="G80" i="10"/>
  <c r="G64" i="10"/>
  <c r="G75" i="10"/>
  <c r="G59" i="10"/>
  <c r="G43" i="10"/>
  <c r="G27" i="10"/>
  <c r="G50" i="10"/>
  <c r="G18" i="10"/>
  <c r="G24" i="10"/>
  <c r="G48" i="10"/>
  <c r="G20" i="10"/>
  <c r="G77" i="10"/>
  <c r="G61" i="10"/>
  <c r="G45" i="10"/>
  <c r="G29" i="10"/>
  <c r="G76" i="10"/>
  <c r="G60" i="10"/>
  <c r="G71" i="10"/>
  <c r="G55" i="10"/>
  <c r="G39" i="10"/>
  <c r="G23" i="10"/>
  <c r="G74" i="10"/>
  <c r="G42" i="10"/>
  <c r="G52" i="10"/>
  <c r="G72" i="10"/>
  <c r="G67" i="10"/>
  <c r="G35" i="10"/>
  <c r="G66" i="10"/>
  <c r="G44" i="10"/>
  <c r="G56" i="10"/>
  <c r="G16" i="10"/>
  <c r="G69" i="10"/>
  <c r="G49" i="10"/>
  <c r="G25" i="10"/>
  <c r="G65" i="10"/>
  <c r="G21" i="10"/>
  <c r="G51" i="10"/>
  <c r="G32" i="10"/>
  <c r="G81" i="10"/>
  <c r="G37" i="10"/>
  <c r="G15" i="10"/>
  <c r="G26" i="10"/>
  <c r="G53" i="10"/>
  <c r="G68" i="10"/>
  <c r="G63" i="10"/>
  <c r="G31" i="10"/>
  <c r="G58" i="10"/>
  <c r="G36" i="10"/>
  <c r="G40" i="10"/>
  <c r="G41" i="10"/>
  <c r="G19" i="10"/>
  <c r="G34" i="10"/>
  <c r="G57" i="10"/>
  <c r="G17" i="10"/>
  <c r="G79" i="10"/>
  <c r="G47" i="10"/>
  <c r="G28" i="10"/>
  <c r="G73" i="10"/>
  <c r="G33" i="10"/>
  <c r="H21" i="1"/>
  <c r="J32" i="2" s="1"/>
  <c r="O16" i="1"/>
  <c r="O12" i="1" s="1"/>
  <c r="C14" i="2"/>
  <c r="C33" i="2" s="1"/>
  <c r="C35" i="2" s="1"/>
  <c r="C16" i="1"/>
  <c r="K47" i="9" l="1"/>
  <c r="C58" i="9"/>
  <c r="C57" i="9"/>
  <c r="C55" i="9"/>
  <c r="C54" i="9"/>
  <c r="C53" i="9"/>
  <c r="C51" i="9"/>
  <c r="C52" i="9"/>
  <c r="C50" i="9"/>
  <c r="C49" i="9"/>
  <c r="C48" i="9"/>
  <c r="C56" i="9"/>
  <c r="C47" i="9"/>
  <c r="L49" i="9"/>
  <c r="L50" i="9"/>
  <c r="L48" i="9"/>
  <c r="U15" i="12"/>
  <c r="N56" i="9"/>
  <c r="N57" i="9"/>
  <c r="C17" i="2"/>
  <c r="C13" i="2" s="1"/>
  <c r="U37" i="12"/>
  <c r="L47" i="9"/>
  <c r="L55" i="9"/>
  <c r="L53" i="9"/>
  <c r="AL36" i="12"/>
  <c r="U102" i="12"/>
  <c r="AL58" i="12"/>
  <c r="L54" i="9"/>
  <c r="N50" i="9"/>
  <c r="L51" i="9"/>
  <c r="AL124" i="12"/>
  <c r="N49" i="9"/>
  <c r="N51" i="9"/>
  <c r="N55" i="9"/>
  <c r="N48" i="9"/>
  <c r="L57" i="9"/>
  <c r="U81" i="12"/>
  <c r="U59" i="12"/>
  <c r="N53" i="9"/>
  <c r="N54" i="9"/>
  <c r="N46" i="9"/>
  <c r="L52" i="9"/>
  <c r="N52" i="9"/>
  <c r="N58" i="9"/>
  <c r="N47" i="9"/>
  <c r="U124" i="12"/>
  <c r="AL146" i="12"/>
  <c r="AE16" i="12"/>
  <c r="AB16" i="12"/>
  <c r="AC16" i="12"/>
  <c r="W17" i="12"/>
  <c r="AE17" i="12" s="1"/>
  <c r="T17" i="12"/>
  <c r="AK60" i="12"/>
  <c r="S84" i="12"/>
  <c r="S105" i="12"/>
  <c r="W104" i="12"/>
  <c r="AE104" i="12" s="1"/>
  <c r="S62" i="12"/>
  <c r="AJ126" i="12"/>
  <c r="AN126" i="12" s="1"/>
  <c r="AV126" i="12" s="1"/>
  <c r="S40" i="12"/>
  <c r="AJ61" i="12"/>
  <c r="AN60" i="12"/>
  <c r="AV60" i="12" s="1"/>
  <c r="T61" i="12"/>
  <c r="W61" i="12" s="1"/>
  <c r="AE61" i="12" s="1"/>
  <c r="AJ83" i="12"/>
  <c r="AN83" i="12" s="1"/>
  <c r="AV83" i="12" s="1"/>
  <c r="AT82" i="12"/>
  <c r="AK38" i="12"/>
  <c r="AT125" i="12"/>
  <c r="AS37" i="12"/>
  <c r="AT37" i="12"/>
  <c r="AB38" i="12"/>
  <c r="AC38" i="12"/>
  <c r="AS59" i="12"/>
  <c r="AT59" i="12"/>
  <c r="T104" i="12"/>
  <c r="T126" i="12"/>
  <c r="AB125" i="12"/>
  <c r="AC125" i="12"/>
  <c r="AK125" i="12"/>
  <c r="T83" i="12"/>
  <c r="W83" i="12" s="1"/>
  <c r="AE83" i="12" s="1"/>
  <c r="AK17" i="12"/>
  <c r="AL17" i="12" s="1"/>
  <c r="AJ39" i="12"/>
  <c r="AN38" i="12"/>
  <c r="AV38" i="12" s="1"/>
  <c r="T39" i="12"/>
  <c r="AK82" i="12"/>
  <c r="AK147" i="12"/>
  <c r="AS81" i="12"/>
  <c r="AL81" i="12" s="1"/>
  <c r="S127" i="12"/>
  <c r="W126" i="12"/>
  <c r="AE126" i="12" s="1"/>
  <c r="AB82" i="12"/>
  <c r="AC82" i="12"/>
  <c r="AB103" i="12"/>
  <c r="AC103" i="12"/>
  <c r="AB60" i="12"/>
  <c r="AC60" i="12"/>
  <c r="AK103" i="12"/>
  <c r="AL103" i="12" s="1"/>
  <c r="AT147" i="12"/>
  <c r="AJ148" i="12"/>
  <c r="AN148" i="12" s="1"/>
  <c r="AV148" i="12" s="1"/>
  <c r="S18" i="12"/>
  <c r="C12" i="1"/>
  <c r="C19" i="1" s="1"/>
  <c r="C22" i="1" s="1"/>
  <c r="C28" i="1" s="1"/>
  <c r="J18" i="10"/>
  <c r="J30" i="10"/>
  <c r="J38" i="10"/>
  <c r="J46" i="10"/>
  <c r="J54" i="10"/>
  <c r="J62" i="10"/>
  <c r="J17" i="10"/>
  <c r="J22" i="10"/>
  <c r="J26" i="10"/>
  <c r="J34" i="10"/>
  <c r="J42" i="10"/>
  <c r="J50" i="10"/>
  <c r="J58" i="10"/>
  <c r="J66" i="10"/>
  <c r="J74" i="10"/>
  <c r="J27" i="10"/>
  <c r="J43" i="10"/>
  <c r="J59" i="10"/>
  <c r="J70" i="10"/>
  <c r="J78" i="10"/>
  <c r="J15" i="10"/>
  <c r="J31" i="10"/>
  <c r="J47" i="10"/>
  <c r="J63" i="10"/>
  <c r="J71" i="10"/>
  <c r="J79" i="10"/>
  <c r="J75" i="10"/>
  <c r="J39" i="10"/>
  <c r="J77" i="10"/>
  <c r="J61" i="10"/>
  <c r="J45" i="10"/>
  <c r="J29" i="10"/>
  <c r="J68" i="10"/>
  <c r="J52" i="10"/>
  <c r="J36" i="10"/>
  <c r="J20" i="10"/>
  <c r="J67" i="10"/>
  <c r="J35" i="10"/>
  <c r="J14" i="10"/>
  <c r="J73" i="10"/>
  <c r="J57" i="10"/>
  <c r="J41" i="10"/>
  <c r="J25" i="10"/>
  <c r="J80" i="10"/>
  <c r="J64" i="10"/>
  <c r="J48" i="10"/>
  <c r="J32" i="10"/>
  <c r="J16" i="10"/>
  <c r="J55" i="10"/>
  <c r="J69" i="10"/>
  <c r="J37" i="10"/>
  <c r="J76" i="10"/>
  <c r="J44" i="10"/>
  <c r="J40" i="10"/>
  <c r="J23" i="10"/>
  <c r="J21" i="10"/>
  <c r="J28" i="10"/>
  <c r="J49" i="10"/>
  <c r="J56" i="10"/>
  <c r="J51" i="10"/>
  <c r="J65" i="10"/>
  <c r="J33" i="10"/>
  <c r="J72" i="10"/>
  <c r="J53" i="10"/>
  <c r="J60" i="10"/>
  <c r="J19" i="10"/>
  <c r="J81" i="10"/>
  <c r="J24" i="10"/>
  <c r="O15" i="1"/>
  <c r="J27" i="1" s="1"/>
  <c r="O19" i="1"/>
  <c r="O22" i="1" s="1"/>
  <c r="G21" i="1"/>
  <c r="I32" i="2" s="1"/>
  <c r="U60" i="12" l="1"/>
  <c r="U82" i="12"/>
  <c r="U125" i="12"/>
  <c r="AL59" i="12"/>
  <c r="AL37" i="12"/>
  <c r="C20" i="2"/>
  <c r="J26" i="2"/>
  <c r="O25" i="1"/>
  <c r="O31" i="1" s="1"/>
  <c r="K27" i="1"/>
  <c r="U38" i="12"/>
  <c r="U16" i="12"/>
  <c r="U103" i="12"/>
  <c r="AC17" i="12"/>
  <c r="AK148" i="12"/>
  <c r="AB17" i="12"/>
  <c r="C15" i="1"/>
  <c r="F27" i="1" s="1"/>
  <c r="T40" i="12"/>
  <c r="W39" i="12"/>
  <c r="AE39" i="12" s="1"/>
  <c r="AK104" i="12"/>
  <c r="AL104" i="12" s="1"/>
  <c r="T84" i="12"/>
  <c r="T62" i="12"/>
  <c r="AK83" i="12"/>
  <c r="AS125" i="12"/>
  <c r="AL125" i="12" s="1"/>
  <c r="AS82" i="12"/>
  <c r="AL82" i="12" s="1"/>
  <c r="AJ149" i="12"/>
  <c r="AN149" i="12" s="1"/>
  <c r="AV149" i="12" s="1"/>
  <c r="S41" i="12"/>
  <c r="W40" i="12"/>
  <c r="AE40" i="12" s="1"/>
  <c r="S106" i="12"/>
  <c r="W105" i="12"/>
  <c r="AE105" i="12" s="1"/>
  <c r="AT148" i="12"/>
  <c r="AB126" i="12"/>
  <c r="AC126" i="12"/>
  <c r="AS38" i="12"/>
  <c r="AT38" i="12"/>
  <c r="AS60" i="12"/>
  <c r="AT60" i="12"/>
  <c r="AS147" i="12"/>
  <c r="AL147" i="12" s="1"/>
  <c r="AB61" i="12"/>
  <c r="AC61" i="12"/>
  <c r="AB83" i="12"/>
  <c r="AC83" i="12"/>
  <c r="AJ40" i="12"/>
  <c r="AN39" i="12"/>
  <c r="AV39" i="12" s="1"/>
  <c r="T127" i="12"/>
  <c r="AJ62" i="12"/>
  <c r="AN61" i="12"/>
  <c r="AV61" i="12" s="1"/>
  <c r="T18" i="12"/>
  <c r="W18" i="12" s="1"/>
  <c r="S63" i="12"/>
  <c r="W62" i="12"/>
  <c r="AE62" i="12" s="1"/>
  <c r="S85" i="12"/>
  <c r="W84" i="12"/>
  <c r="AE84" i="12" s="1"/>
  <c r="S128" i="12"/>
  <c r="W127" i="12"/>
  <c r="AE127" i="12" s="1"/>
  <c r="AK18" i="12"/>
  <c r="AL18" i="12" s="1"/>
  <c r="AK126" i="12"/>
  <c r="T105" i="12"/>
  <c r="AK39" i="12"/>
  <c r="AJ84" i="12"/>
  <c r="AN84" i="12" s="1"/>
  <c r="AV84" i="12" s="1"/>
  <c r="AT83" i="12"/>
  <c r="AT126" i="12"/>
  <c r="AJ127" i="12"/>
  <c r="AN127" i="12" s="1"/>
  <c r="AV127" i="12" s="1"/>
  <c r="AB104" i="12"/>
  <c r="AC104" i="12"/>
  <c r="AK61" i="12"/>
  <c r="S19" i="12"/>
  <c r="M53" i="10"/>
  <c r="M57" i="10"/>
  <c r="M72" i="10"/>
  <c r="M79" i="10"/>
  <c r="M15" i="10"/>
  <c r="M26" i="10"/>
  <c r="M52" i="10"/>
  <c r="M59" i="10"/>
  <c r="M49" i="10"/>
  <c r="M39" i="10"/>
  <c r="M50" i="10"/>
  <c r="M23" i="10"/>
  <c r="M51" i="10"/>
  <c r="M60" i="10"/>
  <c r="M78" i="10"/>
  <c r="M55" i="10"/>
  <c r="M19" i="10"/>
  <c r="O35" i="1"/>
  <c r="O37" i="1" s="1"/>
  <c r="C30" i="1"/>
  <c r="C16" i="2"/>
  <c r="M71" i="10" l="1"/>
  <c r="M76" i="10"/>
  <c r="M35" i="10"/>
  <c r="M44" i="10"/>
  <c r="M34" i="10"/>
  <c r="M75" i="10"/>
  <c r="M42" i="10"/>
  <c r="M24" i="10"/>
  <c r="M41" i="10"/>
  <c r="M22" i="10"/>
  <c r="M81" i="10"/>
  <c r="M67" i="10"/>
  <c r="M18" i="10"/>
  <c r="M77" i="10"/>
  <c r="M80" i="10"/>
  <c r="M54" i="10"/>
  <c r="M32" i="10"/>
  <c r="M27" i="10"/>
  <c r="M20" i="10"/>
  <c r="M29" i="10"/>
  <c r="M58" i="10"/>
  <c r="M47" i="10"/>
  <c r="M40" i="10"/>
  <c r="M65" i="10"/>
  <c r="M25" i="10"/>
  <c r="M21" i="10"/>
  <c r="M48" i="10"/>
  <c r="M45" i="10"/>
  <c r="M16" i="10"/>
  <c r="M70" i="10"/>
  <c r="M68" i="10"/>
  <c r="M31" i="10"/>
  <c r="M33" i="10"/>
  <c r="M37" i="10"/>
  <c r="M38" i="10"/>
  <c r="M66" i="10"/>
  <c r="M30" i="10"/>
  <c r="M28" i="10"/>
  <c r="M62" i="10"/>
  <c r="M46" i="10"/>
  <c r="M17" i="10"/>
  <c r="M14" i="10"/>
  <c r="M64" i="10"/>
  <c r="M43" i="10"/>
  <c r="M36" i="10"/>
  <c r="M61" i="10"/>
  <c r="M74" i="10"/>
  <c r="M63" i="10"/>
  <c r="M56" i="10"/>
  <c r="M73" i="10"/>
  <c r="M69" i="10"/>
  <c r="U83" i="12"/>
  <c r="U17" i="12"/>
  <c r="J39" i="2"/>
  <c r="C23" i="2" s="1"/>
  <c r="B30" i="2" s="1"/>
  <c r="K39" i="2"/>
  <c r="AL60" i="12"/>
  <c r="U126" i="12"/>
  <c r="U104" i="12"/>
  <c r="U61" i="12"/>
  <c r="AL38" i="12"/>
  <c r="AC39" i="12"/>
  <c r="AB39" i="12"/>
  <c r="AE18" i="12"/>
  <c r="AB18" i="12"/>
  <c r="AC18" i="12"/>
  <c r="AK62" i="12"/>
  <c r="T63" i="12"/>
  <c r="AK84" i="12"/>
  <c r="T106" i="12"/>
  <c r="AS83" i="12"/>
  <c r="AL83" i="12" s="1"/>
  <c r="AS127" i="12"/>
  <c r="AT127" i="12"/>
  <c r="AJ41" i="12"/>
  <c r="AN40" i="12"/>
  <c r="AV40" i="12" s="1"/>
  <c r="AK127" i="12"/>
  <c r="AB127" i="12"/>
  <c r="AC127" i="12"/>
  <c r="AK149" i="12"/>
  <c r="S64" i="12"/>
  <c r="W63" i="12"/>
  <c r="AE63" i="12" s="1"/>
  <c r="T128" i="12"/>
  <c r="T41" i="12"/>
  <c r="S107" i="12"/>
  <c r="W106" i="12"/>
  <c r="AE106" i="12" s="1"/>
  <c r="AB62" i="12"/>
  <c r="AC62" i="12"/>
  <c r="AK19" i="12"/>
  <c r="AL19" i="12" s="1"/>
  <c r="AB84" i="12"/>
  <c r="AC84" i="12"/>
  <c r="T19" i="12"/>
  <c r="W19" i="12" s="1"/>
  <c r="T85" i="12"/>
  <c r="AS126" i="12"/>
  <c r="AL126" i="12" s="1"/>
  <c r="AB40" i="12"/>
  <c r="AC40" i="12"/>
  <c r="AJ150" i="12"/>
  <c r="AN150" i="12" s="1"/>
  <c r="AV150" i="12" s="1"/>
  <c r="AJ63" i="12"/>
  <c r="AN62" i="12"/>
  <c r="AV62" i="12" s="1"/>
  <c r="AB105" i="12"/>
  <c r="AC105" i="12"/>
  <c r="AJ85" i="12"/>
  <c r="AN85" i="12" s="1"/>
  <c r="AV85" i="12" s="1"/>
  <c r="AT84" i="12"/>
  <c r="S129" i="12"/>
  <c r="W128" i="12"/>
  <c r="AE128" i="12" s="1"/>
  <c r="AJ128" i="12"/>
  <c r="AN128" i="12" s="1"/>
  <c r="AV128" i="12" s="1"/>
  <c r="AK40" i="12"/>
  <c r="AK105" i="12"/>
  <c r="AL105" i="12" s="1"/>
  <c r="S86" i="12"/>
  <c r="W85" i="12"/>
  <c r="AE85" i="12" s="1"/>
  <c r="AS61" i="12"/>
  <c r="AT61" i="12"/>
  <c r="AS39" i="12"/>
  <c r="AT39" i="12"/>
  <c r="S42" i="12"/>
  <c r="W41" i="12"/>
  <c r="AE41" i="12" s="1"/>
  <c r="AT149" i="12"/>
  <c r="AS148" i="12"/>
  <c r="AL148" i="12" s="1"/>
  <c r="S20" i="12"/>
  <c r="C25" i="1"/>
  <c r="G27" i="1"/>
  <c r="C25" i="2"/>
  <c r="C30" i="2" s="1"/>
  <c r="U39" i="12" l="1"/>
  <c r="AL61" i="12"/>
  <c r="U40" i="12"/>
  <c r="U62" i="12"/>
  <c r="AL39" i="12"/>
  <c r="AL127" i="12"/>
  <c r="U84" i="12"/>
  <c r="U18" i="12"/>
  <c r="U105" i="12"/>
  <c r="U127" i="12"/>
  <c r="AE19" i="12"/>
  <c r="AB19" i="12"/>
  <c r="AC19" i="12"/>
  <c r="W20" i="12"/>
  <c r="AE20" i="12" s="1"/>
  <c r="AK41" i="12"/>
  <c r="D80" i="12" s="1"/>
  <c r="T107" i="12"/>
  <c r="D76" i="12" s="1"/>
  <c r="AK128" i="12"/>
  <c r="D84" i="12" s="1"/>
  <c r="T64" i="12"/>
  <c r="AS128" i="12"/>
  <c r="AT128" i="12"/>
  <c r="W107" i="12"/>
  <c r="AE107" i="12" s="1"/>
  <c r="AB85" i="12"/>
  <c r="AC85" i="12"/>
  <c r="AS84" i="12"/>
  <c r="AL84" i="12" s="1"/>
  <c r="S281" i="12"/>
  <c r="V281" i="12" s="1"/>
  <c r="W281" i="12" s="1"/>
  <c r="T42" i="12"/>
  <c r="W42" i="12" s="1"/>
  <c r="AE42" i="12" s="1"/>
  <c r="AK150" i="12"/>
  <c r="D85" i="12" s="1"/>
  <c r="AK85" i="12"/>
  <c r="D82" i="12" s="1"/>
  <c r="AK63" i="12"/>
  <c r="D81" i="12" s="1"/>
  <c r="AB128" i="12"/>
  <c r="AC128" i="12"/>
  <c r="AS62" i="12"/>
  <c r="AT62" i="12"/>
  <c r="AL62" i="12" s="1"/>
  <c r="AT150" i="12"/>
  <c r="AS149" i="12"/>
  <c r="AL149" i="12" s="1"/>
  <c r="T86" i="12"/>
  <c r="AK20" i="12"/>
  <c r="AL20" i="12" s="1"/>
  <c r="T129" i="12"/>
  <c r="D77" i="12" s="1"/>
  <c r="AS40" i="12"/>
  <c r="AT40" i="12"/>
  <c r="AB41" i="12"/>
  <c r="AC41" i="12"/>
  <c r="AK106" i="12"/>
  <c r="AL106" i="12" s="1"/>
  <c r="W129" i="12"/>
  <c r="AE129" i="12" s="1"/>
  <c r="AT85" i="12"/>
  <c r="AN63" i="12"/>
  <c r="AV63" i="12" s="1"/>
  <c r="T20" i="12"/>
  <c r="D73" i="12" s="1"/>
  <c r="AB106" i="12"/>
  <c r="AC106" i="12"/>
  <c r="U106" i="12" s="1"/>
  <c r="AB63" i="12"/>
  <c r="AC63" i="12"/>
  <c r="AN41" i="12"/>
  <c r="AV41" i="12" s="1"/>
  <c r="U19" i="12" l="1"/>
  <c r="U63" i="12"/>
  <c r="U85" i="12"/>
  <c r="U41" i="12"/>
  <c r="M73" i="12"/>
  <c r="U128" i="12"/>
  <c r="M85" i="12"/>
  <c r="M80" i="12"/>
  <c r="M77" i="12"/>
  <c r="M81" i="12"/>
  <c r="M84" i="12"/>
  <c r="AL40" i="12"/>
  <c r="M82" i="12"/>
  <c r="AL128" i="12"/>
  <c r="M76" i="12"/>
  <c r="AC20" i="12"/>
  <c r="N58" i="12"/>
  <c r="P58" i="12" s="1"/>
  <c r="D83" i="12"/>
  <c r="W86" i="12"/>
  <c r="AE86" i="12" s="1"/>
  <c r="D75" i="12"/>
  <c r="W64" i="12"/>
  <c r="AE64" i="12" s="1"/>
  <c r="D74" i="12"/>
  <c r="N54" i="12"/>
  <c r="P54" i="12" s="1"/>
  <c r="D78" i="12"/>
  <c r="D79" i="12"/>
  <c r="AB20" i="12"/>
  <c r="AS41" i="12"/>
  <c r="AT41" i="12"/>
  <c r="AB129" i="12"/>
  <c r="AC129" i="12"/>
  <c r="AB42" i="12"/>
  <c r="AC42" i="12"/>
  <c r="T281" i="12"/>
  <c r="AS85" i="12"/>
  <c r="AL85" i="12" s="1"/>
  <c r="AB281" i="12"/>
  <c r="AC281" i="12"/>
  <c r="AS63" i="12"/>
  <c r="AT63" i="12"/>
  <c r="AS150" i="12"/>
  <c r="AL150" i="12" s="1"/>
  <c r="AB107" i="12"/>
  <c r="AC107" i="12"/>
  <c r="U107" i="12" s="1"/>
  <c r="U42" i="12" l="1"/>
  <c r="AL41" i="12"/>
  <c r="U20" i="12"/>
  <c r="AD19" i="12" s="1"/>
  <c r="AF19" i="12" s="1"/>
  <c r="M74" i="12"/>
  <c r="M78" i="12"/>
  <c r="M75" i="12"/>
  <c r="M83" i="12"/>
  <c r="AL63" i="12"/>
  <c r="U129" i="12"/>
  <c r="N77" i="12" s="1"/>
  <c r="M79" i="12"/>
  <c r="AC86" i="12"/>
  <c r="AU15" i="12"/>
  <c r="AW15" i="12" s="1"/>
  <c r="AU5" i="12"/>
  <c r="AU9" i="12"/>
  <c r="AW9" i="12" s="1"/>
  <c r="AU14" i="12"/>
  <c r="AW14" i="12" s="1"/>
  <c r="AU10" i="12"/>
  <c r="AW10" i="12" s="1"/>
  <c r="AU11" i="12"/>
  <c r="AW11" i="12" s="1"/>
  <c r="AU12" i="12"/>
  <c r="AW12" i="12" s="1"/>
  <c r="AU18" i="12"/>
  <c r="AW18" i="12" s="1"/>
  <c r="AU7" i="12"/>
  <c r="AW7" i="12" s="1"/>
  <c r="AU20" i="12"/>
  <c r="AW20" i="12" s="1"/>
  <c r="P79" i="12" s="1"/>
  <c r="AU19" i="12"/>
  <c r="AW19" i="12" s="1"/>
  <c r="AU6" i="12"/>
  <c r="AW6" i="12" s="1"/>
  <c r="AU16" i="12"/>
  <c r="AW16" i="12" s="1"/>
  <c r="AU13" i="12"/>
  <c r="AW13" i="12" s="1"/>
  <c r="AU17" i="12"/>
  <c r="AW17" i="12" s="1"/>
  <c r="AU8" i="12"/>
  <c r="AW8" i="12" s="1"/>
  <c r="N81" i="12"/>
  <c r="AU83" i="12"/>
  <c r="AW83" i="12" s="1"/>
  <c r="AU74" i="12"/>
  <c r="AW74" i="12" s="1"/>
  <c r="AU85" i="12"/>
  <c r="AW85" i="12" s="1"/>
  <c r="P82" i="12" s="1"/>
  <c r="AU78" i="12"/>
  <c r="AW78" i="12" s="1"/>
  <c r="AU70" i="12"/>
  <c r="AU77" i="12"/>
  <c r="AW77" i="12" s="1"/>
  <c r="AU84" i="12"/>
  <c r="AW84" i="12" s="1"/>
  <c r="AU82" i="12"/>
  <c r="AW82" i="12" s="1"/>
  <c r="AU75" i="12"/>
  <c r="AW75" i="12" s="1"/>
  <c r="AU73" i="12"/>
  <c r="AW73" i="12" s="1"/>
  <c r="AU71" i="12"/>
  <c r="AW71" i="12" s="1"/>
  <c r="AU80" i="12"/>
  <c r="AW80" i="12" s="1"/>
  <c r="AU72" i="12"/>
  <c r="AW72" i="12" s="1"/>
  <c r="AU81" i="12"/>
  <c r="AW81" i="12" s="1"/>
  <c r="AU76" i="12"/>
  <c r="AW76" i="12" s="1"/>
  <c r="AU79" i="12"/>
  <c r="AW79" i="12" s="1"/>
  <c r="N82" i="12"/>
  <c r="AU97" i="12"/>
  <c r="AW97" i="12" s="1"/>
  <c r="AU103" i="12"/>
  <c r="AW103" i="12" s="1"/>
  <c r="AU92" i="12"/>
  <c r="AW92" i="12" s="1"/>
  <c r="AU100" i="12"/>
  <c r="AW100" i="12" s="1"/>
  <c r="AU93" i="12"/>
  <c r="AW93" i="12" s="1"/>
  <c r="AU99" i="12"/>
  <c r="AW99" i="12" s="1"/>
  <c r="AU101" i="12"/>
  <c r="AW101" i="12" s="1"/>
  <c r="AU98" i="12"/>
  <c r="AW98" i="12" s="1"/>
  <c r="AU94" i="12"/>
  <c r="AW94" i="12" s="1"/>
  <c r="AU102" i="12"/>
  <c r="AW102" i="12" s="1"/>
  <c r="AU104" i="12"/>
  <c r="AW104" i="12" s="1"/>
  <c r="AU91" i="12"/>
  <c r="AU106" i="12"/>
  <c r="AW106" i="12" s="1"/>
  <c r="P83" i="12" s="1"/>
  <c r="AU95" i="12"/>
  <c r="AW95" i="12" s="1"/>
  <c r="AU96" i="12"/>
  <c r="AW96" i="12" s="1"/>
  <c r="AU105" i="12"/>
  <c r="AW105" i="12" s="1"/>
  <c r="N83" i="12"/>
  <c r="AU122" i="12"/>
  <c r="AW122" i="12" s="1"/>
  <c r="AU116" i="12"/>
  <c r="AW116" i="12" s="1"/>
  <c r="AU127" i="12"/>
  <c r="AW127" i="12" s="1"/>
  <c r="AU114" i="12"/>
  <c r="AW114" i="12" s="1"/>
  <c r="AU124" i="12"/>
  <c r="AW124" i="12" s="1"/>
  <c r="AU128" i="12"/>
  <c r="AW128" i="12" s="1"/>
  <c r="P84" i="12" s="1"/>
  <c r="AU126" i="12"/>
  <c r="AW126" i="12" s="1"/>
  <c r="AU113" i="12"/>
  <c r="AU125" i="12"/>
  <c r="AW125" i="12" s="1"/>
  <c r="AU121" i="12"/>
  <c r="AW121" i="12" s="1"/>
  <c r="AU115" i="12"/>
  <c r="AW115" i="12" s="1"/>
  <c r="AU120" i="12"/>
  <c r="AW120" i="12" s="1"/>
  <c r="AU119" i="12"/>
  <c r="AW119" i="12" s="1"/>
  <c r="AU118" i="12"/>
  <c r="AW118" i="12" s="1"/>
  <c r="AU117" i="12"/>
  <c r="AW117" i="12" s="1"/>
  <c r="AU123" i="12"/>
  <c r="AW123" i="12" s="1"/>
  <c r="N84" i="12"/>
  <c r="AU137" i="12"/>
  <c r="AW137" i="12" s="1"/>
  <c r="AU141" i="12"/>
  <c r="AW141" i="12" s="1"/>
  <c r="AU148" i="12"/>
  <c r="AW148" i="12" s="1"/>
  <c r="AU145" i="12"/>
  <c r="AW145" i="12" s="1"/>
  <c r="AU150" i="12"/>
  <c r="AW150" i="12" s="1"/>
  <c r="P85" i="12" s="1"/>
  <c r="AU142" i="12"/>
  <c r="AW142" i="12" s="1"/>
  <c r="AU138" i="12"/>
  <c r="AW138" i="12" s="1"/>
  <c r="AU140" i="12"/>
  <c r="AW140" i="12" s="1"/>
  <c r="AU146" i="12"/>
  <c r="AW146" i="12" s="1"/>
  <c r="AU149" i="12"/>
  <c r="AW149" i="12" s="1"/>
  <c r="AU136" i="12"/>
  <c r="AW136" i="12" s="1"/>
  <c r="AU147" i="12"/>
  <c r="AW147" i="12" s="1"/>
  <c r="AU143" i="12"/>
  <c r="AW143" i="12" s="1"/>
  <c r="AU144" i="12"/>
  <c r="AW144" i="12" s="1"/>
  <c r="AU139" i="12"/>
  <c r="AW139" i="12" s="1"/>
  <c r="AU135" i="12"/>
  <c r="AC64" i="12"/>
  <c r="AB86" i="12"/>
  <c r="AB64" i="12"/>
  <c r="N57" i="12"/>
  <c r="P57" i="12" s="1"/>
  <c r="N59" i="12"/>
  <c r="P59" i="12" s="1"/>
  <c r="N60" i="12"/>
  <c r="P60" i="12" s="1"/>
  <c r="U64" i="12" l="1"/>
  <c r="N53" i="12"/>
  <c r="P53" i="12" s="1"/>
  <c r="AD16" i="12"/>
  <c r="AF16" i="12" s="1"/>
  <c r="U86" i="12"/>
  <c r="N75" i="12" s="1"/>
  <c r="N48" i="12"/>
  <c r="AD9" i="12"/>
  <c r="AF9" i="12" s="1"/>
  <c r="AD20" i="12"/>
  <c r="AF20" i="12" s="1"/>
  <c r="P73" i="12" s="1"/>
  <c r="AD11" i="12"/>
  <c r="AF11" i="12" s="1"/>
  <c r="AD6" i="12"/>
  <c r="AF6" i="12" s="1"/>
  <c r="AD13" i="12"/>
  <c r="AF13" i="12" s="1"/>
  <c r="AD15" i="12"/>
  <c r="AF15" i="12" s="1"/>
  <c r="AD17" i="12"/>
  <c r="AF17" i="12" s="1"/>
  <c r="AD14" i="12"/>
  <c r="AF14" i="12" s="1"/>
  <c r="AD7" i="12"/>
  <c r="AF7" i="12" s="1"/>
  <c r="AD8" i="12"/>
  <c r="AF8" i="12" s="1"/>
  <c r="AD12" i="12"/>
  <c r="AF12" i="12" s="1"/>
  <c r="AD18" i="12"/>
  <c r="AF18" i="12" s="1"/>
  <c r="AD5" i="12"/>
  <c r="M46" i="9" s="1"/>
  <c r="O46" i="9" s="1"/>
  <c r="AD10" i="12"/>
  <c r="AF10" i="12" s="1"/>
  <c r="AW70" i="12"/>
  <c r="M55" i="9"/>
  <c r="O55" i="9" s="1"/>
  <c r="AW5" i="12"/>
  <c r="M52" i="9"/>
  <c r="O52" i="9" s="1"/>
  <c r="AW135" i="12"/>
  <c r="M58" i="9"/>
  <c r="O58" i="9" s="1"/>
  <c r="AW91" i="12"/>
  <c r="M56" i="9"/>
  <c r="O56" i="9" s="1"/>
  <c r="AW113" i="12"/>
  <c r="M57" i="9"/>
  <c r="O57" i="9" s="1"/>
  <c r="AD121" i="12"/>
  <c r="AF121" i="12" s="1"/>
  <c r="AD126" i="12"/>
  <c r="AF126" i="12" s="1"/>
  <c r="AD127" i="12"/>
  <c r="AF127" i="12" s="1"/>
  <c r="AD114" i="12"/>
  <c r="AD118" i="12"/>
  <c r="AF118" i="12" s="1"/>
  <c r="AD125" i="12"/>
  <c r="AF125" i="12" s="1"/>
  <c r="AD122" i="12"/>
  <c r="AF122" i="12" s="1"/>
  <c r="AD115" i="12"/>
  <c r="AF115" i="12" s="1"/>
  <c r="AD128" i="12"/>
  <c r="AF128" i="12" s="1"/>
  <c r="AD123" i="12"/>
  <c r="AF123" i="12" s="1"/>
  <c r="AD116" i="12"/>
  <c r="AF116" i="12" s="1"/>
  <c r="AD129" i="12"/>
  <c r="AF129" i="12" s="1"/>
  <c r="P78" i="12" s="1"/>
  <c r="AD119" i="12"/>
  <c r="AF119" i="12" s="1"/>
  <c r="AD117" i="12"/>
  <c r="AF117" i="12" s="1"/>
  <c r="AD124" i="12"/>
  <c r="AF124" i="12" s="1"/>
  <c r="AD120" i="12"/>
  <c r="AF120" i="12" s="1"/>
  <c r="N79" i="12"/>
  <c r="AU41" i="12"/>
  <c r="AW41" i="12" s="1"/>
  <c r="P80" i="12" s="1"/>
  <c r="AU33" i="12"/>
  <c r="AW33" i="12" s="1"/>
  <c r="AU26" i="12"/>
  <c r="AU30" i="12"/>
  <c r="AW30" i="12" s="1"/>
  <c r="AU27" i="12"/>
  <c r="AW27" i="12" s="1"/>
  <c r="AU39" i="12"/>
  <c r="AW39" i="12" s="1"/>
  <c r="AU36" i="12"/>
  <c r="AW36" i="12" s="1"/>
  <c r="AU40" i="12"/>
  <c r="AW40" i="12" s="1"/>
  <c r="AU32" i="12"/>
  <c r="AW32" i="12" s="1"/>
  <c r="AU31" i="12"/>
  <c r="AW31" i="12" s="1"/>
  <c r="AU38" i="12"/>
  <c r="AW38" i="12" s="1"/>
  <c r="AU29" i="12"/>
  <c r="AW29" i="12" s="1"/>
  <c r="AU37" i="12"/>
  <c r="AW37" i="12" s="1"/>
  <c r="AU34" i="12"/>
  <c r="AW34" i="12" s="1"/>
  <c r="AU28" i="12"/>
  <c r="AW28" i="12" s="1"/>
  <c r="AU35" i="12"/>
  <c r="AW35" i="12" s="1"/>
  <c r="N80" i="12"/>
  <c r="AU55" i="12"/>
  <c r="AW55" i="12" s="1"/>
  <c r="AU50" i="12"/>
  <c r="AW50" i="12" s="1"/>
  <c r="AU59" i="12"/>
  <c r="AW59" i="12" s="1"/>
  <c r="AU63" i="12"/>
  <c r="AW63" i="12" s="1"/>
  <c r="P81" i="12" s="1"/>
  <c r="AU58" i="12"/>
  <c r="AW58" i="12" s="1"/>
  <c r="AU48" i="12"/>
  <c r="AU62" i="12"/>
  <c r="AW62" i="12" s="1"/>
  <c r="AU56" i="12"/>
  <c r="AW56" i="12" s="1"/>
  <c r="AU53" i="12"/>
  <c r="AW53" i="12" s="1"/>
  <c r="AU54" i="12"/>
  <c r="AW54" i="12" s="1"/>
  <c r="AU51" i="12"/>
  <c r="AW51" i="12" s="1"/>
  <c r="AU57" i="12"/>
  <c r="AW57" i="12" s="1"/>
  <c r="AU49" i="12"/>
  <c r="AW49" i="12" s="1"/>
  <c r="AU52" i="12"/>
  <c r="AW52" i="12" s="1"/>
  <c r="AU60" i="12"/>
  <c r="AW60" i="12" s="1"/>
  <c r="AU61" i="12"/>
  <c r="AW61" i="12" s="1"/>
  <c r="N74" i="12"/>
  <c r="AD58" i="12"/>
  <c r="AF58" i="12" s="1"/>
  <c r="AD50" i="12"/>
  <c r="AF50" i="12" s="1"/>
  <c r="AD57" i="12"/>
  <c r="AF57" i="12" s="1"/>
  <c r="AD53" i="12"/>
  <c r="AF53" i="12" s="1"/>
  <c r="AD51" i="12"/>
  <c r="AF51" i="12" s="1"/>
  <c r="AD62" i="12"/>
  <c r="AF62" i="12" s="1"/>
  <c r="AD55" i="12"/>
  <c r="AF55" i="12" s="1"/>
  <c r="AD61" i="12"/>
  <c r="AF61" i="12" s="1"/>
  <c r="AD60" i="12"/>
  <c r="AF60" i="12" s="1"/>
  <c r="AD49" i="12"/>
  <c r="AD52" i="12"/>
  <c r="AF52" i="12" s="1"/>
  <c r="AD59" i="12"/>
  <c r="AF59" i="12" s="1"/>
  <c r="AD56" i="12"/>
  <c r="AF56" i="12" s="1"/>
  <c r="AD64" i="12"/>
  <c r="AF64" i="12" s="1"/>
  <c r="P75" i="12" s="1"/>
  <c r="AD54" i="12"/>
  <c r="AF54" i="12" s="1"/>
  <c r="AD63" i="12"/>
  <c r="AF63" i="12" s="1"/>
  <c r="AD33" i="12"/>
  <c r="AF33" i="12" s="1"/>
  <c r="AD39" i="12"/>
  <c r="AF39" i="12" s="1"/>
  <c r="AD30" i="12"/>
  <c r="AF30" i="12" s="1"/>
  <c r="AD38" i="12"/>
  <c r="AF38" i="12" s="1"/>
  <c r="AD42" i="12"/>
  <c r="AF42" i="12" s="1"/>
  <c r="P74" i="12" s="1"/>
  <c r="AD40" i="12"/>
  <c r="AF40" i="12" s="1"/>
  <c r="AD28" i="12"/>
  <c r="AF28" i="12" s="1"/>
  <c r="AD31" i="12"/>
  <c r="AF31" i="12" s="1"/>
  <c r="AD27" i="12"/>
  <c r="M47" i="9" s="1"/>
  <c r="O47" i="9" s="1"/>
  <c r="AD34" i="12"/>
  <c r="AF34" i="12" s="1"/>
  <c r="AD36" i="12"/>
  <c r="AF36" i="12" s="1"/>
  <c r="AD37" i="12"/>
  <c r="AF37" i="12" s="1"/>
  <c r="AD35" i="12"/>
  <c r="AF35" i="12" s="1"/>
  <c r="AD41" i="12"/>
  <c r="AF41" i="12" s="1"/>
  <c r="AD32" i="12"/>
  <c r="AF32" i="12" s="1"/>
  <c r="AD29" i="12"/>
  <c r="AF29" i="12" s="1"/>
  <c r="N76" i="12"/>
  <c r="AD104" i="12"/>
  <c r="AF104" i="12" s="1"/>
  <c r="AD96" i="12"/>
  <c r="AF96" i="12" s="1"/>
  <c r="AD106" i="12"/>
  <c r="AF106" i="12" s="1"/>
  <c r="AD105" i="12"/>
  <c r="AF105" i="12" s="1"/>
  <c r="AD107" i="12"/>
  <c r="AF107" i="12" s="1"/>
  <c r="P77" i="12" s="1"/>
  <c r="AD102" i="12"/>
  <c r="AF102" i="12" s="1"/>
  <c r="AD100" i="12"/>
  <c r="AF100" i="12" s="1"/>
  <c r="AD94" i="12"/>
  <c r="AF94" i="12" s="1"/>
  <c r="AD98" i="12"/>
  <c r="AF98" i="12" s="1"/>
  <c r="AD103" i="12"/>
  <c r="AF103" i="12" s="1"/>
  <c r="AD97" i="12"/>
  <c r="AF97" i="12" s="1"/>
  <c r="AD101" i="12"/>
  <c r="AF101" i="12" s="1"/>
  <c r="AD99" i="12"/>
  <c r="AF99" i="12" s="1"/>
  <c r="AD95" i="12"/>
  <c r="AF95" i="12" s="1"/>
  <c r="AD92" i="12"/>
  <c r="AD93" i="12"/>
  <c r="AF93" i="12" s="1"/>
  <c r="N49" i="12"/>
  <c r="P49" i="12" s="1"/>
  <c r="N73" i="12"/>
  <c r="N55" i="12"/>
  <c r="P55" i="12" s="1"/>
  <c r="N56" i="12"/>
  <c r="P56" i="12" s="1"/>
  <c r="N52" i="12"/>
  <c r="P52" i="12" s="1"/>
  <c r="N50" i="12"/>
  <c r="P50" i="12" s="1"/>
  <c r="AD75" i="12" l="1"/>
  <c r="AF75" i="12" s="1"/>
  <c r="AD86" i="12"/>
  <c r="AF86" i="12" s="1"/>
  <c r="P76" i="12" s="1"/>
  <c r="N51" i="12"/>
  <c r="P51" i="12" s="1"/>
  <c r="AD80" i="12"/>
  <c r="AF80" i="12" s="1"/>
  <c r="AD78" i="12"/>
  <c r="AF78" i="12" s="1"/>
  <c r="AD85" i="12"/>
  <c r="AF85" i="12" s="1"/>
  <c r="AD76" i="12"/>
  <c r="AF76" i="12" s="1"/>
  <c r="AD84" i="12"/>
  <c r="AF84" i="12" s="1"/>
  <c r="AD82" i="12"/>
  <c r="AF82" i="12" s="1"/>
  <c r="AD73" i="12"/>
  <c r="AF73" i="12" s="1"/>
  <c r="AD81" i="12"/>
  <c r="AF81" i="12" s="1"/>
  <c r="AD79" i="12"/>
  <c r="AF79" i="12" s="1"/>
  <c r="AD71" i="12"/>
  <c r="M49" i="9" s="1"/>
  <c r="O49" i="9" s="1"/>
  <c r="AD72" i="12"/>
  <c r="AF72" i="12" s="1"/>
  <c r="AD74" i="12"/>
  <c r="AF74" i="12" s="1"/>
  <c r="AD83" i="12"/>
  <c r="AF83" i="12" s="1"/>
  <c r="AD77" i="12"/>
  <c r="AF77" i="12" s="1"/>
  <c r="AF5" i="12"/>
  <c r="AF92" i="12"/>
  <c r="M50" i="9"/>
  <c r="O50" i="9" s="1"/>
  <c r="AW26" i="12"/>
  <c r="M53" i="9"/>
  <c r="O53" i="9" s="1"/>
  <c r="AF114" i="12"/>
  <c r="M51" i="9"/>
  <c r="O51" i="9" s="1"/>
  <c r="AW48" i="12"/>
  <c r="M54" i="9"/>
  <c r="O54" i="9" s="1"/>
  <c r="AF49" i="12"/>
  <c r="M48" i="9"/>
  <c r="O48" i="9" s="1"/>
  <c r="AF27" i="12"/>
  <c r="AF71" i="12" l="1"/>
</calcChain>
</file>

<file path=xl/sharedStrings.xml><?xml version="1.0" encoding="utf-8"?>
<sst xmlns="http://schemas.openxmlformats.org/spreadsheetml/2006/main" count="1046" uniqueCount="240">
  <si>
    <t>Carbon (x)</t>
  </si>
  <si>
    <t>Hdrogen(Y)</t>
  </si>
  <si>
    <t xml:space="preserve">Carbon </t>
  </si>
  <si>
    <t>Hydrogen</t>
  </si>
  <si>
    <t>oxegen</t>
  </si>
  <si>
    <t>Nitrogen</t>
  </si>
  <si>
    <t>Molecule</t>
  </si>
  <si>
    <t>Atomic weight</t>
  </si>
  <si>
    <t>No of moecules</t>
  </si>
  <si>
    <t>molecule</t>
  </si>
  <si>
    <t xml:space="preserve">Hydrocarbon fuel balance Iso-octane </t>
  </si>
  <si>
    <t>Molecular compound</t>
  </si>
  <si>
    <t>H2O</t>
  </si>
  <si>
    <r>
      <t>CO</t>
    </r>
    <r>
      <rPr>
        <vertAlign val="subscript"/>
        <sz val="11"/>
        <color theme="1"/>
        <rFont val="Calibri"/>
        <family val="2"/>
        <scheme val="minor"/>
      </rPr>
      <t>2</t>
    </r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</si>
  <si>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</t>
    </r>
  </si>
  <si>
    <r>
      <t>N</t>
    </r>
    <r>
      <rPr>
        <vertAlign val="subscript"/>
        <sz val="11"/>
        <color theme="1"/>
        <rFont val="Calibri"/>
        <family val="2"/>
        <scheme val="minor"/>
      </rPr>
      <t>2</t>
    </r>
  </si>
  <si>
    <r>
      <t>C</t>
    </r>
    <r>
      <rPr>
        <vertAlign val="subscript"/>
        <sz val="11"/>
        <color theme="1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 xml:space="preserve">y </t>
    </r>
    <r>
      <rPr>
        <sz val="11"/>
        <color theme="1"/>
        <rFont val="Calibri"/>
        <family val="2"/>
        <scheme val="minor"/>
      </rPr>
      <t>+ A(O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+3.76 N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 =  xCO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+ yH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+ 3.76 N</t>
    </r>
    <r>
      <rPr>
        <vertAlign val="subscript"/>
        <sz val="11"/>
        <color theme="1"/>
        <rFont val="Calibri"/>
        <family val="2"/>
        <scheme val="minor"/>
      </rPr>
      <t>2</t>
    </r>
  </si>
  <si>
    <t xml:space="preserve">A </t>
  </si>
  <si>
    <r>
      <t>% of N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in Air</t>
    </r>
  </si>
  <si>
    <t>Hydrocarbon fuel balance Methonol</t>
  </si>
  <si>
    <t>Mass of Fuel</t>
  </si>
  <si>
    <t>mass of Air</t>
  </si>
  <si>
    <t>Masses</t>
  </si>
  <si>
    <t>AFR</t>
  </si>
  <si>
    <t xml:space="preserve">oxengen </t>
  </si>
  <si>
    <t>O</t>
  </si>
  <si>
    <t>Toatal No of moecules</t>
  </si>
  <si>
    <t>Hydrocarbon fuel balance 50%  Iso-octane &amp; 50% Ethanol</t>
  </si>
  <si>
    <t>Hydrogen(Y)</t>
  </si>
  <si>
    <t>Phi</t>
  </si>
  <si>
    <t>Enthalpy</t>
  </si>
  <si>
    <t>Flame Temp</t>
  </si>
  <si>
    <t>kmols per kg</t>
  </si>
  <si>
    <t>(%) fuel mass of Methanol</t>
  </si>
  <si>
    <t>(%) Fuel mass of iso-octane</t>
  </si>
  <si>
    <t>Toatal mass of fuel combined fuel</t>
  </si>
  <si>
    <t>Ideal Gas Enthalpy of CO2</t>
  </si>
  <si>
    <t>Enthalpy Formation</t>
  </si>
  <si>
    <t>Molecular Weight</t>
  </si>
  <si>
    <t>Compund</t>
  </si>
  <si>
    <t>iso-octane (Kj/mol)</t>
  </si>
  <si>
    <t>Methanol (Kj/mol)</t>
  </si>
  <si>
    <t>CO2 (Kj/mol)</t>
  </si>
  <si>
    <t>LHV</t>
  </si>
  <si>
    <t>Product Energy (MJ)</t>
  </si>
  <si>
    <t>Reaction Engery (MJ)</t>
  </si>
  <si>
    <t>Energy output per mol burnt</t>
  </si>
  <si>
    <t>https://www.ohio.edu/mechanical/thermo/property_tables/combustion/oxygen_enth.html</t>
  </si>
  <si>
    <t>enthalpy of oxegen</t>
  </si>
  <si>
    <t>Energy output per mol burnt (MJ)</t>
  </si>
  <si>
    <t>mass of fuel per Kmol (Kg)</t>
  </si>
  <si>
    <t xml:space="preserve">Enthalpy With H2O as Gas </t>
  </si>
  <si>
    <t>H2O (Gas) (Kj/mol)</t>
  </si>
  <si>
    <t>H2O (Liquid) (Kj/mol)</t>
  </si>
  <si>
    <t>Enthalpy With H2O as Liquid</t>
  </si>
  <si>
    <t>HHV</t>
  </si>
  <si>
    <r>
      <t>Mass of CO</t>
    </r>
    <r>
      <rPr>
        <vertAlign val="subscript"/>
        <sz val="11"/>
        <color theme="1"/>
        <rFont val="Calibri"/>
        <family val="2"/>
        <scheme val="minor"/>
      </rPr>
      <t>2</t>
    </r>
  </si>
  <si>
    <r>
      <t>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Per Kg of Fuel</t>
    </r>
  </si>
  <si>
    <t>Goal Seek</t>
  </si>
  <si>
    <t>Polynomial</t>
  </si>
  <si>
    <t>O2</t>
  </si>
  <si>
    <r>
      <t>Energy output per mol burnt (H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Gas)</t>
    </r>
  </si>
  <si>
    <r>
      <t>Energy output per mol burnt (H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0 Liquid)</t>
    </r>
  </si>
  <si>
    <t>Mass of Air</t>
  </si>
  <si>
    <t>eq ratio</t>
  </si>
  <si>
    <t>fuel ratio</t>
  </si>
  <si>
    <t>stoichiometric AFR by mass</t>
  </si>
  <si>
    <r>
      <t>Z</t>
    </r>
    <r>
      <rPr>
        <vertAlign val="subscript"/>
        <sz val="11"/>
        <color theme="1"/>
        <rFont val="Calibri"/>
        <family val="2"/>
        <scheme val="minor"/>
      </rPr>
      <t>AB</t>
    </r>
  </si>
  <si>
    <t>Fuel</t>
  </si>
  <si>
    <t>Pressure (Bar)</t>
  </si>
  <si>
    <t>Masses (kg)</t>
  </si>
  <si>
    <t>Displacement (cc)</t>
  </si>
  <si>
    <t>RPM</t>
  </si>
  <si>
    <t>Crank angle</t>
  </si>
  <si>
    <t xml:space="preserve">CO2 at pressure (1 atm) </t>
  </si>
  <si>
    <t>T (K)</t>
  </si>
  <si>
    <t>cp (kJ/kmol-K)</t>
  </si>
  <si>
    <t>s (kJ/kmol-K)</t>
  </si>
  <si>
    <t>g0</t>
  </si>
  <si>
    <t>g</t>
  </si>
  <si>
    <t>Properties of Fuels</t>
  </si>
  <si>
    <t>Formula</t>
  </si>
  <si>
    <t>M</t>
  </si>
  <si>
    <t>Cpg^a</t>
  </si>
  <si>
    <t>hfg^b</t>
  </si>
  <si>
    <t>delta h^0</t>
  </si>
  <si>
    <t>(kg/kmol)</t>
  </si>
  <si>
    <t>Tb (degC)</t>
  </si>
  <si>
    <t>(kJ/kg-K)</t>
  </si>
  <si>
    <t>Tig (degC)</t>
  </si>
  <si>
    <t>(MJ/kg)</t>
  </si>
  <si>
    <t>(kJ/kg)</t>
  </si>
  <si>
    <t>AFRs</t>
  </si>
  <si>
    <t>Tf (K)c</t>
  </si>
  <si>
    <t>(kJ/mol)</t>
  </si>
  <si>
    <t>RONd</t>
  </si>
  <si>
    <t>MONe</t>
  </si>
  <si>
    <t>CH4</t>
  </si>
  <si>
    <t>Methane</t>
  </si>
  <si>
    <t>C2H2</t>
  </si>
  <si>
    <t>Acetylene</t>
  </si>
  <si>
    <t>-</t>
  </si>
  <si>
    <t>C2H4</t>
  </si>
  <si>
    <t>Ethylene</t>
  </si>
  <si>
    <t>C2H6</t>
  </si>
  <si>
    <t>Ethane</t>
  </si>
  <si>
    <t>C3H8</t>
  </si>
  <si>
    <t>Propane</t>
  </si>
  <si>
    <t>C4H10</t>
  </si>
  <si>
    <t>n-Butane</t>
  </si>
  <si>
    <t>iso-Butane</t>
  </si>
  <si>
    <t>C5H12</t>
  </si>
  <si>
    <t>n-Pentane</t>
  </si>
  <si>
    <t>iso-Pentane</t>
  </si>
  <si>
    <t>C6H14</t>
  </si>
  <si>
    <t>n-Hexane</t>
  </si>
  <si>
    <t>iso-Hexane</t>
  </si>
  <si>
    <t>C7H16</t>
  </si>
  <si>
    <t>n-Heptane</t>
  </si>
  <si>
    <t>C8H18</t>
  </si>
  <si>
    <t>n-Octane</t>
  </si>
  <si>
    <t>iso-Octane</t>
  </si>
  <si>
    <t>C9H20</t>
  </si>
  <si>
    <t>n-Nonane</t>
  </si>
  <si>
    <t>C10H22</t>
  </si>
  <si>
    <t>n-Decane</t>
  </si>
  <si>
    <t>iso-Decane</t>
  </si>
  <si>
    <t>C12H26</t>
  </si>
  <si>
    <t>n-Dodecane</t>
  </si>
  <si>
    <t>CH4O</t>
  </si>
  <si>
    <t>Methanol</t>
  </si>
  <si>
    <t>C2H6O</t>
  </si>
  <si>
    <t>Ethanol</t>
  </si>
  <si>
    <t>H2</t>
  </si>
  <si>
    <t>a Gas phase specific heat evaluated at 25 Deg C</t>
  </si>
  <si>
    <t>b Heat of vaporization at 1 atm</t>
  </si>
  <si>
    <t>c Estimated equilibrium flame temperature</t>
  </si>
  <si>
    <t>d Research octane number</t>
  </si>
  <si>
    <t>e Motoring octane number</t>
  </si>
  <si>
    <r>
      <t xml:space="preserve">h0 (MJ/kmol) </t>
    </r>
    <r>
      <rPr>
        <b/>
        <sz val="9"/>
        <rFont val="Arial"/>
        <family val="2"/>
      </rPr>
      <t>Enthalpy of Formation</t>
    </r>
  </si>
  <si>
    <r>
      <t>y = 8.5770134353E-19x</t>
    </r>
    <r>
      <rPr>
        <b/>
        <vertAlign val="superscript"/>
        <sz val="11"/>
        <rFont val="Calibri"/>
        <family val="2"/>
        <scheme val="minor"/>
      </rPr>
      <t>6</t>
    </r>
    <r>
      <rPr>
        <b/>
        <sz val="11"/>
        <rFont val="Calibri"/>
        <family val="2"/>
        <scheme val="minor"/>
      </rPr>
      <t xml:space="preserve"> - 1.0374875556E-14x</t>
    </r>
    <r>
      <rPr>
        <b/>
        <vertAlign val="superscript"/>
        <sz val="11"/>
        <rFont val="Calibri"/>
        <family val="2"/>
        <scheme val="minor"/>
      </rPr>
      <t>5</t>
    </r>
    <r>
      <rPr>
        <b/>
        <sz val="11"/>
        <rFont val="Calibri"/>
        <family val="2"/>
        <scheme val="minor"/>
      </rPr>
      <t xml:space="preserve"> + 4.9689475953E-11x</t>
    </r>
    <r>
      <rPr>
        <b/>
        <vertAlign val="superscript"/>
        <sz val="11"/>
        <rFont val="Calibri"/>
        <family val="2"/>
        <scheme val="minor"/>
      </rPr>
      <t>4</t>
    </r>
    <r>
      <rPr>
        <b/>
        <sz val="11"/>
        <rFont val="Calibri"/>
        <family val="2"/>
        <scheme val="minor"/>
      </rPr>
      <t xml:space="preserve"> - 1.2019118054E-07x</t>
    </r>
    <r>
      <rPr>
        <b/>
        <vertAlign val="superscript"/>
        <sz val="11"/>
        <rFont val="Calibri"/>
        <family val="2"/>
        <scheme val="minor"/>
      </rPr>
      <t>3</t>
    </r>
    <r>
      <rPr>
        <b/>
        <sz val="11"/>
        <rFont val="Calibri"/>
        <family val="2"/>
        <scheme val="minor"/>
      </rPr>
      <t xml:space="preserve"> + 1.5650954893E-04x</t>
    </r>
    <r>
      <rPr>
        <b/>
        <vertAlign val="superscript"/>
        <sz val="11"/>
        <rFont val="Calibri"/>
        <family val="2"/>
        <scheme val="minor"/>
      </rPr>
      <t>2</t>
    </r>
    <r>
      <rPr>
        <b/>
        <sz val="11"/>
        <rFont val="Calibri"/>
        <family val="2"/>
        <scheme val="minor"/>
      </rPr>
      <t xml:space="preserve"> - 4.8239362033E-02x + 5.2084519626E+00</t>
    </r>
  </si>
  <si>
    <r>
      <t>O</t>
    </r>
    <r>
      <rPr>
        <vertAlign val="subscript"/>
        <sz val="11"/>
        <color theme="1"/>
        <rFont val="Calibri"/>
        <family val="2"/>
        <scheme val="minor"/>
      </rPr>
      <t>2</t>
    </r>
  </si>
  <si>
    <r>
      <t>y = 6.6506859177E-19x</t>
    </r>
    <r>
      <rPr>
        <vertAlign val="superscript"/>
        <sz val="9"/>
        <color rgb="FF595959"/>
        <rFont val="Calibri"/>
        <family val="2"/>
        <scheme val="minor"/>
      </rPr>
      <t>6</t>
    </r>
    <r>
      <rPr>
        <sz val="9"/>
        <color rgb="FF595959"/>
        <rFont val="Calibri"/>
        <family val="2"/>
        <scheme val="minor"/>
      </rPr>
      <t xml:space="preserve"> - 7.8984343104E-15x</t>
    </r>
    <r>
      <rPr>
        <vertAlign val="superscript"/>
        <sz val="9"/>
        <color rgb="FF595959"/>
        <rFont val="Calibri"/>
        <family val="2"/>
        <scheme val="minor"/>
      </rPr>
      <t>5</t>
    </r>
    <r>
      <rPr>
        <sz val="9"/>
        <color rgb="FF595959"/>
        <rFont val="Calibri"/>
        <family val="2"/>
        <scheme val="minor"/>
      </rPr>
      <t xml:space="preserve"> + 3.6879849877E-11x</t>
    </r>
    <r>
      <rPr>
        <vertAlign val="superscript"/>
        <sz val="9"/>
        <color rgb="FF595959"/>
        <rFont val="Calibri"/>
        <family val="2"/>
        <scheme val="minor"/>
      </rPr>
      <t>4</t>
    </r>
    <r>
      <rPr>
        <sz val="9"/>
        <color rgb="FF595959"/>
        <rFont val="Calibri"/>
        <family val="2"/>
        <scheme val="minor"/>
      </rPr>
      <t xml:space="preserve"> - 8.6386228559E-08x</t>
    </r>
    <r>
      <rPr>
        <vertAlign val="superscript"/>
        <sz val="9"/>
        <color rgb="FF595959"/>
        <rFont val="Calibri"/>
        <family val="2"/>
        <scheme val="minor"/>
      </rPr>
      <t>3</t>
    </r>
    <r>
      <rPr>
        <sz val="9"/>
        <color rgb="FF595959"/>
        <rFont val="Calibri"/>
        <family val="2"/>
        <scheme val="minor"/>
      </rPr>
      <t xml:space="preserve"> + 1.1074017861E-04x</t>
    </r>
    <r>
      <rPr>
        <vertAlign val="superscript"/>
        <sz val="9"/>
        <color rgb="FF595959"/>
        <rFont val="Calibri"/>
        <family val="2"/>
        <scheme val="minor"/>
      </rPr>
      <t>2</t>
    </r>
    <r>
      <rPr>
        <sz val="9"/>
        <color rgb="FF595959"/>
        <rFont val="Calibri"/>
        <family val="2"/>
        <scheme val="minor"/>
      </rPr>
      <t xml:space="preserve"> - 3.1241611608E-02x + 3.3006694533E+00</t>
    </r>
  </si>
  <si>
    <r>
      <t>y = 6.4958291549E-19x</t>
    </r>
    <r>
      <rPr>
        <vertAlign val="superscript"/>
        <sz val="9"/>
        <color rgb="FF595959"/>
        <rFont val="Calibri"/>
        <family val="2"/>
        <scheme val="minor"/>
      </rPr>
      <t>6</t>
    </r>
    <r>
      <rPr>
        <sz val="9"/>
        <color rgb="FF595959"/>
        <rFont val="Calibri"/>
        <family val="2"/>
        <scheme val="minor"/>
      </rPr>
      <t xml:space="preserve"> - 7.8224528491E-15x</t>
    </r>
    <r>
      <rPr>
        <vertAlign val="superscript"/>
        <sz val="9"/>
        <color rgb="FF595959"/>
        <rFont val="Calibri"/>
        <family val="2"/>
        <scheme val="minor"/>
      </rPr>
      <t>5</t>
    </r>
    <r>
      <rPr>
        <sz val="9"/>
        <color rgb="FF595959"/>
        <rFont val="Calibri"/>
        <family val="2"/>
        <scheme val="minor"/>
      </rPr>
      <t xml:space="preserve"> + 3.7120417697E-11x</t>
    </r>
    <r>
      <rPr>
        <vertAlign val="superscript"/>
        <sz val="9"/>
        <color rgb="FF595959"/>
        <rFont val="Calibri"/>
        <family val="2"/>
        <scheme val="minor"/>
      </rPr>
      <t>4</t>
    </r>
    <r>
      <rPr>
        <sz val="9"/>
        <color rgb="FF595959"/>
        <rFont val="Calibri"/>
        <family val="2"/>
        <scheme val="minor"/>
      </rPr>
      <t xml:space="preserve"> - 8.7983176170E-08x</t>
    </r>
    <r>
      <rPr>
        <vertAlign val="superscript"/>
        <sz val="9"/>
        <color rgb="FF595959"/>
        <rFont val="Calibri"/>
        <family val="2"/>
        <scheme val="minor"/>
      </rPr>
      <t>3</t>
    </r>
    <r>
      <rPr>
        <sz val="9"/>
        <color rgb="FF595959"/>
        <rFont val="Calibri"/>
        <family val="2"/>
        <scheme val="minor"/>
      </rPr>
      <t xml:space="preserve"> + 1.0982327235E-04x</t>
    </r>
    <r>
      <rPr>
        <vertAlign val="superscript"/>
        <sz val="9"/>
        <color rgb="FF595959"/>
        <rFont val="Calibri"/>
        <family val="2"/>
        <scheme val="minor"/>
      </rPr>
      <t>2</t>
    </r>
    <r>
      <rPr>
        <sz val="9"/>
        <color rgb="FF595959"/>
        <rFont val="Calibri"/>
        <family val="2"/>
        <scheme val="minor"/>
      </rPr>
      <t xml:space="preserve"> - 3.2606444641E-02x + 3.5786489003E+00</t>
    </r>
  </si>
  <si>
    <t>Net Enthalpy (No of Mols)</t>
  </si>
  <si>
    <r>
      <t>N</t>
    </r>
    <r>
      <rPr>
        <vertAlign val="subscript"/>
        <sz val="14"/>
        <rFont val="Times New Roman"/>
        <family val="1"/>
      </rPr>
      <t>2</t>
    </r>
  </si>
  <si>
    <r>
      <t>y = 5.9376621671E-19x</t>
    </r>
    <r>
      <rPr>
        <vertAlign val="superscript"/>
        <sz val="9"/>
        <color rgb="FF595959"/>
        <rFont val="Calibri"/>
        <family val="2"/>
        <scheme val="minor"/>
      </rPr>
      <t>6</t>
    </r>
    <r>
      <rPr>
        <sz val="9"/>
        <color rgb="FF595959"/>
        <rFont val="Calibri"/>
        <family val="2"/>
        <scheme val="minor"/>
      </rPr>
      <t xml:space="preserve"> - 7.1020711589E-15x</t>
    </r>
    <r>
      <rPr>
        <vertAlign val="superscript"/>
        <sz val="9"/>
        <color rgb="FF595959"/>
        <rFont val="Calibri"/>
        <family val="2"/>
        <scheme val="minor"/>
      </rPr>
      <t>5</t>
    </r>
    <r>
      <rPr>
        <sz val="9"/>
        <color rgb="FF595959"/>
        <rFont val="Calibri"/>
        <family val="2"/>
        <scheme val="minor"/>
      </rPr>
      <t xml:space="preserve"> + 3.3460896805E-11x</t>
    </r>
    <r>
      <rPr>
        <vertAlign val="superscript"/>
        <sz val="9"/>
        <color rgb="FF595959"/>
        <rFont val="Calibri"/>
        <family val="2"/>
        <scheme val="minor"/>
      </rPr>
      <t>4</t>
    </r>
    <r>
      <rPr>
        <sz val="9"/>
        <color rgb="FF595959"/>
        <rFont val="Calibri"/>
        <family val="2"/>
        <scheme val="minor"/>
      </rPr>
      <t xml:space="preserve"> - 7.8909601634E-08x</t>
    </r>
    <r>
      <rPr>
        <vertAlign val="superscript"/>
        <sz val="9"/>
        <color rgb="FF595959"/>
        <rFont val="Calibri"/>
        <family val="2"/>
        <scheme val="minor"/>
      </rPr>
      <t>3</t>
    </r>
    <r>
      <rPr>
        <sz val="9"/>
        <color rgb="FF595959"/>
        <rFont val="Calibri"/>
        <family val="2"/>
        <scheme val="minor"/>
      </rPr>
      <t xml:space="preserve"> + 9.8599769212E-05x</t>
    </r>
    <r>
      <rPr>
        <vertAlign val="superscript"/>
        <sz val="9"/>
        <color rgb="FF595959"/>
        <rFont val="Calibri"/>
        <family val="2"/>
        <scheme val="minor"/>
      </rPr>
      <t>2</t>
    </r>
    <r>
      <rPr>
        <sz val="9"/>
        <color rgb="FF595959"/>
        <rFont val="Calibri"/>
        <family val="2"/>
        <scheme val="minor"/>
      </rPr>
      <t xml:space="preserve"> - 2.8172899156E-02x + 3.0537890800E+00</t>
    </r>
  </si>
  <si>
    <r>
      <rPr>
        <sz val="11"/>
        <color theme="1"/>
        <rFont val="Calibri"/>
        <family val="2"/>
        <scheme val="minor"/>
      </rPr>
      <t>N</t>
    </r>
    <r>
      <rPr>
        <vertAlign val="subscript"/>
        <sz val="11"/>
        <color theme="1"/>
        <rFont val="Calibri"/>
        <family val="2"/>
        <scheme val="minor"/>
      </rPr>
      <t>2</t>
    </r>
  </si>
  <si>
    <t>No of Cylinders</t>
  </si>
  <si>
    <t>Volume Per cyl (cc)</t>
  </si>
  <si>
    <t>Vc (cc)</t>
  </si>
  <si>
    <t>Alpha</t>
  </si>
  <si>
    <t>Vol Effic (%)</t>
  </si>
  <si>
    <t>temp (K)</t>
  </si>
  <si>
    <t>R</t>
  </si>
  <si>
    <r>
      <t>(n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) CO</t>
    </r>
    <r>
      <rPr>
        <vertAlign val="subscript"/>
        <sz val="11"/>
        <color theme="1"/>
        <rFont val="Calibri"/>
        <family val="2"/>
        <scheme val="minor"/>
      </rPr>
      <t>2</t>
    </r>
  </si>
  <si>
    <r>
      <t>(n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 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</t>
    </r>
  </si>
  <si>
    <r>
      <t>(n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) O</t>
    </r>
    <r>
      <rPr>
        <vertAlign val="subscript"/>
        <sz val="11"/>
        <color theme="1"/>
        <rFont val="Calibri"/>
        <family val="2"/>
        <scheme val="minor"/>
      </rPr>
      <t>2</t>
    </r>
  </si>
  <si>
    <r>
      <t>(n</t>
    </r>
    <r>
      <rPr>
        <vertAlign val="sub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) N</t>
    </r>
    <r>
      <rPr>
        <vertAlign val="subscript"/>
        <sz val="11"/>
        <color theme="1"/>
        <rFont val="Calibri"/>
        <family val="2"/>
        <scheme val="minor"/>
      </rPr>
      <t>2</t>
    </r>
  </si>
  <si>
    <t>Pressure (M)</t>
  </si>
  <si>
    <t>inlet P</t>
  </si>
  <si>
    <t>Ideal Gas Enthalpy of H20</t>
  </si>
  <si>
    <t>Ideal Gas Enthalpy of N2</t>
  </si>
  <si>
    <t>Ideal Gas Enthalpy of O2</t>
  </si>
  <si>
    <t xml:space="preserve">Entalpy needed to increase 1 Kmol By 1 kelvin </t>
  </si>
  <si>
    <t>g0/RuT</t>
  </si>
  <si>
    <t>Enthalpy of combustion</t>
  </si>
  <si>
    <t>flame Temp (k)</t>
  </si>
  <si>
    <t>Eq Ratio</t>
  </si>
  <si>
    <t xml:space="preserve">iso octane at 1 ϕ </t>
  </si>
  <si>
    <t>Flame Temprature</t>
  </si>
  <si>
    <r>
      <t>(n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) O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</si>
  <si>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r>
      <t>(n</t>
    </r>
    <r>
      <rPr>
        <vertAlign val="sub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) N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</si>
  <si>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t>(n) no of mols Drawn Per cycle</t>
  </si>
  <si>
    <r>
      <t>E</t>
    </r>
    <r>
      <rPr>
        <vertAlign val="subscript"/>
        <sz val="11"/>
        <color theme="1"/>
        <rFont val="Calibri"/>
        <family val="2"/>
        <scheme val="minor"/>
      </rPr>
      <t>A</t>
    </r>
  </si>
  <si>
    <t>No of mol's drawn in at a sprcific Vc</t>
  </si>
  <si>
    <r>
      <t>(8</t>
    </r>
    <r>
      <rPr>
        <sz val="11"/>
        <color theme="1"/>
        <rFont val="Calibri"/>
        <family val="2"/>
      </rPr>
      <t>ϕ</t>
    </r>
    <r>
      <rPr>
        <sz val="11"/>
        <color theme="1"/>
        <rFont val="Calibri"/>
        <family val="2"/>
        <scheme val="minor"/>
      </rPr>
      <t xml:space="preserve"> x Poly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)+ (9ϕ x Poly 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0) + (A(1-ϕ) Poly 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 + (47 N</t>
    </r>
    <r>
      <rPr>
        <vertAlign val="subscript"/>
        <sz val="11"/>
        <color theme="1"/>
        <rFont val="Calibri"/>
        <family val="2"/>
        <scheme val="minor"/>
      </rPr>
      <t>2)</t>
    </r>
  </si>
  <si>
    <t>Temp (k)</t>
  </si>
  <si>
    <t>Nox (kmol/deg)</t>
  </si>
  <si>
    <t>(n) Polytropic intex</t>
  </si>
  <si>
    <r>
      <t>[O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]</t>
    </r>
  </si>
  <si>
    <r>
      <t>[N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]</t>
    </r>
  </si>
  <si>
    <t>Exhaust Kmols</t>
  </si>
  <si>
    <t>NOx PPM</t>
  </si>
  <si>
    <t>Kmol/Cycle</t>
  </si>
  <si>
    <t>sum of Nox Kmol/Cycle</t>
  </si>
  <si>
    <t>Initial Flame Temp</t>
  </si>
  <si>
    <t>Final Flame Temp</t>
  </si>
  <si>
    <t>Nox Kmol/Cycle</t>
  </si>
  <si>
    <r>
      <t>C</t>
    </r>
    <r>
      <rPr>
        <vertAlign val="subscript"/>
        <sz val="14"/>
        <color theme="1"/>
        <rFont val="Calibri"/>
        <family val="2"/>
        <scheme val="minor"/>
      </rPr>
      <t>8</t>
    </r>
    <r>
      <rPr>
        <sz val="14"/>
        <color theme="1"/>
        <rFont val="Calibri"/>
        <family val="2"/>
        <scheme val="minor"/>
      </rPr>
      <t>H</t>
    </r>
    <r>
      <rPr>
        <vertAlign val="subscript"/>
        <sz val="14"/>
        <color theme="1"/>
        <rFont val="Calibri"/>
        <family val="2"/>
        <scheme val="minor"/>
      </rPr>
      <t>18</t>
    </r>
    <r>
      <rPr>
        <sz val="14"/>
        <color theme="1"/>
        <rFont val="Calibri"/>
        <family val="2"/>
        <scheme val="minor"/>
      </rPr>
      <t xml:space="preserve"> + A(O</t>
    </r>
    <r>
      <rPr>
        <vertAlign val="subscript"/>
        <sz val="14"/>
        <color theme="1"/>
        <rFont val="Calibri"/>
        <family val="2"/>
        <scheme val="minor"/>
      </rPr>
      <t>2</t>
    </r>
    <r>
      <rPr>
        <sz val="14"/>
        <color theme="1"/>
        <rFont val="Calibri"/>
        <family val="2"/>
        <scheme val="minor"/>
      </rPr>
      <t>+3.76 N</t>
    </r>
    <r>
      <rPr>
        <vertAlign val="subscript"/>
        <sz val="14"/>
        <color theme="1"/>
        <rFont val="Calibri"/>
        <family val="2"/>
        <scheme val="minor"/>
      </rPr>
      <t>2</t>
    </r>
    <r>
      <rPr>
        <sz val="14"/>
        <color theme="1"/>
        <rFont val="Calibri"/>
        <family val="2"/>
        <scheme val="minor"/>
      </rPr>
      <t>) =  xCO</t>
    </r>
    <r>
      <rPr>
        <vertAlign val="subscript"/>
        <sz val="14"/>
        <color theme="1"/>
        <rFont val="Calibri"/>
        <family val="2"/>
        <scheme val="minor"/>
      </rPr>
      <t>2</t>
    </r>
    <r>
      <rPr>
        <sz val="14"/>
        <color theme="1"/>
        <rFont val="Calibri"/>
        <family val="2"/>
        <scheme val="minor"/>
      </rPr>
      <t xml:space="preserve"> + yH</t>
    </r>
    <r>
      <rPr>
        <vertAlign val="subscript"/>
        <sz val="14"/>
        <color theme="1"/>
        <rFont val="Calibri"/>
        <family val="2"/>
        <scheme val="minor"/>
      </rPr>
      <t>2</t>
    </r>
    <r>
      <rPr>
        <sz val="14"/>
        <color theme="1"/>
        <rFont val="Calibri"/>
        <family val="2"/>
        <scheme val="minor"/>
      </rPr>
      <t>O + 3.76 N</t>
    </r>
    <r>
      <rPr>
        <vertAlign val="subscript"/>
        <sz val="14"/>
        <color theme="1"/>
        <rFont val="Calibri"/>
        <family val="2"/>
        <scheme val="minor"/>
      </rPr>
      <t>2</t>
    </r>
  </si>
  <si>
    <r>
      <t>CH</t>
    </r>
    <r>
      <rPr>
        <vertAlign val="subscript"/>
        <sz val="14"/>
        <color theme="1"/>
        <rFont val="Calibri"/>
        <family val="2"/>
        <scheme val="minor"/>
      </rPr>
      <t xml:space="preserve">4 </t>
    </r>
    <r>
      <rPr>
        <sz val="14"/>
        <color theme="1"/>
        <rFont val="Calibri"/>
        <family val="2"/>
        <scheme val="minor"/>
      </rPr>
      <t>O + A(O2+3.76 N2) =  xCO2 + yH2O + 3.76 N2</t>
    </r>
  </si>
  <si>
    <t>Mass of octane Fuel</t>
  </si>
  <si>
    <t>Toatal mass of Fuel Blend</t>
  </si>
  <si>
    <t>Product Molecules</t>
  </si>
  <si>
    <r>
      <t>CH</t>
    </r>
    <r>
      <rPr>
        <vertAlign val="subscript"/>
        <sz val="18"/>
        <color theme="1"/>
        <rFont val="Calibri"/>
        <family val="2"/>
        <scheme val="minor"/>
      </rPr>
      <t>4</t>
    </r>
    <r>
      <rPr>
        <sz val="18"/>
        <color theme="1"/>
        <rFont val="Calibri"/>
        <family val="2"/>
        <scheme val="minor"/>
      </rPr>
      <t>O</t>
    </r>
    <r>
      <rPr>
        <vertAlign val="subscript"/>
        <sz val="18"/>
        <color theme="1"/>
        <rFont val="Calibri"/>
        <family val="2"/>
        <scheme val="minor"/>
      </rPr>
      <t xml:space="preserve"> </t>
    </r>
    <r>
      <rPr>
        <sz val="18"/>
        <color theme="1"/>
        <rFont val="Calibri"/>
        <family val="2"/>
        <scheme val="minor"/>
      </rPr>
      <t>+ C</t>
    </r>
    <r>
      <rPr>
        <vertAlign val="subscript"/>
        <sz val="18"/>
        <color theme="1"/>
        <rFont val="Calibri"/>
        <family val="2"/>
        <scheme val="minor"/>
      </rPr>
      <t>8</t>
    </r>
    <r>
      <rPr>
        <sz val="18"/>
        <color theme="1"/>
        <rFont val="Calibri"/>
        <family val="2"/>
        <scheme val="minor"/>
      </rPr>
      <t>H</t>
    </r>
    <r>
      <rPr>
        <vertAlign val="subscript"/>
        <sz val="18"/>
        <color theme="1"/>
        <rFont val="Calibri"/>
        <family val="2"/>
        <scheme val="minor"/>
      </rPr>
      <t xml:space="preserve">18 </t>
    </r>
    <r>
      <rPr>
        <sz val="16"/>
        <color theme="1"/>
        <rFont val="Calibri"/>
        <family val="2"/>
        <scheme val="minor"/>
      </rPr>
      <t>+ A(O2+3.76 N2) =  (n</t>
    </r>
    <r>
      <rPr>
        <vertAlign val="subscript"/>
        <sz val="16"/>
        <color theme="1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>)CO</t>
    </r>
    <r>
      <rPr>
        <vertAlign val="subscript"/>
        <sz val="16"/>
        <color theme="1"/>
        <rFont val="Calibri"/>
        <family val="2"/>
        <scheme val="minor"/>
      </rPr>
      <t>2</t>
    </r>
    <r>
      <rPr>
        <sz val="16"/>
        <color theme="1"/>
        <rFont val="Calibri"/>
        <family val="2"/>
        <scheme val="minor"/>
      </rPr>
      <t xml:space="preserve"> + (n</t>
    </r>
    <r>
      <rPr>
        <vertAlign val="subscript"/>
        <sz val="16"/>
        <color theme="1"/>
        <rFont val="Calibri"/>
        <family val="2"/>
        <scheme val="minor"/>
      </rPr>
      <t>2</t>
    </r>
    <r>
      <rPr>
        <sz val="16"/>
        <color theme="1"/>
        <rFont val="Calibri"/>
        <family val="2"/>
        <scheme val="minor"/>
      </rPr>
      <t>)H</t>
    </r>
    <r>
      <rPr>
        <vertAlign val="subscript"/>
        <sz val="16"/>
        <color theme="1"/>
        <rFont val="Calibri"/>
        <family val="2"/>
        <scheme val="minor"/>
      </rPr>
      <t>2</t>
    </r>
    <r>
      <rPr>
        <sz val="16"/>
        <color theme="1"/>
        <rFont val="Calibri"/>
        <family val="2"/>
        <scheme val="minor"/>
      </rPr>
      <t>O + 3.76 (n</t>
    </r>
    <r>
      <rPr>
        <vertAlign val="subscript"/>
        <sz val="16"/>
        <color theme="1"/>
        <rFont val="Calibri"/>
        <family val="2"/>
        <scheme val="minor"/>
      </rPr>
      <t>3</t>
    </r>
    <r>
      <rPr>
        <sz val="16"/>
        <color theme="1"/>
        <rFont val="Calibri"/>
        <family val="2"/>
        <scheme val="minor"/>
      </rPr>
      <t>)N</t>
    </r>
    <r>
      <rPr>
        <vertAlign val="subscript"/>
        <sz val="16"/>
        <color theme="1"/>
        <rFont val="Calibri"/>
        <family val="2"/>
        <scheme val="minor"/>
      </rPr>
      <t>2</t>
    </r>
  </si>
  <si>
    <r>
      <t>(n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) N</t>
    </r>
    <r>
      <rPr>
        <vertAlign val="subscript"/>
        <sz val="11"/>
        <color theme="1"/>
        <rFont val="Calibri"/>
        <family val="2"/>
        <scheme val="minor"/>
      </rPr>
      <t>2</t>
    </r>
  </si>
  <si>
    <t>fuel composition Molecules</t>
  </si>
  <si>
    <t>Mass of Methanol Fuel</t>
  </si>
  <si>
    <t>Enthalpy required for reaction (MJ)</t>
  </si>
  <si>
    <t>Net (Product) Enthalpy</t>
  </si>
  <si>
    <t>Net (Product) Enthalpy (H2O as Gas)</t>
  </si>
  <si>
    <t>Net (Product) Enthalpy (H2O as Liquid)</t>
  </si>
  <si>
    <r>
      <t>Mass of CO</t>
    </r>
    <r>
      <rPr>
        <vertAlign val="subscript"/>
        <sz val="14"/>
        <color theme="1"/>
        <rFont val="Calibri"/>
        <family val="2"/>
        <scheme val="minor"/>
      </rPr>
      <t xml:space="preserve">2 </t>
    </r>
    <r>
      <rPr>
        <sz val="14"/>
        <color theme="1"/>
        <rFont val="Calibri"/>
        <family val="2"/>
        <scheme val="minor"/>
      </rPr>
      <t>(KG)</t>
    </r>
  </si>
  <si>
    <r>
      <t>CO</t>
    </r>
    <r>
      <rPr>
        <vertAlign val="subscript"/>
        <sz val="14"/>
        <color theme="1"/>
        <rFont val="Calibri"/>
        <family val="2"/>
        <scheme val="minor"/>
      </rPr>
      <t>2</t>
    </r>
    <r>
      <rPr>
        <sz val="14"/>
        <color theme="1"/>
        <rFont val="Calibri"/>
        <family val="2"/>
        <scheme val="minor"/>
      </rPr>
      <t xml:space="preserve"> Per Kg of Fuel</t>
    </r>
  </si>
  <si>
    <t>Molar Enthalpy</t>
  </si>
  <si>
    <t>Methanol Enthalpy</t>
  </si>
  <si>
    <t>Iso -Octane Enthalpy</t>
  </si>
  <si>
    <t>Enthalpy of combustion (Energy Required for)</t>
  </si>
  <si>
    <r>
      <rPr>
        <sz val="11"/>
        <color theme="1"/>
        <rFont val="Calibri"/>
        <family val="2"/>
      </rPr>
      <t>(ΔH</t>
    </r>
    <r>
      <rPr>
        <vertAlign val="superscript"/>
        <sz val="11"/>
        <color theme="1"/>
        <rFont val="Calibri"/>
        <family val="2"/>
      </rPr>
      <t>o</t>
    </r>
    <r>
      <rPr>
        <vertAlign val="subscript"/>
        <sz val="11"/>
        <color theme="1"/>
        <rFont val="Calibri"/>
        <family val="2"/>
      </rPr>
      <t>f</t>
    </r>
    <r>
      <rPr>
        <sz val="11"/>
        <color theme="1"/>
        <rFont val="Calibri"/>
        <family val="2"/>
      </rPr>
      <t xml:space="preserve">) </t>
    </r>
    <r>
      <rPr>
        <sz val="11"/>
        <color theme="1"/>
        <rFont val="Calibri"/>
        <family val="2"/>
        <scheme val="minor"/>
      </rPr>
      <t>Enthalpy of combustion (Energy Required for)</t>
    </r>
  </si>
  <si>
    <t>Flame Temps (K)</t>
  </si>
  <si>
    <t>Goal Seek Results</t>
  </si>
  <si>
    <t>LHV (MJ)</t>
  </si>
  <si>
    <t>HHV (MJ)</t>
  </si>
  <si>
    <r>
      <t>(8</t>
    </r>
    <r>
      <rPr>
        <sz val="16"/>
        <color theme="1"/>
        <rFont val="Calibri"/>
        <family val="2"/>
      </rPr>
      <t>ϕ</t>
    </r>
    <r>
      <rPr>
        <sz val="16"/>
        <color theme="1"/>
        <rFont val="Calibri"/>
        <family val="2"/>
        <scheme val="minor"/>
      </rPr>
      <t xml:space="preserve"> x Poly CO</t>
    </r>
    <r>
      <rPr>
        <vertAlign val="subscript"/>
        <sz val="16"/>
        <color theme="1"/>
        <rFont val="Calibri"/>
        <family val="2"/>
        <scheme val="minor"/>
      </rPr>
      <t>2</t>
    </r>
    <r>
      <rPr>
        <sz val="16"/>
        <color theme="1"/>
        <rFont val="Calibri"/>
        <family val="2"/>
        <scheme val="minor"/>
      </rPr>
      <t xml:space="preserve"> )+ (9ϕ x Poly H</t>
    </r>
    <r>
      <rPr>
        <vertAlign val="subscript"/>
        <sz val="16"/>
        <color theme="1"/>
        <rFont val="Calibri"/>
        <family val="2"/>
        <scheme val="minor"/>
      </rPr>
      <t>2</t>
    </r>
    <r>
      <rPr>
        <sz val="16"/>
        <color theme="1"/>
        <rFont val="Calibri"/>
        <family val="2"/>
        <scheme val="minor"/>
      </rPr>
      <t>0) + (A(1-ϕ) Poly O</t>
    </r>
    <r>
      <rPr>
        <vertAlign val="subscript"/>
        <sz val="16"/>
        <color theme="1"/>
        <rFont val="Calibri"/>
        <family val="2"/>
        <scheme val="minor"/>
      </rPr>
      <t>2</t>
    </r>
    <r>
      <rPr>
        <sz val="16"/>
        <color theme="1"/>
        <rFont val="Calibri"/>
        <family val="2"/>
        <scheme val="minor"/>
      </rPr>
      <t>) + (47 N</t>
    </r>
    <r>
      <rPr>
        <vertAlign val="subscript"/>
        <sz val="16"/>
        <color theme="1"/>
        <rFont val="Calibri"/>
        <family val="2"/>
        <scheme val="minor"/>
      </rPr>
      <t>2</t>
    </r>
    <r>
      <rPr>
        <sz val="16"/>
        <color theme="1"/>
        <rFont val="Calibri"/>
        <family val="2"/>
        <scheme val="minor"/>
      </rPr>
      <t>)</t>
    </r>
  </si>
  <si>
    <r>
      <t>(n</t>
    </r>
    <r>
      <rPr>
        <vertAlign val="subscript"/>
        <sz val="14"/>
        <color theme="1"/>
        <rFont val="Calibri"/>
        <family val="2"/>
        <scheme val="minor"/>
      </rPr>
      <t>1</t>
    </r>
    <r>
      <rPr>
        <sz val="14"/>
        <color theme="1"/>
        <rFont val="Calibri"/>
        <family val="2"/>
        <scheme val="minor"/>
      </rPr>
      <t>) CO</t>
    </r>
    <r>
      <rPr>
        <vertAlign val="subscript"/>
        <sz val="14"/>
        <color theme="1"/>
        <rFont val="Calibri"/>
        <family val="2"/>
        <scheme val="minor"/>
      </rPr>
      <t>2</t>
    </r>
  </si>
  <si>
    <r>
      <t>(n</t>
    </r>
    <r>
      <rPr>
        <vertAlign val="subscript"/>
        <sz val="14"/>
        <color theme="1"/>
        <rFont val="Calibri"/>
        <family val="2"/>
        <scheme val="minor"/>
      </rPr>
      <t>2</t>
    </r>
    <r>
      <rPr>
        <sz val="14"/>
        <color theme="1"/>
        <rFont val="Calibri"/>
        <family val="2"/>
        <scheme val="minor"/>
      </rPr>
      <t>) H</t>
    </r>
    <r>
      <rPr>
        <vertAlign val="subscript"/>
        <sz val="14"/>
        <color theme="1"/>
        <rFont val="Calibri"/>
        <family val="2"/>
        <scheme val="minor"/>
      </rPr>
      <t>2</t>
    </r>
    <r>
      <rPr>
        <sz val="14"/>
        <color theme="1"/>
        <rFont val="Calibri"/>
        <family val="2"/>
        <scheme val="minor"/>
      </rPr>
      <t>O</t>
    </r>
  </si>
  <si>
    <r>
      <t>(n</t>
    </r>
    <r>
      <rPr>
        <vertAlign val="subscript"/>
        <sz val="14"/>
        <color theme="1"/>
        <rFont val="Calibri"/>
        <family val="2"/>
        <scheme val="minor"/>
      </rPr>
      <t>3</t>
    </r>
    <r>
      <rPr>
        <sz val="14"/>
        <color theme="1"/>
        <rFont val="Calibri"/>
        <family val="2"/>
        <scheme val="minor"/>
      </rPr>
      <t>) O</t>
    </r>
    <r>
      <rPr>
        <vertAlign val="subscript"/>
        <sz val="14"/>
        <color theme="1"/>
        <rFont val="Calibri"/>
        <family val="2"/>
        <scheme val="minor"/>
      </rPr>
      <t>2</t>
    </r>
  </si>
  <si>
    <r>
      <t>(n</t>
    </r>
    <r>
      <rPr>
        <vertAlign val="subscript"/>
        <sz val="14"/>
        <color theme="1"/>
        <rFont val="Calibri"/>
        <family val="2"/>
        <scheme val="minor"/>
      </rPr>
      <t>4</t>
    </r>
    <r>
      <rPr>
        <sz val="14"/>
        <color theme="1"/>
        <rFont val="Calibri"/>
        <family val="2"/>
        <scheme val="minor"/>
      </rPr>
      <t>) N</t>
    </r>
    <r>
      <rPr>
        <vertAlign val="subscript"/>
        <sz val="14"/>
        <color theme="1"/>
        <rFont val="Calibri"/>
        <family val="2"/>
        <scheme val="minor"/>
      </rPr>
      <t>2</t>
    </r>
  </si>
  <si>
    <r>
      <t>[O</t>
    </r>
    <r>
      <rPr>
        <vertAlign val="subscript"/>
        <sz val="14"/>
        <color theme="1"/>
        <rFont val="Calibri"/>
        <family val="2"/>
        <scheme val="minor"/>
      </rPr>
      <t>2</t>
    </r>
    <r>
      <rPr>
        <sz val="14"/>
        <color theme="1"/>
        <rFont val="Calibri"/>
        <family val="2"/>
        <scheme val="minor"/>
      </rPr>
      <t>]</t>
    </r>
  </si>
  <si>
    <r>
      <t>[N</t>
    </r>
    <r>
      <rPr>
        <vertAlign val="subscript"/>
        <sz val="14"/>
        <color theme="1"/>
        <rFont val="Calibri"/>
        <family val="2"/>
        <scheme val="minor"/>
      </rPr>
      <t>2</t>
    </r>
    <r>
      <rPr>
        <sz val="14"/>
        <color theme="1"/>
        <rFont val="Calibri"/>
        <family val="2"/>
        <scheme val="minor"/>
      </rPr>
      <t>]</t>
    </r>
  </si>
  <si>
    <t>Flame Temp (k)</t>
  </si>
  <si>
    <t>5% EGR</t>
  </si>
  <si>
    <t>EGR</t>
  </si>
  <si>
    <t>10 % EGR</t>
  </si>
  <si>
    <t>15% EGR</t>
  </si>
  <si>
    <t>20% EGR</t>
  </si>
  <si>
    <r>
      <t>(n</t>
    </r>
    <r>
      <rPr>
        <vertAlign val="subscript"/>
        <sz val="16"/>
        <color theme="1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>) CO</t>
    </r>
    <r>
      <rPr>
        <vertAlign val="subscript"/>
        <sz val="16"/>
        <color theme="1"/>
        <rFont val="Calibri"/>
        <family val="2"/>
        <scheme val="minor"/>
      </rPr>
      <t>2</t>
    </r>
  </si>
  <si>
    <r>
      <t>(n</t>
    </r>
    <r>
      <rPr>
        <vertAlign val="subscript"/>
        <sz val="16"/>
        <color theme="1"/>
        <rFont val="Calibri"/>
        <family val="2"/>
        <scheme val="minor"/>
      </rPr>
      <t>2</t>
    </r>
    <r>
      <rPr>
        <sz val="16"/>
        <color theme="1"/>
        <rFont val="Calibri"/>
        <family val="2"/>
        <scheme val="minor"/>
      </rPr>
      <t>) H</t>
    </r>
    <r>
      <rPr>
        <vertAlign val="subscript"/>
        <sz val="16"/>
        <color theme="1"/>
        <rFont val="Calibri"/>
        <family val="2"/>
        <scheme val="minor"/>
      </rPr>
      <t>2</t>
    </r>
    <r>
      <rPr>
        <sz val="16"/>
        <color theme="1"/>
        <rFont val="Calibri"/>
        <family val="2"/>
        <scheme val="minor"/>
      </rPr>
      <t>O</t>
    </r>
  </si>
  <si>
    <r>
      <t>(n</t>
    </r>
    <r>
      <rPr>
        <vertAlign val="subscript"/>
        <sz val="16"/>
        <color theme="1"/>
        <rFont val="Calibri"/>
        <family val="2"/>
        <scheme val="minor"/>
      </rPr>
      <t>3</t>
    </r>
    <r>
      <rPr>
        <sz val="16"/>
        <color theme="1"/>
        <rFont val="Calibri"/>
        <family val="2"/>
        <scheme val="minor"/>
      </rPr>
      <t>) O</t>
    </r>
    <r>
      <rPr>
        <vertAlign val="subscript"/>
        <sz val="16"/>
        <color theme="1"/>
        <rFont val="Calibri"/>
        <family val="2"/>
        <scheme val="minor"/>
      </rPr>
      <t>2</t>
    </r>
  </si>
  <si>
    <r>
      <t>(n</t>
    </r>
    <r>
      <rPr>
        <vertAlign val="subscript"/>
        <sz val="16"/>
        <color theme="1"/>
        <rFont val="Calibri"/>
        <family val="2"/>
        <scheme val="minor"/>
      </rPr>
      <t>4</t>
    </r>
    <r>
      <rPr>
        <sz val="16"/>
        <color theme="1"/>
        <rFont val="Calibri"/>
        <family val="2"/>
        <scheme val="minor"/>
      </rPr>
      <t>) N</t>
    </r>
    <r>
      <rPr>
        <vertAlign val="subscript"/>
        <sz val="16"/>
        <color theme="1"/>
        <rFont val="Calibri"/>
        <family val="2"/>
        <scheme val="minor"/>
      </rPr>
      <t>2</t>
    </r>
  </si>
  <si>
    <r>
      <t>[O</t>
    </r>
    <r>
      <rPr>
        <vertAlign val="subscript"/>
        <sz val="16"/>
        <color theme="1"/>
        <rFont val="Calibri"/>
        <family val="2"/>
        <scheme val="minor"/>
      </rPr>
      <t>2</t>
    </r>
    <r>
      <rPr>
        <sz val="16"/>
        <color theme="1"/>
        <rFont val="Calibri"/>
        <family val="2"/>
        <scheme val="minor"/>
      </rPr>
      <t>]</t>
    </r>
  </si>
  <si>
    <r>
      <t>[N</t>
    </r>
    <r>
      <rPr>
        <vertAlign val="subscript"/>
        <sz val="16"/>
        <color theme="1"/>
        <rFont val="Calibri"/>
        <family val="2"/>
        <scheme val="minor"/>
      </rPr>
      <t>2</t>
    </r>
    <r>
      <rPr>
        <sz val="16"/>
        <color theme="1"/>
        <rFont val="Calibri"/>
        <family val="2"/>
        <scheme val="minor"/>
      </rPr>
      <t>]</t>
    </r>
  </si>
  <si>
    <t>% of EGR</t>
  </si>
  <si>
    <t>iso octane Goal seek Olynomial Equation</t>
  </si>
  <si>
    <t>No of kmol's drawn in at a sprcific Vc</t>
  </si>
  <si>
    <r>
      <t>[N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] </t>
    </r>
  </si>
  <si>
    <r>
      <t>[O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] </t>
    </r>
  </si>
  <si>
    <t>(n) no of kmols Drawn Per cycle</t>
  </si>
  <si>
    <t>PPM</t>
  </si>
  <si>
    <t>% Reduction in Nox Per EGR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</si>
</sst>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0.0"/>
    <numFmt numFmtId="165" formatCode="0.000"/>
    <numFmt numFmtId="166" formatCode="0.00000000"/>
    <numFmt numFmtId="167" formatCode="0.0000"/>
    <numFmt numFmtId="168" formatCode="0.000000"/>
    <numFmt numFmtId="169" formatCode="0.000E+00"/>
    <numFmt numFmtId="170" formatCode="0.00000E+00"/>
  </numFmts>
  <fonts count="30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name val="Times New Roman"/>
      <family val="2"/>
    </font>
    <font>
      <sz val="9"/>
      <name val="Times New Roman"/>
      <family val="2"/>
    </font>
    <font>
      <sz val="9"/>
      <name val="Arial"/>
      <family val="2"/>
    </font>
    <font>
      <sz val="8"/>
      <name val="Times New Roman"/>
      <family val="2"/>
    </font>
    <font>
      <b/>
      <sz val="9"/>
      <name val="Arial"/>
      <family val="2"/>
    </font>
    <font>
      <sz val="9"/>
      <color rgb="FF595959"/>
      <name val="Calibri"/>
      <family val="2"/>
      <scheme val="minor"/>
    </font>
    <font>
      <vertAlign val="superscript"/>
      <sz val="9"/>
      <color rgb="FF595959"/>
      <name val="Calibri"/>
      <family val="2"/>
      <scheme val="minor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vertAlign val="subscript"/>
      <sz val="14"/>
      <name val="Times New Roman"/>
      <family val="1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vertAlign val="subscript"/>
      <sz val="14"/>
      <color theme="1"/>
      <name val="Calibri"/>
      <family val="2"/>
      <scheme val="minor"/>
    </font>
    <font>
      <vertAlign val="subscript"/>
      <sz val="16"/>
      <color theme="1"/>
      <name val="Calibri"/>
      <family val="2"/>
      <scheme val="minor"/>
    </font>
    <font>
      <vertAlign val="subscript"/>
      <sz val="18"/>
      <color theme="1"/>
      <name val="Calibri"/>
      <family val="2"/>
      <scheme val="minor"/>
    </font>
    <font>
      <sz val="16"/>
      <color theme="1"/>
      <name val="Calibri"/>
      <family val="2"/>
    </font>
    <font>
      <vertAlign val="superscript"/>
      <sz val="11"/>
      <color theme="1"/>
      <name val="Calibri"/>
      <family val="2"/>
    </font>
    <font>
      <vertAlign val="subscript"/>
      <sz val="11"/>
      <color theme="1"/>
      <name val="Calibri"/>
      <family val="2"/>
    </font>
    <font>
      <sz val="12"/>
      <color theme="1"/>
      <name val="Calibri"/>
      <family val="2"/>
      <scheme val="minor"/>
    </font>
    <font>
      <vertAlign val="subscript"/>
      <sz val="12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76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2" borderId="0" xfId="0" applyFill="1"/>
    <xf numFmtId="0" fontId="0" fillId="3" borderId="8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/>
    </xf>
    <xf numFmtId="2" fontId="0" fillId="0" borderId="15" xfId="0" applyNumberFormat="1" applyFill="1" applyBorder="1" applyAlignment="1">
      <alignment horizontal="center" vertical="center"/>
    </xf>
    <xf numFmtId="2" fontId="0" fillId="0" borderId="16" xfId="0" applyNumberFormat="1" applyFill="1" applyBorder="1" applyAlignment="1">
      <alignment horizontal="center" vertical="center"/>
    </xf>
    <xf numFmtId="2" fontId="0" fillId="0" borderId="24" xfId="0" applyNumberForma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" fontId="6" fillId="0" borderId="25" xfId="0" applyNumberFormat="1" applyFont="1" applyBorder="1" applyAlignment="1">
      <alignment horizontal="center"/>
    </xf>
    <xf numFmtId="2" fontId="6" fillId="0" borderId="0" xfId="0" applyNumberFormat="1" applyFont="1" applyBorder="1" applyAlignment="1">
      <alignment horizontal="center"/>
    </xf>
    <xf numFmtId="2" fontId="6" fillId="0" borderId="26" xfId="0" applyNumberFormat="1" applyFont="1" applyBorder="1" applyAlignment="1">
      <alignment horizontal="center"/>
    </xf>
    <xf numFmtId="164" fontId="6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>
      <alignment horizontal="center"/>
    </xf>
    <xf numFmtId="1" fontId="6" fillId="0" borderId="26" xfId="0" applyNumberFormat="1" applyFont="1" applyBorder="1" applyAlignment="1">
      <alignment horizontal="center"/>
    </xf>
    <xf numFmtId="164" fontId="6" fillId="0" borderId="26" xfId="0" applyNumberFormat="1" applyFont="1" applyBorder="1" applyAlignment="1">
      <alignment horizontal="center"/>
    </xf>
    <xf numFmtId="3" fontId="6" fillId="0" borderId="25" xfId="0" applyNumberFormat="1" applyFont="1" applyBorder="1" applyAlignment="1">
      <alignment horizontal="center"/>
    </xf>
    <xf numFmtId="3" fontId="6" fillId="0" borderId="9" xfId="0" applyNumberFormat="1" applyFont="1" applyBorder="1" applyAlignment="1">
      <alignment horizontal="center"/>
    </xf>
    <xf numFmtId="2" fontId="6" fillId="0" borderId="12" xfId="0" applyNumberFormat="1" applyFont="1" applyBorder="1" applyAlignment="1">
      <alignment horizontal="center"/>
    </xf>
    <xf numFmtId="2" fontId="6" fillId="0" borderId="10" xfId="0" applyNumberFormat="1" applyFont="1" applyBorder="1" applyAlignment="1">
      <alignment horizont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3" borderId="2" xfId="0" applyNumberFormat="1" applyFont="1" applyFill="1" applyBorder="1" applyAlignment="1">
      <alignment horizontal="center" vertical="center"/>
    </xf>
    <xf numFmtId="2" fontId="6" fillId="0" borderId="27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1" fontId="6" fillId="0" borderId="28" xfId="0" applyNumberFormat="1" applyFont="1" applyBorder="1" applyAlignment="1">
      <alignment horizontal="center"/>
    </xf>
    <xf numFmtId="164" fontId="6" fillId="0" borderId="29" xfId="0" applyNumberFormat="1" applyFont="1" applyBorder="1" applyAlignment="1">
      <alignment horizontal="center"/>
    </xf>
    <xf numFmtId="1" fontId="6" fillId="0" borderId="30" xfId="0" applyNumberFormat="1" applyFont="1" applyBorder="1" applyAlignment="1">
      <alignment horizontal="center"/>
    </xf>
    <xf numFmtId="2" fontId="6" fillId="0" borderId="31" xfId="0" applyNumberFormat="1" applyFont="1" applyBorder="1" applyAlignment="1">
      <alignment horizontal="center"/>
    </xf>
    <xf numFmtId="3" fontId="6" fillId="0" borderId="30" xfId="0" applyNumberFormat="1" applyFont="1" applyBorder="1" applyAlignment="1">
      <alignment horizontal="center"/>
    </xf>
    <xf numFmtId="164" fontId="6" fillId="0" borderId="31" xfId="0" applyNumberFormat="1" applyFont="1" applyBorder="1" applyAlignment="1">
      <alignment horizontal="center"/>
    </xf>
    <xf numFmtId="1" fontId="6" fillId="0" borderId="31" xfId="0" applyNumberFormat="1" applyFont="1" applyBorder="1" applyAlignment="1">
      <alignment horizontal="center"/>
    </xf>
    <xf numFmtId="3" fontId="6" fillId="0" borderId="32" xfId="0" applyNumberFormat="1" applyFont="1" applyBorder="1" applyAlignment="1">
      <alignment horizontal="center"/>
    </xf>
    <xf numFmtId="2" fontId="6" fillId="0" borderId="33" xfId="0" applyNumberFormat="1" applyFont="1" applyBorder="1" applyAlignment="1">
      <alignment horizontal="center"/>
    </xf>
    <xf numFmtId="2" fontId="6" fillId="0" borderId="34" xfId="0" applyNumberFormat="1" applyFont="1" applyBorder="1" applyAlignment="1">
      <alignment horizontal="center"/>
    </xf>
    <xf numFmtId="2" fontId="6" fillId="0" borderId="29" xfId="0" applyNumberFormat="1" applyFont="1" applyBorder="1" applyAlignment="1">
      <alignment horizontal="center"/>
    </xf>
    <xf numFmtId="164" fontId="6" fillId="0" borderId="12" xfId="0" applyNumberFormat="1" applyFont="1" applyBorder="1" applyAlignment="1">
      <alignment horizontal="center"/>
    </xf>
    <xf numFmtId="0" fontId="6" fillId="2" borderId="0" xfId="0" applyNumberFormat="1" applyFont="1" applyFill="1"/>
    <xf numFmtId="2" fontId="6" fillId="0" borderId="0" xfId="0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horizontal="center" vertical="center"/>
    </xf>
    <xf numFmtId="165" fontId="6" fillId="0" borderId="0" xfId="0" applyNumberFormat="1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1" fontId="6" fillId="0" borderId="26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26" xfId="0" applyNumberFormat="1" applyFont="1" applyBorder="1" applyAlignment="1">
      <alignment horizontal="center" vertical="center"/>
    </xf>
    <xf numFmtId="2" fontId="6" fillId="0" borderId="12" xfId="0" applyNumberFormat="1" applyFont="1" applyBorder="1" applyAlignment="1">
      <alignment horizontal="center" vertical="center"/>
    </xf>
    <xf numFmtId="1" fontId="6" fillId="0" borderId="12" xfId="0" applyNumberFormat="1" applyFont="1" applyBorder="1" applyAlignment="1">
      <alignment horizontal="center" vertical="center"/>
    </xf>
    <xf numFmtId="164" fontId="6" fillId="0" borderId="12" xfId="0" applyNumberFormat="1" applyFont="1" applyBorder="1" applyAlignment="1">
      <alignment horizontal="center" vertical="center"/>
    </xf>
    <xf numFmtId="3" fontId="6" fillId="0" borderId="12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25" xfId="0" applyNumberFormat="1" applyFont="1" applyFill="1" applyBorder="1" applyAlignment="1">
      <alignment horizontal="center" vertical="center"/>
    </xf>
    <xf numFmtId="0" fontId="8" fillId="0" borderId="25" xfId="0" applyNumberFormat="1" applyFont="1" applyBorder="1" applyAlignment="1">
      <alignment horizontal="center" vertical="center"/>
    </xf>
    <xf numFmtId="0" fontId="6" fillId="0" borderId="25" xfId="0" applyNumberFormat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0" fontId="7" fillId="3" borderId="2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6" fillId="3" borderId="5" xfId="0" applyNumberFormat="1" applyFont="1" applyFill="1" applyBorder="1" applyAlignment="1">
      <alignment horizontal="center" vertical="center"/>
    </xf>
    <xf numFmtId="1" fontId="6" fillId="0" borderId="17" xfId="0" applyNumberFormat="1" applyFont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1" fontId="6" fillId="0" borderId="19" xfId="0" applyNumberFormat="1" applyFont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3" fontId="6" fillId="0" borderId="19" xfId="0" applyNumberFormat="1" applyFont="1" applyBorder="1" applyAlignment="1">
      <alignment horizontal="center" vertical="center"/>
    </xf>
    <xf numFmtId="3" fontId="6" fillId="0" borderId="20" xfId="0" applyNumberFormat="1" applyFont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0" fillId="0" borderId="36" xfId="0" applyNumberFormat="1" applyFill="1" applyBorder="1" applyAlignment="1">
      <alignment horizontal="center" vertical="center"/>
    </xf>
    <xf numFmtId="166" fontId="0" fillId="2" borderId="0" xfId="0" applyNumberForma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65" fontId="0" fillId="0" borderId="24" xfId="0" applyNumberFormat="1" applyFill="1" applyBorder="1" applyAlignment="1">
      <alignment horizontal="center" vertical="center"/>
    </xf>
    <xf numFmtId="0" fontId="8" fillId="3" borderId="2" xfId="0" applyNumberFormat="1" applyFont="1" applyFill="1" applyBorder="1" applyAlignment="1">
      <alignment horizontal="center" vertical="center"/>
    </xf>
    <xf numFmtId="2" fontId="0" fillId="2" borderId="0" xfId="0" applyNumberFormat="1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7" fillId="3" borderId="6" xfId="0" applyNumberFormat="1" applyFont="1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0" borderId="8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2" fontId="0" fillId="0" borderId="3" xfId="0" applyNumberFormat="1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67" fontId="0" fillId="0" borderId="3" xfId="0" applyNumberFormat="1" applyFill="1" applyBorder="1" applyAlignment="1">
      <alignment horizontal="center" vertical="center"/>
    </xf>
    <xf numFmtId="167" fontId="0" fillId="0" borderId="7" xfId="0" applyNumberForma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167" fontId="0" fillId="0" borderId="36" xfId="0" applyNumberFormat="1" applyFill="1" applyBorder="1" applyAlignment="1">
      <alignment horizontal="center" vertical="center"/>
    </xf>
    <xf numFmtId="167" fontId="0" fillId="0" borderId="4" xfId="0" applyNumberForma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2" fontId="0" fillId="0" borderId="14" xfId="0" applyNumberFormat="1" applyFill="1" applyBorder="1" applyAlignment="1">
      <alignment horizontal="center" vertical="center"/>
    </xf>
    <xf numFmtId="165" fontId="0" fillId="0" borderId="36" xfId="0" applyNumberFormat="1" applyFill="1" applyBorder="1" applyAlignment="1">
      <alignment horizontal="center" vertical="center"/>
    </xf>
    <xf numFmtId="165" fontId="0" fillId="0" borderId="3" xfId="0" applyNumberFormat="1" applyFill="1" applyBorder="1" applyAlignment="1">
      <alignment horizontal="center" vertical="center"/>
    </xf>
    <xf numFmtId="167" fontId="0" fillId="0" borderId="25" xfId="0" applyNumberFormat="1" applyFill="1" applyBorder="1" applyAlignment="1">
      <alignment horizontal="center" vertical="center"/>
    </xf>
    <xf numFmtId="167" fontId="0" fillId="0" borderId="9" xfId="0" applyNumberFormat="1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165" fontId="0" fillId="0" borderId="26" xfId="0" applyNumberFormat="1" applyFill="1" applyBorder="1" applyAlignment="1">
      <alignment horizontal="center" vertical="center"/>
    </xf>
    <xf numFmtId="165" fontId="0" fillId="0" borderId="10" xfId="0" applyNumberForma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2" fontId="0" fillId="0" borderId="12" xfId="0" applyNumberFormat="1" applyFill="1" applyBorder="1" applyAlignment="1">
      <alignment horizontal="center" vertical="center"/>
    </xf>
    <xf numFmtId="165" fontId="0" fillId="0" borderId="12" xfId="0" applyNumberFormat="1" applyFill="1" applyBorder="1" applyAlignment="1">
      <alignment horizontal="center" vertical="center"/>
    </xf>
    <xf numFmtId="2" fontId="0" fillId="0" borderId="8" xfId="0" applyNumberFormat="1" applyFill="1" applyBorder="1" applyAlignment="1">
      <alignment horizontal="center" vertical="center"/>
    </xf>
    <xf numFmtId="2" fontId="0" fillId="0" borderId="26" xfId="0" applyNumberFormat="1" applyFill="1" applyBorder="1" applyAlignment="1">
      <alignment horizontal="center" vertical="center"/>
    </xf>
    <xf numFmtId="2" fontId="0" fillId="0" borderId="10" xfId="0" applyNumberFormat="1" applyFill="1" applyBorder="1" applyAlignment="1">
      <alignment horizontal="center" vertical="center"/>
    </xf>
    <xf numFmtId="2" fontId="0" fillId="0" borderId="11" xfId="0" applyNumberFormat="1" applyFill="1" applyBorder="1" applyAlignment="1">
      <alignment horizontal="center" vertical="center"/>
    </xf>
    <xf numFmtId="165" fontId="0" fillId="0" borderId="8" xfId="0" applyNumberFormat="1" applyFill="1" applyBorder="1" applyAlignment="1">
      <alignment horizontal="center" vertical="center"/>
    </xf>
    <xf numFmtId="168" fontId="0" fillId="0" borderId="0" xfId="0" applyNumberFormat="1" applyFill="1" applyBorder="1" applyAlignment="1">
      <alignment horizontal="center" vertical="center"/>
    </xf>
    <xf numFmtId="11" fontId="0" fillId="0" borderId="36" xfId="0" applyNumberForma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 vertical="center"/>
    </xf>
    <xf numFmtId="11" fontId="0" fillId="0" borderId="3" xfId="0" applyNumberFormat="1" applyFill="1" applyBorder="1" applyAlignment="1">
      <alignment horizontal="center" vertical="center"/>
    </xf>
    <xf numFmtId="11" fontId="0" fillId="0" borderId="4" xfId="0" applyNumberFormat="1" applyFill="1" applyBorder="1" applyAlignment="1">
      <alignment horizontal="center" vertical="center"/>
    </xf>
    <xf numFmtId="11" fontId="0" fillId="0" borderId="0" xfId="0" applyNumberFormat="1" applyFill="1" applyBorder="1" applyAlignment="1">
      <alignment horizontal="center" vertical="center"/>
    </xf>
    <xf numFmtId="11" fontId="0" fillId="0" borderId="7" xfId="0" applyNumberFormat="1" applyFill="1" applyBorder="1" applyAlignment="1">
      <alignment horizontal="center" vertical="center"/>
    </xf>
    <xf numFmtId="11" fontId="0" fillId="0" borderId="25" xfId="0" applyNumberFormat="1" applyFill="1" applyBorder="1" applyAlignment="1">
      <alignment horizontal="center" vertical="center"/>
    </xf>
    <xf numFmtId="11" fontId="0" fillId="0" borderId="9" xfId="0" applyNumberFormat="1" applyFill="1" applyBorder="1" applyAlignment="1">
      <alignment horizontal="center" vertical="center"/>
    </xf>
    <xf numFmtId="2" fontId="0" fillId="0" borderId="7" xfId="0" applyNumberFormat="1" applyFill="1" applyBorder="1" applyAlignment="1">
      <alignment horizontal="center" vertical="center"/>
    </xf>
    <xf numFmtId="2" fontId="0" fillId="0" borderId="25" xfId="0" applyNumberFormat="1" applyFill="1" applyBorder="1" applyAlignment="1">
      <alignment horizontal="center" vertical="center"/>
    </xf>
    <xf numFmtId="2" fontId="0" fillId="0" borderId="9" xfId="0" applyNumberFormat="1" applyFill="1" applyBorder="1" applyAlignment="1">
      <alignment horizontal="center" vertical="center"/>
    </xf>
    <xf numFmtId="167" fontId="0" fillId="0" borderId="0" xfId="0" applyNumberForma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2" fontId="20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165" fontId="0" fillId="0" borderId="9" xfId="0" applyNumberFormat="1" applyFill="1" applyBorder="1" applyAlignment="1">
      <alignment horizontal="center" vertical="center"/>
    </xf>
    <xf numFmtId="2" fontId="18" fillId="0" borderId="0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169" fontId="0" fillId="0" borderId="0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1" fontId="0" fillId="2" borderId="3" xfId="0" applyNumberFormat="1" applyFill="1" applyBorder="1" applyAlignment="1">
      <alignment horizontal="center" vertical="center"/>
    </xf>
    <xf numFmtId="170" fontId="0" fillId="0" borderId="36" xfId="0" applyNumberFormat="1" applyFill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167" fontId="0" fillId="0" borderId="26" xfId="0" applyNumberFormat="1" applyFill="1" applyBorder="1" applyAlignment="1">
      <alignment horizontal="center" vertical="center"/>
    </xf>
    <xf numFmtId="167" fontId="0" fillId="0" borderId="10" xfId="0" applyNumberForma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2" fontId="0" fillId="0" borderId="3" xfId="0" applyNumberFormat="1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164" fontId="0" fillId="2" borderId="4" xfId="0" applyNumberFormat="1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7" fillId="2" borderId="0" xfId="0" applyFont="1" applyFill="1" applyBorder="1" applyAlignment="1">
      <alignment vertical="center"/>
    </xf>
    <xf numFmtId="0" fontId="18" fillId="2" borderId="0" xfId="0" applyFont="1" applyFill="1" applyBorder="1" applyAlignment="1">
      <alignment vertical="center"/>
    </xf>
    <xf numFmtId="2" fontId="0" fillId="0" borderId="17" xfId="0" applyNumberFormat="1" applyFill="1" applyBorder="1" applyAlignment="1">
      <alignment horizontal="center" vertical="center"/>
    </xf>
    <xf numFmtId="11" fontId="0" fillId="0" borderId="26" xfId="0" applyNumberFormat="1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2" fontId="0" fillId="0" borderId="24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 vertical="center"/>
    </xf>
    <xf numFmtId="0" fontId="27" fillId="3" borderId="6" xfId="0" applyFont="1" applyFill="1" applyBorder="1" applyAlignment="1">
      <alignment horizontal="center" vertical="center"/>
    </xf>
    <xf numFmtId="0" fontId="27" fillId="3" borderId="2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67" fontId="0" fillId="2" borderId="0" xfId="0" applyNumberFormat="1" applyFill="1" applyBorder="1" applyAlignment="1">
      <alignment horizontal="center" vertical="center"/>
    </xf>
    <xf numFmtId="11" fontId="0" fillId="2" borderId="0" xfId="0" applyNumberFormat="1" applyFill="1" applyBorder="1" applyAlignment="1">
      <alignment horizontal="center" vertical="center"/>
    </xf>
    <xf numFmtId="165" fontId="0" fillId="2" borderId="0" xfId="0" applyNumberFormat="1" applyFill="1" applyBorder="1" applyAlignment="1">
      <alignment horizontal="center" vertical="center"/>
    </xf>
    <xf numFmtId="11" fontId="0" fillId="0" borderId="10" xfId="0" applyNumberFormat="1" applyFill="1" applyBorder="1" applyAlignment="1">
      <alignment horizontal="center" vertical="center"/>
    </xf>
    <xf numFmtId="167" fontId="0" fillId="0" borderId="12" xfId="0" applyNumberFormat="1" applyFill="1" applyBorder="1" applyAlignment="1">
      <alignment horizontal="center" vertical="center"/>
    </xf>
    <xf numFmtId="11" fontId="0" fillId="0" borderId="12" xfId="0" applyNumberForma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 vertical="center"/>
    </xf>
    <xf numFmtId="168" fontId="0" fillId="2" borderId="0" xfId="0" applyNumberFormat="1" applyFill="1" applyBorder="1" applyAlignment="1">
      <alignment horizontal="center" vertical="center"/>
    </xf>
    <xf numFmtId="169" fontId="0" fillId="2" borderId="0" xfId="0" applyNumberFormat="1" applyFill="1" applyBorder="1" applyAlignment="1">
      <alignment horizontal="center" vertical="center"/>
    </xf>
    <xf numFmtId="2" fontId="18" fillId="2" borderId="0" xfId="0" applyNumberFormat="1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170" fontId="0" fillId="2" borderId="0" xfId="0" applyNumberFormat="1" applyFill="1" applyBorder="1" applyAlignment="1">
      <alignment horizontal="center" vertical="center"/>
    </xf>
    <xf numFmtId="0" fontId="20" fillId="2" borderId="0" xfId="0" applyFont="1" applyFill="1" applyBorder="1" applyAlignment="1">
      <alignment vertical="center"/>
    </xf>
    <xf numFmtId="0" fontId="19" fillId="2" borderId="0" xfId="0" applyFont="1" applyFill="1" applyBorder="1" applyAlignment="1">
      <alignment vertical="center"/>
    </xf>
    <xf numFmtId="0" fontId="0" fillId="3" borderId="1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/>
    </xf>
    <xf numFmtId="2" fontId="0" fillId="0" borderId="3" xfId="0" applyNumberFormat="1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8" fillId="3" borderId="13" xfId="0" applyFont="1" applyFill="1" applyBorder="1" applyAlignment="1">
      <alignment horizontal="center" vertical="center"/>
    </xf>
    <xf numFmtId="0" fontId="18" fillId="3" borderId="12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/>
    </xf>
    <xf numFmtId="0" fontId="6" fillId="4" borderId="9" xfId="0" applyNumberFormat="1" applyFont="1" applyFill="1" applyBorder="1" applyAlignment="1">
      <alignment horizontal="left"/>
    </xf>
    <xf numFmtId="0" fontId="6" fillId="4" borderId="12" xfId="0" applyNumberFormat="1" applyFont="1" applyFill="1" applyBorder="1" applyAlignment="1">
      <alignment horizontal="left"/>
    </xf>
    <xf numFmtId="0" fontId="6" fillId="4" borderId="10" xfId="0" applyNumberFormat="1" applyFont="1" applyFill="1" applyBorder="1" applyAlignment="1">
      <alignment horizontal="left"/>
    </xf>
    <xf numFmtId="0" fontId="6" fillId="3" borderId="3" xfId="0" applyNumberFormat="1" applyFont="1" applyFill="1" applyBorder="1" applyAlignment="1">
      <alignment horizontal="center" vertical="center"/>
    </xf>
    <xf numFmtId="0" fontId="6" fillId="3" borderId="35" xfId="0" applyNumberFormat="1" applyFont="1" applyFill="1" applyBorder="1" applyAlignment="1">
      <alignment horizontal="center" vertical="center"/>
    </xf>
    <xf numFmtId="0" fontId="6" fillId="3" borderId="4" xfId="0" applyNumberFormat="1" applyFont="1" applyFill="1" applyBorder="1" applyAlignment="1">
      <alignment horizontal="center" vertical="center"/>
    </xf>
    <xf numFmtId="0" fontId="5" fillId="3" borderId="5" xfId="0" applyNumberFormat="1" applyFont="1" applyFill="1" applyBorder="1" applyAlignment="1">
      <alignment horizontal="left"/>
    </xf>
    <xf numFmtId="0" fontId="5" fillId="3" borderId="13" xfId="0" applyNumberFormat="1" applyFont="1" applyFill="1" applyBorder="1" applyAlignment="1">
      <alignment horizontal="left"/>
    </xf>
    <xf numFmtId="0" fontId="5" fillId="3" borderId="6" xfId="0" applyNumberFormat="1" applyFont="1" applyFill="1" applyBorder="1" applyAlignment="1">
      <alignment horizontal="left"/>
    </xf>
    <xf numFmtId="0" fontId="6" fillId="4" borderId="7" xfId="0" applyNumberFormat="1" applyFont="1" applyFill="1" applyBorder="1" applyAlignment="1">
      <alignment horizontal="left"/>
    </xf>
    <xf numFmtId="0" fontId="6" fillId="4" borderId="11" xfId="0" applyNumberFormat="1" applyFont="1" applyFill="1" applyBorder="1" applyAlignment="1">
      <alignment horizontal="left"/>
    </xf>
    <xf numFmtId="0" fontId="6" fillId="4" borderId="8" xfId="0" applyNumberFormat="1" applyFont="1" applyFill="1" applyBorder="1" applyAlignment="1">
      <alignment horizontal="left"/>
    </xf>
    <xf numFmtId="0" fontId="6" fillId="4" borderId="25" xfId="0" applyNumberFormat="1" applyFont="1" applyFill="1" applyBorder="1" applyAlignment="1">
      <alignment horizontal="left"/>
    </xf>
    <xf numFmtId="0" fontId="6" fillId="4" borderId="0" xfId="0" applyNumberFormat="1" applyFont="1" applyFill="1" applyBorder="1" applyAlignment="1">
      <alignment horizontal="left"/>
    </xf>
    <xf numFmtId="0" fontId="6" fillId="4" borderId="26" xfId="0" applyNumberFormat="1" applyFont="1" applyFill="1" applyBorder="1" applyAlignment="1">
      <alignment horizontal="left"/>
    </xf>
    <xf numFmtId="0" fontId="5" fillId="3" borderId="5" xfId="0" applyNumberFormat="1" applyFont="1" applyFill="1" applyBorder="1" applyAlignment="1">
      <alignment horizontal="center"/>
    </xf>
    <xf numFmtId="0" fontId="5" fillId="3" borderId="13" xfId="0" applyNumberFormat="1" applyFont="1" applyFill="1" applyBorder="1" applyAlignment="1">
      <alignment horizontal="center"/>
    </xf>
    <xf numFmtId="0" fontId="5" fillId="3" borderId="6" xfId="0" applyNumberFormat="1" applyFont="1" applyFill="1" applyBorder="1" applyAlignment="1">
      <alignment horizontal="center"/>
    </xf>
    <xf numFmtId="0" fontId="12" fillId="3" borderId="7" xfId="0" applyFont="1" applyFill="1" applyBorder="1" applyAlignment="1">
      <alignment horizontal="center" vertical="center" wrapText="1" readingOrder="1"/>
    </xf>
    <xf numFmtId="0" fontId="12" fillId="3" borderId="11" xfId="0" applyFont="1" applyFill="1" applyBorder="1" applyAlignment="1">
      <alignment horizontal="center" vertical="center" wrapText="1" readingOrder="1"/>
    </xf>
    <xf numFmtId="0" fontId="12" fillId="3" borderId="8" xfId="0" applyFont="1" applyFill="1" applyBorder="1" applyAlignment="1">
      <alignment horizontal="center" vertical="center" wrapText="1" readingOrder="1"/>
    </xf>
    <xf numFmtId="0" fontId="12" fillId="3" borderId="25" xfId="0" applyFont="1" applyFill="1" applyBorder="1" applyAlignment="1">
      <alignment horizontal="center" vertical="center" wrapText="1" readingOrder="1"/>
    </xf>
    <xf numFmtId="0" fontId="12" fillId="3" borderId="0" xfId="0" applyFont="1" applyFill="1" applyBorder="1" applyAlignment="1">
      <alignment horizontal="center" vertical="center" wrapText="1" readingOrder="1"/>
    </xf>
    <xf numFmtId="0" fontId="12" fillId="3" borderId="26" xfId="0" applyFont="1" applyFill="1" applyBorder="1" applyAlignment="1">
      <alignment horizontal="center" vertical="center" wrapText="1" readingOrder="1"/>
    </xf>
    <xf numFmtId="0" fontId="12" fillId="3" borderId="9" xfId="0" applyFont="1" applyFill="1" applyBorder="1" applyAlignment="1">
      <alignment horizontal="center" vertical="center" wrapText="1" readingOrder="1"/>
    </xf>
    <xf numFmtId="0" fontId="12" fillId="3" borderId="12" xfId="0" applyFont="1" applyFill="1" applyBorder="1" applyAlignment="1">
      <alignment horizontal="center" vertical="center" wrapText="1" readingOrder="1"/>
    </xf>
    <xf numFmtId="0" fontId="12" fillId="3" borderId="10" xfId="0" applyFont="1" applyFill="1" applyBorder="1" applyAlignment="1">
      <alignment horizontal="center" vertical="center" wrapText="1" readingOrder="1"/>
    </xf>
    <xf numFmtId="0" fontId="0" fillId="3" borderId="7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 readingOrder="1"/>
    </xf>
    <xf numFmtId="0" fontId="10" fillId="0" borderId="13" xfId="0" applyFont="1" applyBorder="1" applyAlignment="1">
      <alignment horizontal="center" vertical="center" wrapText="1" readingOrder="1"/>
    </xf>
    <xf numFmtId="0" fontId="10" fillId="0" borderId="6" xfId="0" applyFont="1" applyBorder="1" applyAlignment="1">
      <alignment horizontal="center" vertical="center" wrapText="1" readingOrder="1"/>
    </xf>
    <xf numFmtId="0" fontId="10" fillId="0" borderId="5" xfId="0" applyFont="1" applyBorder="1" applyAlignment="1">
      <alignment horizontal="center" vertical="center" readingOrder="1"/>
    </xf>
    <xf numFmtId="0" fontId="10" fillId="0" borderId="13" xfId="0" applyFont="1" applyBorder="1" applyAlignment="1">
      <alignment horizontal="center" vertical="center" readingOrder="1"/>
    </xf>
    <xf numFmtId="0" fontId="10" fillId="0" borderId="6" xfId="0" applyFont="1" applyBorder="1" applyAlignment="1">
      <alignment horizontal="center" vertical="center" readingOrder="1"/>
    </xf>
    <xf numFmtId="0" fontId="5" fillId="3" borderId="7" xfId="0" applyNumberFormat="1" applyFont="1" applyFill="1" applyBorder="1" applyAlignment="1">
      <alignment horizontal="center"/>
    </xf>
    <xf numFmtId="0" fontId="5" fillId="3" borderId="11" xfId="0" applyNumberFormat="1" applyFont="1" applyFill="1" applyBorder="1" applyAlignment="1">
      <alignment horizontal="center"/>
    </xf>
    <xf numFmtId="0" fontId="5" fillId="3" borderId="8" xfId="0" applyNumberFormat="1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2" fillId="0" borderId="5" xfId="1" applyBorder="1" applyAlignment="1">
      <alignment horizontal="center"/>
    </xf>
    <xf numFmtId="0" fontId="2" fillId="0" borderId="13" xfId="1" applyBorder="1" applyAlignment="1">
      <alignment horizontal="center"/>
    </xf>
    <xf numFmtId="0" fontId="2" fillId="0" borderId="6" xfId="1" applyBorder="1" applyAlignment="1">
      <alignment horizontal="center"/>
    </xf>
    <xf numFmtId="0" fontId="17" fillId="0" borderId="5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/>
    </xf>
    <xf numFmtId="0" fontId="19" fillId="3" borderId="11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center" vertical="center"/>
    </xf>
    <xf numFmtId="0" fontId="19" fillId="3" borderId="12" xfId="0" applyFont="1" applyFill="1" applyBorder="1" applyAlignment="1">
      <alignment horizontal="center" vertical="center"/>
    </xf>
    <xf numFmtId="0" fontId="19" fillId="3" borderId="10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/>
    </xf>
    <xf numFmtId="0" fontId="17" fillId="3" borderId="6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quotePrefix="1" applyFill="1" applyBorder="1" applyAlignment="1">
      <alignment horizontal="center" vertical="center"/>
    </xf>
    <xf numFmtId="2" fontId="0" fillId="0" borderId="3" xfId="0" applyNumberFormat="1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 vertical="center"/>
    </xf>
    <xf numFmtId="0" fontId="0" fillId="0" borderId="7" xfId="0" quotePrefix="1" applyFill="1" applyBorder="1" applyAlignment="1">
      <alignment horizontal="center" vertical="center"/>
    </xf>
    <xf numFmtId="0" fontId="0" fillId="0" borderId="9" xfId="0" quotePrefix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0" fontId="18" fillId="3" borderId="9" xfId="0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/>
    </xf>
    <xf numFmtId="0" fontId="18" fillId="3" borderId="12" xfId="0" applyFont="1" applyFill="1" applyBorder="1" applyAlignment="1">
      <alignment horizontal="center" vertical="center"/>
    </xf>
    <xf numFmtId="2" fontId="18" fillId="0" borderId="7" xfId="0" applyNumberFormat="1" applyFont="1" applyFill="1" applyBorder="1" applyAlignment="1">
      <alignment horizontal="center" vertical="center"/>
    </xf>
    <xf numFmtId="2" fontId="18" fillId="0" borderId="11" xfId="0" applyNumberFormat="1" applyFont="1" applyFill="1" applyBorder="1" applyAlignment="1">
      <alignment horizontal="center" vertical="center"/>
    </xf>
    <xf numFmtId="2" fontId="18" fillId="0" borderId="8" xfId="0" applyNumberFormat="1" applyFont="1" applyFill="1" applyBorder="1" applyAlignment="1">
      <alignment horizontal="center" vertical="center"/>
    </xf>
    <xf numFmtId="2" fontId="18" fillId="0" borderId="9" xfId="0" applyNumberFormat="1" applyFont="1" applyFill="1" applyBorder="1" applyAlignment="1">
      <alignment horizontal="center" vertical="center"/>
    </xf>
    <xf numFmtId="2" fontId="18" fillId="0" borderId="12" xfId="0" applyNumberFormat="1" applyFont="1" applyFill="1" applyBorder="1" applyAlignment="1">
      <alignment horizontal="center" vertical="center"/>
    </xf>
    <xf numFmtId="2" fontId="18" fillId="0" borderId="10" xfId="0" applyNumberFormat="1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20" fillId="3" borderId="7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20" fillId="3" borderId="9" xfId="0" applyFont="1" applyFill="1" applyBorder="1" applyAlignment="1">
      <alignment horizontal="center" vertical="center"/>
    </xf>
    <xf numFmtId="0" fontId="20" fillId="3" borderId="10" xfId="0" applyFont="1" applyFill="1" applyBorder="1" applyAlignment="1">
      <alignment horizontal="center" vertical="center"/>
    </xf>
    <xf numFmtId="2" fontId="20" fillId="0" borderId="7" xfId="0" applyNumberFormat="1" applyFont="1" applyFill="1" applyBorder="1" applyAlignment="1">
      <alignment horizontal="center" vertical="center"/>
    </xf>
    <xf numFmtId="2" fontId="20" fillId="0" borderId="11" xfId="0" applyNumberFormat="1" applyFont="1" applyFill="1" applyBorder="1" applyAlignment="1">
      <alignment horizontal="center" vertical="center"/>
    </xf>
    <xf numFmtId="2" fontId="20" fillId="0" borderId="8" xfId="0" applyNumberFormat="1" applyFont="1" applyFill="1" applyBorder="1" applyAlignment="1">
      <alignment horizontal="center" vertical="center"/>
    </xf>
    <xf numFmtId="2" fontId="20" fillId="0" borderId="9" xfId="0" applyNumberFormat="1" applyFont="1" applyFill="1" applyBorder="1" applyAlignment="1">
      <alignment horizontal="center" vertical="center"/>
    </xf>
    <xf numFmtId="2" fontId="20" fillId="0" borderId="12" xfId="0" applyNumberFormat="1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2" fontId="18" fillId="2" borderId="0" xfId="0" applyNumberFormat="1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0" fontId="3" fillId="3" borderId="7" xfId="0" applyNumberFormat="1" applyFont="1" applyFill="1" applyBorder="1" applyAlignment="1">
      <alignment horizontal="center" vertical="center"/>
    </xf>
    <xf numFmtId="170" fontId="3" fillId="3" borderId="11" xfId="0" applyNumberFormat="1" applyFont="1" applyFill="1" applyBorder="1" applyAlignment="1">
      <alignment horizontal="center" vertical="center"/>
    </xf>
    <xf numFmtId="170" fontId="3" fillId="3" borderId="8" xfId="0" applyNumberFormat="1" applyFont="1" applyFill="1" applyBorder="1" applyAlignment="1">
      <alignment horizontal="center" vertical="center"/>
    </xf>
    <xf numFmtId="170" fontId="3" fillId="3" borderId="9" xfId="0" applyNumberFormat="1" applyFont="1" applyFill="1" applyBorder="1" applyAlignment="1">
      <alignment horizontal="center" vertical="center"/>
    </xf>
    <xf numFmtId="170" fontId="3" fillId="3" borderId="12" xfId="0" applyNumberFormat="1" applyFont="1" applyFill="1" applyBorder="1" applyAlignment="1">
      <alignment horizontal="center" vertical="center"/>
    </xf>
    <xf numFmtId="170" fontId="3" fillId="3" borderId="10" xfId="0" applyNumberFormat="1" applyFont="1" applyFill="1" applyBorder="1" applyAlignment="1">
      <alignment horizontal="center" vertical="center"/>
    </xf>
    <xf numFmtId="170" fontId="29" fillId="3" borderId="7" xfId="0" applyNumberFormat="1" applyFont="1" applyFill="1" applyBorder="1" applyAlignment="1">
      <alignment horizontal="center" vertical="center"/>
    </xf>
    <xf numFmtId="170" fontId="29" fillId="3" borderId="11" xfId="0" applyNumberFormat="1" applyFont="1" applyFill="1" applyBorder="1" applyAlignment="1">
      <alignment horizontal="center" vertical="center"/>
    </xf>
    <xf numFmtId="170" fontId="29" fillId="3" borderId="8" xfId="0" applyNumberFormat="1" applyFont="1" applyFill="1" applyBorder="1" applyAlignment="1">
      <alignment horizontal="center" vertical="center"/>
    </xf>
    <xf numFmtId="170" fontId="29" fillId="3" borderId="9" xfId="0" applyNumberFormat="1" applyFont="1" applyFill="1" applyBorder="1" applyAlignment="1">
      <alignment horizontal="center" vertical="center"/>
    </xf>
    <xf numFmtId="170" fontId="29" fillId="3" borderId="12" xfId="0" applyNumberFormat="1" applyFont="1" applyFill="1" applyBorder="1" applyAlignment="1">
      <alignment horizontal="center" vertical="center"/>
    </xf>
    <xf numFmtId="170" fontId="29" fillId="3" borderId="10" xfId="0" applyNumberFormat="1" applyFont="1" applyFill="1" applyBorder="1" applyAlignment="1">
      <alignment horizontal="center" vertical="center"/>
    </xf>
    <xf numFmtId="167" fontId="0" fillId="0" borderId="8" xfId="0" applyNumberForma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0" fontId="17" fillId="3" borderId="36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0" fontId="18" fillId="3" borderId="36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/>
    </xf>
    <xf numFmtId="0" fontId="18" fillId="0" borderId="13" xfId="0" applyFont="1" applyFill="1" applyBorder="1" applyAlignment="1">
      <alignment horizontal="center"/>
    </xf>
    <xf numFmtId="0" fontId="18" fillId="0" borderId="6" xfId="0" applyFont="1" applyFill="1" applyBorder="1" applyAlignment="1">
      <alignment horizontal="center"/>
    </xf>
    <xf numFmtId="0" fontId="0" fillId="3" borderId="15" xfId="0" applyFill="1" applyBorder="1" applyAlignment="1">
      <alignment horizontal="center" vertical="center"/>
    </xf>
    <xf numFmtId="2" fontId="18" fillId="2" borderId="0" xfId="0" applyNumberFormat="1" applyFont="1" applyFill="1" applyBorder="1" applyAlignment="1">
      <alignment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11" fontId="0" fillId="0" borderId="26" xfId="0" applyNumberFormat="1" applyFont="1" applyFill="1" applyBorder="1" applyAlignment="1">
      <alignment horizontal="center" vertical="center"/>
    </xf>
    <xf numFmtId="11" fontId="0" fillId="0" borderId="25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65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167" fontId="0" fillId="0" borderId="0" xfId="0" applyNumberFormat="1" applyFont="1" applyFill="1" applyBorder="1" applyAlignment="1">
      <alignment horizontal="center" vertical="center"/>
    </xf>
    <xf numFmtId="165" fontId="0" fillId="0" borderId="26" xfId="0" applyNumberFormat="1" applyFont="1" applyFill="1" applyBorder="1" applyAlignment="1">
      <alignment horizontal="center" vertical="center"/>
    </xf>
    <xf numFmtId="11" fontId="0" fillId="0" borderId="0" xfId="0" applyNumberFormat="1" applyFont="1" applyFill="1" applyBorder="1" applyAlignment="1">
      <alignment horizontal="center" vertical="center"/>
    </xf>
    <xf numFmtId="2" fontId="0" fillId="0" borderId="26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vertical="center"/>
    </xf>
    <xf numFmtId="0" fontId="0" fillId="0" borderId="7" xfId="0" quotePrefix="1" applyFill="1" applyBorder="1" applyAlignment="1">
      <alignment vertical="center"/>
    </xf>
    <xf numFmtId="0" fontId="0" fillId="0" borderId="9" xfId="0" quotePrefix="1" applyFill="1" applyBorder="1" applyAlignment="1">
      <alignment vertical="center"/>
    </xf>
    <xf numFmtId="9" fontId="0" fillId="0" borderId="7" xfId="0" applyNumberFormat="1" applyFill="1" applyBorder="1" applyAlignment="1">
      <alignment horizontal="center" vertical="center"/>
    </xf>
    <xf numFmtId="9" fontId="0" fillId="0" borderId="25" xfId="0" applyNumberFormat="1" applyFill="1" applyBorder="1" applyAlignment="1">
      <alignment horizontal="center" vertical="center"/>
    </xf>
    <xf numFmtId="9" fontId="0" fillId="0" borderId="9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vertical="center"/>
    </xf>
    <xf numFmtId="0" fontId="17" fillId="0" borderId="2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6429855643044621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CO2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1.7097550306211722E-2"/>
                  <c:y val="-2.3564814814814816E-2"/>
                </c:manualLayout>
              </c:layout>
              <c:numFmt formatCode="#,##0.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'CO2'!$F$6:$F$73</c:f>
              <c:numCache>
                <c:formatCode>0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'CO2'!$H$6:$H$73</c:f>
              <c:numCache>
                <c:formatCode>0.00</c:formatCode>
                <c:ptCount val="68"/>
                <c:pt idx="0">
                  <c:v>-3.42</c:v>
                </c:pt>
                <c:pt idx="1">
                  <c:v>-1.74</c:v>
                </c:pt>
                <c:pt idx="2" formatCode="0">
                  <c:v>0</c:v>
                </c:pt>
                <c:pt idx="3">
                  <c:v>7.0000000000000007E-2</c:v>
                </c:pt>
                <c:pt idx="4">
                  <c:v>1.99</c:v>
                </c:pt>
                <c:pt idx="5" formatCode="0">
                  <c:v>4</c:v>
                </c:pt>
                <c:pt idx="6">
                  <c:v>6.11</c:v>
                </c:pt>
                <c:pt idx="7" formatCode="0.0">
                  <c:v>8.3000000000000007</c:v>
                </c:pt>
                <c:pt idx="8">
                  <c:v>10.56</c:v>
                </c:pt>
                <c:pt idx="9" formatCode="0.0">
                  <c:v>12.9</c:v>
                </c:pt>
                <c:pt idx="10">
                  <c:v>15.29</c:v>
                </c:pt>
                <c:pt idx="11">
                  <c:v>17.75</c:v>
                </c:pt>
                <c:pt idx="12">
                  <c:v>20.25</c:v>
                </c:pt>
                <c:pt idx="13">
                  <c:v>22.81</c:v>
                </c:pt>
                <c:pt idx="14">
                  <c:v>25.41</c:v>
                </c:pt>
                <c:pt idx="15">
                  <c:v>28.05</c:v>
                </c:pt>
                <c:pt idx="16">
                  <c:v>30.72</c:v>
                </c:pt>
                <c:pt idx="17">
                  <c:v>33.42</c:v>
                </c:pt>
                <c:pt idx="18">
                  <c:v>36.15</c:v>
                </c:pt>
                <c:pt idx="19">
                  <c:v>38.909999999999997</c:v>
                </c:pt>
                <c:pt idx="20">
                  <c:v>41.69</c:v>
                </c:pt>
                <c:pt idx="21">
                  <c:v>44.49</c:v>
                </c:pt>
                <c:pt idx="22">
                  <c:v>47.31</c:v>
                </c:pt>
                <c:pt idx="23">
                  <c:v>50.15</c:v>
                </c:pt>
                <c:pt idx="24" formatCode="0">
                  <c:v>53</c:v>
                </c:pt>
                <c:pt idx="25">
                  <c:v>55.88</c:v>
                </c:pt>
                <c:pt idx="26">
                  <c:v>58.77</c:v>
                </c:pt>
                <c:pt idx="27">
                  <c:v>61.68</c:v>
                </c:pt>
                <c:pt idx="28" formatCode="0.0">
                  <c:v>64.599999999999994</c:v>
                </c:pt>
                <c:pt idx="29">
                  <c:v>67.540000000000006</c:v>
                </c:pt>
                <c:pt idx="30">
                  <c:v>70.48</c:v>
                </c:pt>
                <c:pt idx="31">
                  <c:v>73.44</c:v>
                </c:pt>
                <c:pt idx="32">
                  <c:v>76.41</c:v>
                </c:pt>
                <c:pt idx="33" formatCode="0.0">
                  <c:v>79.400000000000006</c:v>
                </c:pt>
                <c:pt idx="34">
                  <c:v>82.39</c:v>
                </c:pt>
                <c:pt idx="35">
                  <c:v>85.39</c:v>
                </c:pt>
                <c:pt idx="36" formatCode="0.0">
                  <c:v>88.4</c:v>
                </c:pt>
                <c:pt idx="37">
                  <c:v>91.42</c:v>
                </c:pt>
                <c:pt idx="38">
                  <c:v>94.44</c:v>
                </c:pt>
                <c:pt idx="39">
                  <c:v>97.47</c:v>
                </c:pt>
                <c:pt idx="40">
                  <c:v>100.51</c:v>
                </c:pt>
                <c:pt idx="41">
                  <c:v>103.56</c:v>
                </c:pt>
                <c:pt idx="42">
                  <c:v>106.61</c:v>
                </c:pt>
                <c:pt idx="43">
                  <c:v>109.66</c:v>
                </c:pt>
                <c:pt idx="44">
                  <c:v>112.73</c:v>
                </c:pt>
                <c:pt idx="45">
                  <c:v>115.79</c:v>
                </c:pt>
                <c:pt idx="46">
                  <c:v>118.86</c:v>
                </c:pt>
                <c:pt idx="47">
                  <c:v>121.94</c:v>
                </c:pt>
                <c:pt idx="48">
                  <c:v>125.02</c:v>
                </c:pt>
                <c:pt idx="49" formatCode="0.0">
                  <c:v>128.1</c:v>
                </c:pt>
                <c:pt idx="50">
                  <c:v>131.19</c:v>
                </c:pt>
                <c:pt idx="51">
                  <c:v>134.28</c:v>
                </c:pt>
                <c:pt idx="52">
                  <c:v>137.37</c:v>
                </c:pt>
                <c:pt idx="53">
                  <c:v>140.47</c:v>
                </c:pt>
                <c:pt idx="54">
                  <c:v>143.57</c:v>
                </c:pt>
                <c:pt idx="55">
                  <c:v>146.66999999999999</c:v>
                </c:pt>
                <c:pt idx="56">
                  <c:v>149.78</c:v>
                </c:pt>
                <c:pt idx="57">
                  <c:v>152.88</c:v>
                </c:pt>
                <c:pt idx="58">
                  <c:v>155.99</c:v>
                </c:pt>
                <c:pt idx="59">
                  <c:v>159.11000000000001</c:v>
                </c:pt>
                <c:pt idx="60">
                  <c:v>162.22</c:v>
                </c:pt>
                <c:pt idx="61">
                  <c:v>165.34</c:v>
                </c:pt>
                <c:pt idx="62">
                  <c:v>168.46</c:v>
                </c:pt>
                <c:pt idx="63">
                  <c:v>171.59</c:v>
                </c:pt>
                <c:pt idx="64">
                  <c:v>174.72</c:v>
                </c:pt>
                <c:pt idx="65">
                  <c:v>177.84</c:v>
                </c:pt>
                <c:pt idx="66">
                  <c:v>180.98</c:v>
                </c:pt>
                <c:pt idx="67">
                  <c:v>184.11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D8A-40BC-B97E-EDB5495DF6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8506576"/>
        <c:axId val="458508544"/>
      </c:scatterChart>
      <c:valAx>
        <c:axId val="458506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</a:t>
                </a:r>
                <a:r>
                  <a:rPr lang="en-GB" baseline="0"/>
                  <a:t> (K)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8508544"/>
        <c:crosses val="autoZero"/>
        <c:crossBetween val="midCat"/>
      </c:valAx>
      <c:valAx>
        <c:axId val="458508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Enthalpy of formation (ho</a:t>
                </a:r>
                <a:r>
                  <a:rPr lang="en-GB" baseline="0"/>
                  <a:t> (MJ/Kmol)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85065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H2O</a:t>
            </a:r>
          </a:p>
        </c:rich>
      </c:tx>
      <c:layout>
        <c:manualLayout>
          <c:xMode val="edge"/>
          <c:yMode val="edge"/>
          <c:x val="0.45681933508311462"/>
          <c:y val="0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6978937007874015"/>
          <c:y val="8.0168776371308023E-2"/>
          <c:w val="0.77432174103237095"/>
          <c:h val="0.80926143725705169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5.3206911636045497E-2"/>
                  <c:y val="-1.7780324927738463E-2"/>
                </c:manualLayout>
              </c:layout>
              <c:numFmt formatCode="0.000000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H2O!$E$10:$E$77</c:f>
              <c:numCache>
                <c:formatCode>0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H2O!$G$10:$G$77</c:f>
              <c:numCache>
                <c:formatCode>0.0</c:formatCode>
                <c:ptCount val="68"/>
                <c:pt idx="0" formatCode="0.00">
                  <c:v>-3.23</c:v>
                </c:pt>
                <c:pt idx="1">
                  <c:v>-1.6</c:v>
                </c:pt>
                <c:pt idx="2" formatCode="0">
                  <c:v>0</c:v>
                </c:pt>
                <c:pt idx="3" formatCode="0.00">
                  <c:v>0.06</c:v>
                </c:pt>
                <c:pt idx="4" formatCode="0.00">
                  <c:v>1.75</c:v>
                </c:pt>
                <c:pt idx="5" formatCode="0.00">
                  <c:v>3.46</c:v>
                </c:pt>
                <c:pt idx="6" formatCode="0.00">
                  <c:v>5.19</c:v>
                </c:pt>
                <c:pt idx="7" formatCode="0.00">
                  <c:v>6.95</c:v>
                </c:pt>
                <c:pt idx="8" formatCode="0.00">
                  <c:v>8.73</c:v>
                </c:pt>
                <c:pt idx="9" formatCode="0.00">
                  <c:v>10.53</c:v>
                </c:pt>
                <c:pt idx="10" formatCode="0.00">
                  <c:v>12.35</c:v>
                </c:pt>
                <c:pt idx="11" formatCode="0.00">
                  <c:v>14.21</c:v>
                </c:pt>
                <c:pt idx="12" formatCode="0.00">
                  <c:v>16.09</c:v>
                </c:pt>
                <c:pt idx="13" formatCode="0">
                  <c:v>18</c:v>
                </c:pt>
                <c:pt idx="14" formatCode="0.00">
                  <c:v>19.95</c:v>
                </c:pt>
                <c:pt idx="15" formatCode="0.00">
                  <c:v>21.93</c:v>
                </c:pt>
                <c:pt idx="16" formatCode="0.00">
                  <c:v>23.94</c:v>
                </c:pt>
                <c:pt idx="17" formatCode="0.00">
                  <c:v>25.99</c:v>
                </c:pt>
                <c:pt idx="18" formatCode="0.00">
                  <c:v>28.07</c:v>
                </c:pt>
                <c:pt idx="19" formatCode="0.00">
                  <c:v>30.19</c:v>
                </c:pt>
                <c:pt idx="20" formatCode="0.00">
                  <c:v>32.340000000000003</c:v>
                </c:pt>
                <c:pt idx="21" formatCode="0.00">
                  <c:v>34.520000000000003</c:v>
                </c:pt>
                <c:pt idx="22" formatCode="0.00">
                  <c:v>36.72</c:v>
                </c:pt>
                <c:pt idx="23" formatCode="0.00">
                  <c:v>38.96</c:v>
                </c:pt>
                <c:pt idx="24" formatCode="0.00">
                  <c:v>41.23</c:v>
                </c:pt>
                <c:pt idx="25" formatCode="0.00">
                  <c:v>43.52</c:v>
                </c:pt>
                <c:pt idx="26" formatCode="0.00">
                  <c:v>45.84</c:v>
                </c:pt>
                <c:pt idx="27" formatCode="0.00">
                  <c:v>48.18</c:v>
                </c:pt>
                <c:pt idx="28" formatCode="0.00">
                  <c:v>50.55</c:v>
                </c:pt>
                <c:pt idx="29" formatCode="0.00">
                  <c:v>52.94</c:v>
                </c:pt>
                <c:pt idx="30" formatCode="0.00">
                  <c:v>55.35</c:v>
                </c:pt>
                <c:pt idx="31" formatCode="0.00">
                  <c:v>57.78</c:v>
                </c:pt>
                <c:pt idx="32" formatCode="0.00">
                  <c:v>60.24</c:v>
                </c:pt>
                <c:pt idx="33" formatCode="0.00">
                  <c:v>62.71</c:v>
                </c:pt>
                <c:pt idx="34" formatCode="0.00">
                  <c:v>65.209999999999994</c:v>
                </c:pt>
                <c:pt idx="35" formatCode="0.00">
                  <c:v>67.72</c:v>
                </c:pt>
                <c:pt idx="36" formatCode="0.00">
                  <c:v>70.25</c:v>
                </c:pt>
                <c:pt idx="37">
                  <c:v>72.8</c:v>
                </c:pt>
                <c:pt idx="38" formatCode="0.00">
                  <c:v>75.37</c:v>
                </c:pt>
                <c:pt idx="39" formatCode="0.00">
                  <c:v>77.95</c:v>
                </c:pt>
                <c:pt idx="40" formatCode="0.00">
                  <c:v>80.540000000000006</c:v>
                </c:pt>
                <c:pt idx="41" formatCode="0.00">
                  <c:v>83.16</c:v>
                </c:pt>
                <c:pt idx="42" formatCode="0.00">
                  <c:v>85.78</c:v>
                </c:pt>
                <c:pt idx="43" formatCode="0.00">
                  <c:v>88.42</c:v>
                </c:pt>
                <c:pt idx="44" formatCode="0.00">
                  <c:v>91.07</c:v>
                </c:pt>
                <c:pt idx="45" formatCode="0.00">
                  <c:v>93.74</c:v>
                </c:pt>
                <c:pt idx="46" formatCode="0.00">
                  <c:v>96.42</c:v>
                </c:pt>
                <c:pt idx="47" formatCode="0.00">
                  <c:v>99.11</c:v>
                </c:pt>
                <c:pt idx="48" formatCode="0.00">
                  <c:v>101.81</c:v>
                </c:pt>
                <c:pt idx="49" formatCode="0.00">
                  <c:v>104.52</c:v>
                </c:pt>
                <c:pt idx="50" formatCode="0.00">
                  <c:v>107.24</c:v>
                </c:pt>
                <c:pt idx="51" formatCode="0.00">
                  <c:v>109.97</c:v>
                </c:pt>
                <c:pt idx="52" formatCode="0.00">
                  <c:v>112.72</c:v>
                </c:pt>
                <c:pt idx="53" formatCode="0.00">
                  <c:v>115.47</c:v>
                </c:pt>
                <c:pt idx="54" formatCode="0.00">
                  <c:v>118.23</c:v>
                </c:pt>
                <c:pt idx="55" formatCode="0.00">
                  <c:v>120.99</c:v>
                </c:pt>
                <c:pt idx="56" formatCode="0.00">
                  <c:v>123.77</c:v>
                </c:pt>
                <c:pt idx="57" formatCode="0.00">
                  <c:v>126.56</c:v>
                </c:pt>
                <c:pt idx="58" formatCode="0.00">
                  <c:v>129.35</c:v>
                </c:pt>
                <c:pt idx="59" formatCode="0.00">
                  <c:v>132.15</c:v>
                </c:pt>
                <c:pt idx="60" formatCode="0.00">
                  <c:v>134.96</c:v>
                </c:pt>
                <c:pt idx="61" formatCode="0.00">
                  <c:v>137.77000000000001</c:v>
                </c:pt>
                <c:pt idx="62" formatCode="0.00">
                  <c:v>140.59</c:v>
                </c:pt>
                <c:pt idx="63" formatCode="0.00">
                  <c:v>143.41999999999999</c:v>
                </c:pt>
                <c:pt idx="64" formatCode="0.00">
                  <c:v>146.25</c:v>
                </c:pt>
                <c:pt idx="65" formatCode="0.00">
                  <c:v>149.09</c:v>
                </c:pt>
                <c:pt idx="66" formatCode="0.00">
                  <c:v>151.94</c:v>
                </c:pt>
                <c:pt idx="67" formatCode="0.00">
                  <c:v>154.79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B99-4B9E-B947-6E1A790F77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0235896"/>
        <c:axId val="450234584"/>
      </c:scatterChart>
      <c:valAx>
        <c:axId val="450235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 (K)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0234584"/>
        <c:crosses val="autoZero"/>
        <c:crossBetween val="midCat"/>
      </c:valAx>
      <c:valAx>
        <c:axId val="450234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baseline="0">
                    <a:effectLst/>
                  </a:rPr>
                  <a:t>Enthalpy of formation (ho (MJ/Kmol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02358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8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O2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8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5.9806532681998321E-2"/>
                  <c:y val="-5.233022863292533E-2"/>
                </c:manualLayout>
              </c:layout>
              <c:numFmt formatCode="0.000000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'O2'!$E$11:$E$78</c:f>
              <c:numCache>
                <c:formatCode>0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'O2'!$G$11:$G$78</c:f>
              <c:numCache>
                <c:formatCode>0.0</c:formatCode>
                <c:ptCount val="68"/>
                <c:pt idx="0" formatCode="0.00">
                  <c:v>2.84</c:v>
                </c:pt>
                <c:pt idx="1">
                  <c:v>1.4</c:v>
                </c:pt>
                <c:pt idx="2" formatCode="0">
                  <c:v>0</c:v>
                </c:pt>
                <c:pt idx="3" formatCode="0.00">
                  <c:v>0.05</c:v>
                </c:pt>
                <c:pt idx="4" formatCode="0.00">
                  <c:v>1.53</c:v>
                </c:pt>
                <c:pt idx="5" formatCode="0.00">
                  <c:v>3.03</c:v>
                </c:pt>
                <c:pt idx="6" formatCode="0.00">
                  <c:v>4.55</c:v>
                </c:pt>
                <c:pt idx="7">
                  <c:v>6.1</c:v>
                </c:pt>
                <c:pt idx="8" formatCode="0.00">
                  <c:v>7.66</c:v>
                </c:pt>
                <c:pt idx="9" formatCode="0.00">
                  <c:v>9.25</c:v>
                </c:pt>
                <c:pt idx="10" formatCode="0.00">
                  <c:v>10.87</c:v>
                </c:pt>
                <c:pt idx="11">
                  <c:v>12.5</c:v>
                </c:pt>
                <c:pt idx="12" formatCode="0.00">
                  <c:v>14.16</c:v>
                </c:pt>
                <c:pt idx="13" formatCode="0.00">
                  <c:v>15.84</c:v>
                </c:pt>
                <c:pt idx="14" formatCode="0.00">
                  <c:v>17.53</c:v>
                </c:pt>
                <c:pt idx="15" formatCode="0.00">
                  <c:v>19.25</c:v>
                </c:pt>
                <c:pt idx="16" formatCode="0.00">
                  <c:v>20.98</c:v>
                </c:pt>
                <c:pt idx="17" formatCode="0.00">
                  <c:v>22.72</c:v>
                </c:pt>
                <c:pt idx="18" formatCode="0.00">
                  <c:v>24.47</c:v>
                </c:pt>
                <c:pt idx="19" formatCode="0.00">
                  <c:v>26.23</c:v>
                </c:pt>
                <c:pt idx="20" formatCode="0">
                  <c:v>28</c:v>
                </c:pt>
                <c:pt idx="21" formatCode="0.00">
                  <c:v>29.77</c:v>
                </c:pt>
                <c:pt idx="22" formatCode="0.00">
                  <c:v>31.56</c:v>
                </c:pt>
                <c:pt idx="23" formatCode="0.00">
                  <c:v>33.35</c:v>
                </c:pt>
                <c:pt idx="24" formatCode="0.00">
                  <c:v>35.15</c:v>
                </c:pt>
                <c:pt idx="25" formatCode="0.00">
                  <c:v>36.950000000000003</c:v>
                </c:pt>
                <c:pt idx="26" formatCode="0.00">
                  <c:v>38.770000000000003</c:v>
                </c:pt>
                <c:pt idx="27" formatCode="0.00">
                  <c:v>40.590000000000003</c:v>
                </c:pt>
                <c:pt idx="28" formatCode="0.00">
                  <c:v>42.42</c:v>
                </c:pt>
                <c:pt idx="29" formatCode="0.00">
                  <c:v>44.25</c:v>
                </c:pt>
                <c:pt idx="30" formatCode="0.00">
                  <c:v>46.09</c:v>
                </c:pt>
                <c:pt idx="31" formatCode="0.00">
                  <c:v>47.94</c:v>
                </c:pt>
                <c:pt idx="32">
                  <c:v>49.8</c:v>
                </c:pt>
                <c:pt idx="33" formatCode="0.00">
                  <c:v>51.66</c:v>
                </c:pt>
                <c:pt idx="34" formatCode="0.00">
                  <c:v>53.53</c:v>
                </c:pt>
                <c:pt idx="35">
                  <c:v>55.4</c:v>
                </c:pt>
                <c:pt idx="36" formatCode="0.00">
                  <c:v>57.28</c:v>
                </c:pt>
                <c:pt idx="37" formatCode="0.00">
                  <c:v>59.17</c:v>
                </c:pt>
                <c:pt idx="38" formatCode="0.00">
                  <c:v>61.06</c:v>
                </c:pt>
                <c:pt idx="39" formatCode="0.00">
                  <c:v>62.96</c:v>
                </c:pt>
                <c:pt idx="40" formatCode="0.00">
                  <c:v>64.86</c:v>
                </c:pt>
                <c:pt idx="41" formatCode="0.00">
                  <c:v>66.77</c:v>
                </c:pt>
                <c:pt idx="42" formatCode="0.00">
                  <c:v>68.69</c:v>
                </c:pt>
                <c:pt idx="43" formatCode="0.00">
                  <c:v>70.61</c:v>
                </c:pt>
                <c:pt idx="44" formatCode="0.00">
                  <c:v>72.53</c:v>
                </c:pt>
                <c:pt idx="45" formatCode="0.00">
                  <c:v>74.459999999999994</c:v>
                </c:pt>
                <c:pt idx="46">
                  <c:v>76.400000000000006</c:v>
                </c:pt>
                <c:pt idx="47" formatCode="0.00">
                  <c:v>78.34</c:v>
                </c:pt>
                <c:pt idx="48" formatCode="0.00">
                  <c:v>80.290000000000006</c:v>
                </c:pt>
                <c:pt idx="49" formatCode="0.00">
                  <c:v>82.24</c:v>
                </c:pt>
                <c:pt idx="50">
                  <c:v>84.2</c:v>
                </c:pt>
                <c:pt idx="51" formatCode="0.00">
                  <c:v>86.16</c:v>
                </c:pt>
                <c:pt idx="52" formatCode="0.00">
                  <c:v>88.13</c:v>
                </c:pt>
                <c:pt idx="53">
                  <c:v>90.1</c:v>
                </c:pt>
                <c:pt idx="54" formatCode="0.00">
                  <c:v>92.07</c:v>
                </c:pt>
                <c:pt idx="55" formatCode="0.00">
                  <c:v>94.06</c:v>
                </c:pt>
                <c:pt idx="56" formatCode="0.00">
                  <c:v>96.04</c:v>
                </c:pt>
                <c:pt idx="57" formatCode="0.00">
                  <c:v>98.03</c:v>
                </c:pt>
                <c:pt idx="58" formatCode="0.00">
                  <c:v>100.03</c:v>
                </c:pt>
                <c:pt idx="59" formatCode="0.00">
                  <c:v>102.02</c:v>
                </c:pt>
                <c:pt idx="60" formatCode="0.00">
                  <c:v>104.03</c:v>
                </c:pt>
                <c:pt idx="61" formatCode="0.00">
                  <c:v>106.03</c:v>
                </c:pt>
                <c:pt idx="62" formatCode="0.00">
                  <c:v>108.05</c:v>
                </c:pt>
                <c:pt idx="63" formatCode="0.00">
                  <c:v>110.06</c:v>
                </c:pt>
                <c:pt idx="64" formatCode="0.00">
                  <c:v>112.08</c:v>
                </c:pt>
                <c:pt idx="65" formatCode="0.00">
                  <c:v>114.11</c:v>
                </c:pt>
                <c:pt idx="66" formatCode="0.00">
                  <c:v>116.13</c:v>
                </c:pt>
                <c:pt idx="67" formatCode="0.00">
                  <c:v>118.17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9B4-40E3-97E7-44D7CBF961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7621200"/>
        <c:axId val="537621528"/>
      </c:scatterChart>
      <c:valAx>
        <c:axId val="537621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</a:t>
                </a:r>
                <a:r>
                  <a:rPr lang="en-GB" baseline="0"/>
                  <a:t> (K)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7621528"/>
        <c:crosses val="autoZero"/>
        <c:crossBetween val="midCat"/>
      </c:valAx>
      <c:valAx>
        <c:axId val="537621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algn="ctr" rtl="0"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Enthalpy of formation (ho (MJ/Kmol</a:t>
                </a:r>
              </a:p>
              <a:p>
                <a:pPr algn="ctr" rtl="0">
                  <a:defRPr/>
                </a:pP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algn="ctr" rtl="0"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76212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9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>
                <a:effectLst/>
              </a:rPr>
              <a:t>N</a:t>
            </a:r>
            <a:r>
              <a:rPr lang="en-GB" sz="1400" b="0" i="0" u="none" strike="noStrike" baseline="-25000">
                <a:effectLst/>
              </a:rPr>
              <a:t>2</a:t>
            </a:r>
            <a:r>
              <a:rPr lang="en-GB" sz="1400" b="0" i="0" u="none" strike="noStrike" baseline="0"/>
              <a:t> 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4.2826842590622111E-2"/>
                  <c:y val="-2.040201005025127E-2"/>
                </c:manualLayout>
              </c:layout>
              <c:numFmt formatCode="0.000000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'N2'!$C$8:$C$75</c:f>
              <c:numCache>
                <c:formatCode>0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'N2'!$E$8:$E$75</c:f>
              <c:numCache>
                <c:formatCode>0.0</c:formatCode>
                <c:ptCount val="68"/>
                <c:pt idx="0" formatCode="0.00">
                  <c:v>2.84</c:v>
                </c:pt>
                <c:pt idx="1">
                  <c:v>1.4</c:v>
                </c:pt>
                <c:pt idx="2" formatCode="0">
                  <c:v>0</c:v>
                </c:pt>
                <c:pt idx="3" formatCode="0.00">
                  <c:v>0.05</c:v>
                </c:pt>
                <c:pt idx="4" formatCode="0.00">
                  <c:v>1.51</c:v>
                </c:pt>
                <c:pt idx="5" formatCode="0.00">
                  <c:v>2.97</c:v>
                </c:pt>
                <c:pt idx="6" formatCode="0.00">
                  <c:v>4.4400000000000004</c:v>
                </c:pt>
                <c:pt idx="7" formatCode="0.00">
                  <c:v>5.92</c:v>
                </c:pt>
                <c:pt idx="8" formatCode="0.00">
                  <c:v>7.41</c:v>
                </c:pt>
                <c:pt idx="9">
                  <c:v>8.9</c:v>
                </c:pt>
                <c:pt idx="10" formatCode="0.00">
                  <c:v>10.42</c:v>
                </c:pt>
                <c:pt idx="11" formatCode="0.00">
                  <c:v>11.94</c:v>
                </c:pt>
                <c:pt idx="12" formatCode="0.00">
                  <c:v>13.48</c:v>
                </c:pt>
                <c:pt idx="13" formatCode="0.00">
                  <c:v>15.04</c:v>
                </c:pt>
                <c:pt idx="14" formatCode="0.00">
                  <c:v>16.62</c:v>
                </c:pt>
                <c:pt idx="15" formatCode="0.00">
                  <c:v>18.22</c:v>
                </c:pt>
                <c:pt idx="16" formatCode="0.00">
                  <c:v>19.84</c:v>
                </c:pt>
                <c:pt idx="17" formatCode="0.00">
                  <c:v>21.47</c:v>
                </c:pt>
                <c:pt idx="18" formatCode="0.00">
                  <c:v>23.11</c:v>
                </c:pt>
                <c:pt idx="19" formatCode="0.00">
                  <c:v>24.77</c:v>
                </c:pt>
                <c:pt idx="20" formatCode="0.00">
                  <c:v>26.44</c:v>
                </c:pt>
                <c:pt idx="21" formatCode="0.00">
                  <c:v>28.12</c:v>
                </c:pt>
                <c:pt idx="22" formatCode="0.00">
                  <c:v>29.81</c:v>
                </c:pt>
                <c:pt idx="23" formatCode="0.00">
                  <c:v>31.51</c:v>
                </c:pt>
                <c:pt idx="24" formatCode="0.00">
                  <c:v>33.22</c:v>
                </c:pt>
                <c:pt idx="25" formatCode="0.00">
                  <c:v>34.94</c:v>
                </c:pt>
                <c:pt idx="26" formatCode="0.00">
                  <c:v>36.67</c:v>
                </c:pt>
                <c:pt idx="27">
                  <c:v>38.4</c:v>
                </c:pt>
                <c:pt idx="28" formatCode="0.00">
                  <c:v>40.15</c:v>
                </c:pt>
                <c:pt idx="29">
                  <c:v>41.9</c:v>
                </c:pt>
                <c:pt idx="30" formatCode="0.00">
                  <c:v>43.66</c:v>
                </c:pt>
                <c:pt idx="31" formatCode="0.00">
                  <c:v>45.42</c:v>
                </c:pt>
                <c:pt idx="32" formatCode="0.00">
                  <c:v>47.19</c:v>
                </c:pt>
                <c:pt idx="33" formatCode="0.00">
                  <c:v>48.97</c:v>
                </c:pt>
                <c:pt idx="34" formatCode="0.00">
                  <c:v>50.75</c:v>
                </c:pt>
                <c:pt idx="35" formatCode="0.00">
                  <c:v>52.54</c:v>
                </c:pt>
                <c:pt idx="36" formatCode="0.00">
                  <c:v>54.33</c:v>
                </c:pt>
                <c:pt idx="37" formatCode="0.00">
                  <c:v>56.13</c:v>
                </c:pt>
                <c:pt idx="38" formatCode="0.00">
                  <c:v>57.93</c:v>
                </c:pt>
                <c:pt idx="39" formatCode="0.00">
                  <c:v>59.73</c:v>
                </c:pt>
                <c:pt idx="40" formatCode="0.00">
                  <c:v>61.54</c:v>
                </c:pt>
                <c:pt idx="41" formatCode="0.00">
                  <c:v>63.36</c:v>
                </c:pt>
                <c:pt idx="42" formatCode="0.00">
                  <c:v>65.17</c:v>
                </c:pt>
                <c:pt idx="43" formatCode="0.00">
                  <c:v>66.989999999999995</c:v>
                </c:pt>
                <c:pt idx="44" formatCode="0.00">
                  <c:v>68.819999999999993</c:v>
                </c:pt>
                <c:pt idx="45" formatCode="0.00">
                  <c:v>70.64</c:v>
                </c:pt>
                <c:pt idx="46" formatCode="0.00">
                  <c:v>72.47</c:v>
                </c:pt>
                <c:pt idx="47">
                  <c:v>74.3</c:v>
                </c:pt>
                <c:pt idx="48" formatCode="0.00">
                  <c:v>76.13</c:v>
                </c:pt>
                <c:pt idx="49" formatCode="0.00">
                  <c:v>77.97</c:v>
                </c:pt>
                <c:pt idx="50" formatCode="0.00">
                  <c:v>79.81</c:v>
                </c:pt>
                <c:pt idx="51" formatCode="0.00">
                  <c:v>81.650000000000006</c:v>
                </c:pt>
                <c:pt idx="52" formatCode="0.00">
                  <c:v>83.49</c:v>
                </c:pt>
                <c:pt idx="53" formatCode="0.00">
                  <c:v>85.33</c:v>
                </c:pt>
                <c:pt idx="54" formatCode="0.00">
                  <c:v>87.18</c:v>
                </c:pt>
                <c:pt idx="55" formatCode="0.00">
                  <c:v>89.03</c:v>
                </c:pt>
                <c:pt idx="56" formatCode="0.00">
                  <c:v>90.88</c:v>
                </c:pt>
                <c:pt idx="57" formatCode="0.00">
                  <c:v>92.73</c:v>
                </c:pt>
                <c:pt idx="58" formatCode="0.00">
                  <c:v>94.58</c:v>
                </c:pt>
                <c:pt idx="59" formatCode="0.00">
                  <c:v>96.43</c:v>
                </c:pt>
                <c:pt idx="60" formatCode="0.00">
                  <c:v>98.29</c:v>
                </c:pt>
                <c:pt idx="61" formatCode="0.00">
                  <c:v>100.14</c:v>
                </c:pt>
                <c:pt idx="62" formatCode="0">
                  <c:v>102</c:v>
                </c:pt>
                <c:pt idx="63" formatCode="0.00">
                  <c:v>103.86</c:v>
                </c:pt>
                <c:pt idx="64" formatCode="0.00">
                  <c:v>105.72</c:v>
                </c:pt>
                <c:pt idx="65" formatCode="0.00">
                  <c:v>107.58</c:v>
                </c:pt>
                <c:pt idx="66" formatCode="0.00">
                  <c:v>109.45</c:v>
                </c:pt>
                <c:pt idx="67" formatCode="0.00">
                  <c:v>111.31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268-4503-AC20-E8DD4AF559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7029616"/>
        <c:axId val="547030600"/>
      </c:scatterChart>
      <c:valAx>
        <c:axId val="5470296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</a:t>
                </a:r>
                <a:r>
                  <a:rPr lang="en-GB" baseline="0"/>
                  <a:t> (K)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7030600"/>
        <c:crosses val="autoZero"/>
        <c:crossBetween val="midCat"/>
      </c:valAx>
      <c:valAx>
        <c:axId val="547030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5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 b="0" i="0" baseline="0">
                    <a:effectLst/>
                  </a:rPr>
                  <a:t>Enthalpy of formation (ho (MJ/Kmol</a:t>
                </a:r>
                <a:endParaRPr lang="en-GB" sz="1050">
                  <a:effectLst/>
                </a:endParaRP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5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endParaRPr lang="en-GB" sz="105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5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70296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Nox</a:t>
            </a:r>
            <a:r>
              <a:rPr lang="en-GB" baseline="0"/>
              <a:t> Per Degree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2 &amp; Goal seek'!$B$46:$B$58</c:f>
              <c:numCache>
                <c:formatCode>General</c:formatCode>
                <c:ptCount val="13"/>
                <c:pt idx="0" formatCode="0.00">
                  <c:v>1</c:v>
                </c:pt>
                <c:pt idx="1">
                  <c:v>0.99</c:v>
                </c:pt>
                <c:pt idx="2" formatCode="0.00">
                  <c:v>0.98</c:v>
                </c:pt>
                <c:pt idx="3">
                  <c:v>0.97</c:v>
                </c:pt>
                <c:pt idx="4" formatCode="0.00">
                  <c:v>0.96</c:v>
                </c:pt>
                <c:pt idx="5">
                  <c:v>0.95</c:v>
                </c:pt>
                <c:pt idx="6" formatCode="0.00">
                  <c:v>0.9</c:v>
                </c:pt>
                <c:pt idx="7">
                  <c:v>0.85</c:v>
                </c:pt>
                <c:pt idx="8" formatCode="0.00">
                  <c:v>0.8</c:v>
                </c:pt>
                <c:pt idx="9">
                  <c:v>0.75</c:v>
                </c:pt>
                <c:pt idx="10" formatCode="0.00">
                  <c:v>0.7</c:v>
                </c:pt>
                <c:pt idx="11">
                  <c:v>0.65</c:v>
                </c:pt>
                <c:pt idx="12" formatCode="0.00">
                  <c:v>0.6</c:v>
                </c:pt>
              </c:numCache>
            </c:numRef>
          </c:xVal>
          <c:yVal>
            <c:numRef>
              <c:f>'Task 2 &amp; Goal seek'!$L$46:$L$58</c:f>
              <c:numCache>
                <c:formatCode>0.00E+00</c:formatCode>
                <c:ptCount val="13"/>
                <c:pt idx="0">
                  <c:v>0</c:v>
                </c:pt>
                <c:pt idx="1">
                  <c:v>1.6552702099460327E-10</c:v>
                </c:pt>
                <c:pt idx="2">
                  <c:v>1.946497053447658E-10</c:v>
                </c:pt>
                <c:pt idx="3">
                  <c:v>1.9751042206387718E-10</c:v>
                </c:pt>
                <c:pt idx="4">
                  <c:v>1.8825900940809201E-10</c:v>
                </c:pt>
                <c:pt idx="5">
                  <c:v>1.7307598791195218E-10</c:v>
                </c:pt>
                <c:pt idx="6">
                  <c:v>8.64256265124383E-11</c:v>
                </c:pt>
                <c:pt idx="7">
                  <c:v>3.3170533162287903E-11</c:v>
                </c:pt>
                <c:pt idx="8">
                  <c:v>1.0398136434911472E-11</c:v>
                </c:pt>
                <c:pt idx="9">
                  <c:v>2.6530563112511914E-12</c:v>
                </c:pt>
                <c:pt idx="10">
                  <c:v>5.3703524787002657E-13</c:v>
                </c:pt>
                <c:pt idx="11">
                  <c:v>8.2830177382004794E-14</c:v>
                </c:pt>
                <c:pt idx="12">
                  <c:v>9.2172762428540787E-15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706-4BB5-927A-8FF9B90771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9241824"/>
        <c:axId val="406980608"/>
      </c:scatterChart>
      <c:valAx>
        <c:axId val="509241824"/>
        <c:scaling>
          <c:orientation val="minMax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Eq Ratio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980608"/>
        <c:crosses val="autoZero"/>
        <c:crossBetween val="midCat"/>
      </c:valAx>
      <c:valAx>
        <c:axId val="40698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/>
                  <a:t>NOx</a:t>
                </a:r>
                <a:r>
                  <a:rPr lang="en-GB" sz="1100" baseline="0"/>
                  <a:t> (kmol/Degree)</a:t>
                </a:r>
                <a:endParaRPr lang="en-GB" sz="11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92418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PPM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2 &amp; Goal seek'!$B$46:$B$58</c:f>
              <c:numCache>
                <c:formatCode>General</c:formatCode>
                <c:ptCount val="13"/>
                <c:pt idx="0" formatCode="0.00">
                  <c:v>1</c:v>
                </c:pt>
                <c:pt idx="1">
                  <c:v>0.99</c:v>
                </c:pt>
                <c:pt idx="2" formatCode="0.00">
                  <c:v>0.98</c:v>
                </c:pt>
                <c:pt idx="3">
                  <c:v>0.97</c:v>
                </c:pt>
                <c:pt idx="4" formatCode="0.00">
                  <c:v>0.96</c:v>
                </c:pt>
                <c:pt idx="5">
                  <c:v>0.95</c:v>
                </c:pt>
                <c:pt idx="6" formatCode="0.00">
                  <c:v>0.9</c:v>
                </c:pt>
                <c:pt idx="7">
                  <c:v>0.85</c:v>
                </c:pt>
                <c:pt idx="8" formatCode="0.00">
                  <c:v>0.8</c:v>
                </c:pt>
                <c:pt idx="9">
                  <c:v>0.75</c:v>
                </c:pt>
                <c:pt idx="10" formatCode="0.00">
                  <c:v>0.7</c:v>
                </c:pt>
                <c:pt idx="11">
                  <c:v>0.65</c:v>
                </c:pt>
                <c:pt idx="12" formatCode="0.00">
                  <c:v>0.6</c:v>
                </c:pt>
              </c:numCache>
            </c:numRef>
          </c:xVal>
          <c:yVal>
            <c:numRef>
              <c:f>'Task 2 &amp; Goal seek'!$O$46:$O$58</c:f>
              <c:numCache>
                <c:formatCode>0.00</c:formatCode>
                <c:ptCount val="13"/>
                <c:pt idx="0">
                  <c:v>0</c:v>
                </c:pt>
                <c:pt idx="1">
                  <c:v>29325.829725662948</c:v>
                </c:pt>
                <c:pt idx="2">
                  <c:v>34415.25991446463</c:v>
                </c:pt>
                <c:pt idx="3">
                  <c:v>34881.946082818824</c:v>
                </c:pt>
                <c:pt idx="4">
                  <c:v>33241.015305022855</c:v>
                </c:pt>
                <c:pt idx="5">
                  <c:v>30581.902198892458</c:v>
                </c:pt>
                <c:pt idx="6">
                  <c:v>15545.981316851314</c:v>
                </c:pt>
                <c:pt idx="7">
                  <c:v>6229.5679462993594</c:v>
                </c:pt>
                <c:pt idx="8">
                  <c:v>2097.0939177595624</c:v>
                </c:pt>
                <c:pt idx="9">
                  <c:v>593.39261186376905</c:v>
                </c:pt>
                <c:pt idx="10">
                  <c:v>138.31041903883735</c:v>
                </c:pt>
                <c:pt idx="11">
                  <c:v>25.685666899348373</c:v>
                </c:pt>
                <c:pt idx="12">
                  <c:v>3.6317402474914977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4D4-4A2A-A9D0-A1AD4E51D6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963040"/>
        <c:axId val="483186736"/>
      </c:scatterChart>
      <c:valAx>
        <c:axId val="342963040"/>
        <c:scaling>
          <c:orientation val="minMax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Equivelance</a:t>
                </a:r>
                <a:r>
                  <a:rPr lang="en-GB" baseline="0"/>
                  <a:t> Ratio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3186736"/>
        <c:crosses val="autoZero"/>
        <c:crossBetween val="midCat"/>
      </c:valAx>
      <c:valAx>
        <c:axId val="483186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PPM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29630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(n1) CO2 &amp; (n2) H2O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'Task 2 &amp; Goal seek'!$D$45</c:f>
              <c:strCache>
                <c:ptCount val="1"/>
                <c:pt idx="0">
                  <c:v>(n1) CO2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'Task 2 &amp; Goal seek'!$B$46:$B$58</c:f>
              <c:numCache>
                <c:formatCode>General</c:formatCode>
                <c:ptCount val="13"/>
                <c:pt idx="0" formatCode="0.00">
                  <c:v>1</c:v>
                </c:pt>
                <c:pt idx="1">
                  <c:v>0.99</c:v>
                </c:pt>
                <c:pt idx="2" formatCode="0.00">
                  <c:v>0.98</c:v>
                </c:pt>
                <c:pt idx="3">
                  <c:v>0.97</c:v>
                </c:pt>
                <c:pt idx="4" formatCode="0.00">
                  <c:v>0.96</c:v>
                </c:pt>
                <c:pt idx="5">
                  <c:v>0.95</c:v>
                </c:pt>
                <c:pt idx="6" formatCode="0.00">
                  <c:v>0.9</c:v>
                </c:pt>
                <c:pt idx="7">
                  <c:v>0.85</c:v>
                </c:pt>
                <c:pt idx="8" formatCode="0.00">
                  <c:v>0.8</c:v>
                </c:pt>
                <c:pt idx="9">
                  <c:v>0.75</c:v>
                </c:pt>
                <c:pt idx="10" formatCode="0.00">
                  <c:v>0.7</c:v>
                </c:pt>
                <c:pt idx="11">
                  <c:v>0.65</c:v>
                </c:pt>
                <c:pt idx="12" formatCode="0.00">
                  <c:v>0.6</c:v>
                </c:pt>
              </c:numCache>
            </c:numRef>
          </c:xVal>
          <c:yVal>
            <c:numRef>
              <c:f>'Task 2 &amp; Goal seek'!$D$46:$D$58</c:f>
              <c:numCache>
                <c:formatCode>0.000</c:formatCode>
                <c:ptCount val="13"/>
                <c:pt idx="0" formatCode="General">
                  <c:v>8</c:v>
                </c:pt>
                <c:pt idx="1">
                  <c:v>7.92</c:v>
                </c:pt>
                <c:pt idx="2">
                  <c:v>7.84</c:v>
                </c:pt>
                <c:pt idx="3">
                  <c:v>7.76</c:v>
                </c:pt>
                <c:pt idx="4">
                  <c:v>7.68</c:v>
                </c:pt>
                <c:pt idx="5">
                  <c:v>7.6</c:v>
                </c:pt>
                <c:pt idx="6">
                  <c:v>7.2</c:v>
                </c:pt>
                <c:pt idx="7">
                  <c:v>6.8</c:v>
                </c:pt>
                <c:pt idx="8">
                  <c:v>6.4</c:v>
                </c:pt>
                <c:pt idx="9">
                  <c:v>6</c:v>
                </c:pt>
                <c:pt idx="10">
                  <c:v>5.6</c:v>
                </c:pt>
                <c:pt idx="11">
                  <c:v>5.2</c:v>
                </c:pt>
                <c:pt idx="12">
                  <c:v>4.8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59A-4AC5-8CA0-2AD03F3503AD}"/>
            </c:ext>
          </c:extLst>
        </c:ser>
        <c:ser>
          <c:idx val="1"/>
          <c:order val="1"/>
          <c:tx>
            <c:v>(n2) H2O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'Task 2 &amp; Goal seek'!$B$46:$B$58</c:f>
              <c:numCache>
                <c:formatCode>General</c:formatCode>
                <c:ptCount val="13"/>
                <c:pt idx="0" formatCode="0.00">
                  <c:v>1</c:v>
                </c:pt>
                <c:pt idx="1">
                  <c:v>0.99</c:v>
                </c:pt>
                <c:pt idx="2" formatCode="0.00">
                  <c:v>0.98</c:v>
                </c:pt>
                <c:pt idx="3">
                  <c:v>0.97</c:v>
                </c:pt>
                <c:pt idx="4" formatCode="0.00">
                  <c:v>0.96</c:v>
                </c:pt>
                <c:pt idx="5">
                  <c:v>0.95</c:v>
                </c:pt>
                <c:pt idx="6" formatCode="0.00">
                  <c:v>0.9</c:v>
                </c:pt>
                <c:pt idx="7">
                  <c:v>0.85</c:v>
                </c:pt>
                <c:pt idx="8" formatCode="0.00">
                  <c:v>0.8</c:v>
                </c:pt>
                <c:pt idx="9">
                  <c:v>0.75</c:v>
                </c:pt>
                <c:pt idx="10" formatCode="0.00">
                  <c:v>0.7</c:v>
                </c:pt>
                <c:pt idx="11">
                  <c:v>0.65</c:v>
                </c:pt>
                <c:pt idx="12" formatCode="0.00">
                  <c:v>0.6</c:v>
                </c:pt>
              </c:numCache>
            </c:numRef>
          </c:xVal>
          <c:yVal>
            <c:numRef>
              <c:f>'Task 2 &amp; Goal seek'!$E$46:$E$58</c:f>
              <c:numCache>
                <c:formatCode>0.000</c:formatCode>
                <c:ptCount val="13"/>
                <c:pt idx="0" formatCode="General">
                  <c:v>9</c:v>
                </c:pt>
                <c:pt idx="1">
                  <c:v>8.91</c:v>
                </c:pt>
                <c:pt idx="2">
                  <c:v>8.82</c:v>
                </c:pt>
                <c:pt idx="3">
                  <c:v>8.73</c:v>
                </c:pt>
                <c:pt idx="4">
                  <c:v>8.64</c:v>
                </c:pt>
                <c:pt idx="5">
                  <c:v>8.5499999999999989</c:v>
                </c:pt>
                <c:pt idx="6">
                  <c:v>8.1</c:v>
                </c:pt>
                <c:pt idx="7">
                  <c:v>7.6499999999999995</c:v>
                </c:pt>
                <c:pt idx="8">
                  <c:v>7.2</c:v>
                </c:pt>
                <c:pt idx="9">
                  <c:v>6.75</c:v>
                </c:pt>
                <c:pt idx="10">
                  <c:v>6.3</c:v>
                </c:pt>
                <c:pt idx="11">
                  <c:v>5.8500000000000005</c:v>
                </c:pt>
                <c:pt idx="12">
                  <c:v>5.3999999999999995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59A-4AC5-8CA0-2AD03F3503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0735240"/>
        <c:axId val="550733928"/>
      </c:scatterChart>
      <c:scatterChart>
        <c:scatterStyle val="smoothMarker"/>
        <c:varyColors val="0"/>
        <c:ser>
          <c:idx val="2"/>
          <c:order val="2"/>
          <c:tx>
            <c:v>(n3) O2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'Task 2 &amp; Goal seek'!$B$46:$B$58</c:f>
              <c:numCache>
                <c:formatCode>General</c:formatCode>
                <c:ptCount val="13"/>
                <c:pt idx="0" formatCode="0.00">
                  <c:v>1</c:v>
                </c:pt>
                <c:pt idx="1">
                  <c:v>0.99</c:v>
                </c:pt>
                <c:pt idx="2" formatCode="0.00">
                  <c:v>0.98</c:v>
                </c:pt>
                <c:pt idx="3">
                  <c:v>0.97</c:v>
                </c:pt>
                <c:pt idx="4" formatCode="0.00">
                  <c:v>0.96</c:v>
                </c:pt>
                <c:pt idx="5">
                  <c:v>0.95</c:v>
                </c:pt>
                <c:pt idx="6" formatCode="0.00">
                  <c:v>0.9</c:v>
                </c:pt>
                <c:pt idx="7">
                  <c:v>0.85</c:v>
                </c:pt>
                <c:pt idx="8" formatCode="0.00">
                  <c:v>0.8</c:v>
                </c:pt>
                <c:pt idx="9">
                  <c:v>0.75</c:v>
                </c:pt>
                <c:pt idx="10" formatCode="0.00">
                  <c:v>0.7</c:v>
                </c:pt>
                <c:pt idx="11">
                  <c:v>0.65</c:v>
                </c:pt>
                <c:pt idx="12" formatCode="0.00">
                  <c:v>0.6</c:v>
                </c:pt>
              </c:numCache>
            </c:numRef>
          </c:xVal>
          <c:yVal>
            <c:numRef>
              <c:f>'Task 2 &amp; Goal seek'!$F$46:$F$58</c:f>
              <c:numCache>
                <c:formatCode>0.000</c:formatCode>
                <c:ptCount val="13"/>
                <c:pt idx="0" formatCode="General">
                  <c:v>0</c:v>
                </c:pt>
                <c:pt idx="1">
                  <c:v>0.12500000000000011</c:v>
                </c:pt>
                <c:pt idx="2">
                  <c:v>0.25000000000000022</c:v>
                </c:pt>
                <c:pt idx="3">
                  <c:v>0.37500000000000033</c:v>
                </c:pt>
                <c:pt idx="4">
                  <c:v>0.50000000000000044</c:v>
                </c:pt>
                <c:pt idx="5">
                  <c:v>0.62500000000000056</c:v>
                </c:pt>
                <c:pt idx="6">
                  <c:v>1.2499999999999998</c:v>
                </c:pt>
                <c:pt idx="7">
                  <c:v>1.8750000000000002</c:v>
                </c:pt>
                <c:pt idx="8">
                  <c:v>2.4999999999999996</c:v>
                </c:pt>
                <c:pt idx="9">
                  <c:v>3.125</c:v>
                </c:pt>
                <c:pt idx="10">
                  <c:v>3.7500000000000004</c:v>
                </c:pt>
                <c:pt idx="11">
                  <c:v>4.375</c:v>
                </c:pt>
                <c:pt idx="12">
                  <c:v>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59A-4AC5-8CA0-2AD03F3503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9411696"/>
        <c:axId val="559405136"/>
      </c:scatterChart>
      <c:valAx>
        <c:axId val="550735240"/>
        <c:scaling>
          <c:orientation val="minMax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Equivelance</a:t>
                </a:r>
                <a:r>
                  <a:rPr lang="en-GB" sz="1200" baseline="0"/>
                  <a:t> Ratio</a:t>
                </a:r>
                <a:endParaRPr lang="en-GB" sz="12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0733928"/>
        <c:crosses val="autoZero"/>
        <c:crossBetween val="midCat"/>
      </c:valAx>
      <c:valAx>
        <c:axId val="550733928"/>
        <c:scaling>
          <c:orientation val="minMax"/>
          <c:min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No</a:t>
                </a:r>
                <a:r>
                  <a:rPr lang="en-GB" sz="1200" baseline="0"/>
                  <a:t> of Molecules</a:t>
                </a:r>
                <a:endParaRPr lang="en-GB" sz="12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0735240"/>
        <c:crosses val="autoZero"/>
        <c:crossBetween val="midCat"/>
      </c:valAx>
      <c:valAx>
        <c:axId val="55940513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O2</a:t>
                </a:r>
                <a:r>
                  <a:rPr lang="en-GB" sz="1200" baseline="0"/>
                  <a:t> aXis</a:t>
                </a:r>
                <a:endParaRPr lang="en-GB" sz="12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411696"/>
        <c:crosses val="max"/>
        <c:crossBetween val="midCat"/>
      </c:valAx>
      <c:valAx>
        <c:axId val="559411696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55940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 NOx PPM'!$B$48:$B$60</c:f>
              <c:numCache>
                <c:formatCode>General</c:formatCode>
                <c:ptCount val="13"/>
                <c:pt idx="0" formatCode="0.00">
                  <c:v>1</c:v>
                </c:pt>
                <c:pt idx="1">
                  <c:v>0.99</c:v>
                </c:pt>
                <c:pt idx="2" formatCode="0.00">
                  <c:v>0.98</c:v>
                </c:pt>
                <c:pt idx="3">
                  <c:v>0.97</c:v>
                </c:pt>
                <c:pt idx="4" formatCode="0.00">
                  <c:v>0.96</c:v>
                </c:pt>
                <c:pt idx="5">
                  <c:v>0.95</c:v>
                </c:pt>
                <c:pt idx="6">
                  <c:v>0.9</c:v>
                </c:pt>
                <c:pt idx="7" formatCode="0.00">
                  <c:v>0.85</c:v>
                </c:pt>
                <c:pt idx="8">
                  <c:v>0.8</c:v>
                </c:pt>
                <c:pt idx="9" formatCode="0.00">
                  <c:v>0.75</c:v>
                </c:pt>
                <c:pt idx="10">
                  <c:v>0.7</c:v>
                </c:pt>
                <c:pt idx="11">
                  <c:v>0.65</c:v>
                </c:pt>
                <c:pt idx="12" formatCode="0.00">
                  <c:v>0.6</c:v>
                </c:pt>
              </c:numCache>
            </c:numRef>
          </c:xVal>
          <c:yVal>
            <c:numRef>
              <c:f>' NOx PPM'!$P$48:$P$60</c:f>
              <c:numCache>
                <c:formatCode>0.00</c:formatCode>
                <c:ptCount val="13"/>
                <c:pt idx="0">
                  <c:v>0</c:v>
                </c:pt>
                <c:pt idx="1">
                  <c:v>23549.996665198873</c:v>
                </c:pt>
                <c:pt idx="2">
                  <c:v>28088.925371364512</c:v>
                </c:pt>
                <c:pt idx="3">
                  <c:v>28927.832386959522</c:v>
                </c:pt>
                <c:pt idx="4">
                  <c:v>28003.460372508744</c:v>
                </c:pt>
                <c:pt idx="5">
                  <c:v>26164.87325735074</c:v>
                </c:pt>
                <c:pt idx="6">
                  <c:v>14321.245393780046</c:v>
                </c:pt>
                <c:pt idx="7">
                  <c:v>6147.7721486851342</c:v>
                </c:pt>
                <c:pt idx="8">
                  <c:v>2207.2354050368504</c:v>
                </c:pt>
                <c:pt idx="9">
                  <c:v>663.51516316069535</c:v>
                </c:pt>
                <c:pt idx="10">
                  <c:v>163.73512842097657</c:v>
                </c:pt>
                <c:pt idx="11">
                  <c:v>32.093593252914793</c:v>
                </c:pt>
                <c:pt idx="12">
                  <c:v>4.7761962078354561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634-4A0D-BFDE-D11359D45E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060415"/>
        <c:axId val="485222079"/>
      </c:scatterChart>
      <c:valAx>
        <c:axId val="482060415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Eq</a:t>
                </a:r>
                <a:r>
                  <a:rPr lang="en-GB" baseline="0"/>
                  <a:t> Ratio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222079"/>
        <c:crosses val="autoZero"/>
        <c:crossBetween val="midCat"/>
      </c:valAx>
      <c:valAx>
        <c:axId val="485222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PPM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20604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 NOx PPM'!$B$73:$B$85</c:f>
              <c:numCache>
                <c:formatCode>General</c:formatCode>
                <c:ptCount val="13"/>
                <c:pt idx="0" formatCode="0.00">
                  <c:v>1</c:v>
                </c:pt>
                <c:pt idx="1">
                  <c:v>0.99</c:v>
                </c:pt>
                <c:pt idx="2" formatCode="0.00">
                  <c:v>0.98</c:v>
                </c:pt>
                <c:pt idx="3">
                  <c:v>0.97</c:v>
                </c:pt>
                <c:pt idx="4" formatCode="0.00">
                  <c:v>0.96</c:v>
                </c:pt>
                <c:pt idx="5">
                  <c:v>0.95</c:v>
                </c:pt>
                <c:pt idx="6">
                  <c:v>0.9</c:v>
                </c:pt>
                <c:pt idx="7" formatCode="0.00">
                  <c:v>0.85</c:v>
                </c:pt>
                <c:pt idx="8">
                  <c:v>0.8</c:v>
                </c:pt>
                <c:pt idx="9" formatCode="0.00">
                  <c:v>0.75</c:v>
                </c:pt>
                <c:pt idx="10">
                  <c:v>0.7</c:v>
                </c:pt>
                <c:pt idx="11">
                  <c:v>0.65</c:v>
                </c:pt>
                <c:pt idx="12" formatCode="0.00">
                  <c:v>0.6</c:v>
                </c:pt>
              </c:numCache>
            </c:numRef>
          </c:xVal>
          <c:yVal>
            <c:numRef>
              <c:f>' NOx PPM'!$P$73:$P$85</c:f>
              <c:numCache>
                <c:formatCode>0.00</c:formatCode>
                <c:ptCount val="13"/>
                <c:pt idx="0">
                  <c:v>0</c:v>
                </c:pt>
                <c:pt idx="1">
                  <c:v>23549.996665198873</c:v>
                </c:pt>
                <c:pt idx="2">
                  <c:v>28088.925371364512</c:v>
                </c:pt>
                <c:pt idx="3">
                  <c:v>28927.832386959522</c:v>
                </c:pt>
                <c:pt idx="4">
                  <c:v>28003.460372508744</c:v>
                </c:pt>
                <c:pt idx="5">
                  <c:v>26164.87325735074</c:v>
                </c:pt>
                <c:pt idx="6">
                  <c:v>14321.245393780046</c:v>
                </c:pt>
                <c:pt idx="7">
                  <c:v>6147.7721486851342</c:v>
                </c:pt>
                <c:pt idx="8">
                  <c:v>2207.2354050368504</c:v>
                </c:pt>
                <c:pt idx="9">
                  <c:v>663.51516316069535</c:v>
                </c:pt>
                <c:pt idx="10">
                  <c:v>163.73512842097657</c:v>
                </c:pt>
                <c:pt idx="11">
                  <c:v>32.093593252914793</c:v>
                </c:pt>
                <c:pt idx="12">
                  <c:v>4.7761962078354561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0B7-4B35-8172-A4F1309740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0239312"/>
        <c:axId val="338711792"/>
      </c:scatterChart>
      <c:valAx>
        <c:axId val="170239312"/>
        <c:scaling>
          <c:orientation val="minMax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8711792"/>
        <c:crosses val="autoZero"/>
        <c:crossBetween val="midCat"/>
      </c:valAx>
      <c:valAx>
        <c:axId val="338711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239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 NOx PPM'!$B$48:$B$60</c:f>
              <c:numCache>
                <c:formatCode>General</c:formatCode>
                <c:ptCount val="13"/>
                <c:pt idx="0" formatCode="0.00">
                  <c:v>1</c:v>
                </c:pt>
                <c:pt idx="1">
                  <c:v>0.99</c:v>
                </c:pt>
                <c:pt idx="2" formatCode="0.00">
                  <c:v>0.98</c:v>
                </c:pt>
                <c:pt idx="3">
                  <c:v>0.97</c:v>
                </c:pt>
                <c:pt idx="4" formatCode="0.00">
                  <c:v>0.96</c:v>
                </c:pt>
                <c:pt idx="5">
                  <c:v>0.95</c:v>
                </c:pt>
                <c:pt idx="6">
                  <c:v>0.9</c:v>
                </c:pt>
                <c:pt idx="7" formatCode="0.00">
                  <c:v>0.85</c:v>
                </c:pt>
                <c:pt idx="8">
                  <c:v>0.8</c:v>
                </c:pt>
                <c:pt idx="9" formatCode="0.00">
                  <c:v>0.75</c:v>
                </c:pt>
                <c:pt idx="10">
                  <c:v>0.7</c:v>
                </c:pt>
                <c:pt idx="11">
                  <c:v>0.65</c:v>
                </c:pt>
                <c:pt idx="12" formatCode="0.00">
                  <c:v>0.6</c:v>
                </c:pt>
              </c:numCache>
            </c:numRef>
          </c:xVal>
          <c:yVal>
            <c:numRef>
              <c:f>' NOx PPM'!$P$48:$P$60</c:f>
              <c:numCache>
                <c:formatCode>0.00</c:formatCode>
                <c:ptCount val="13"/>
                <c:pt idx="0">
                  <c:v>0</c:v>
                </c:pt>
                <c:pt idx="1">
                  <c:v>23549.996665198873</c:v>
                </c:pt>
                <c:pt idx="2">
                  <c:v>28088.925371364512</c:v>
                </c:pt>
                <c:pt idx="3">
                  <c:v>28927.832386959522</c:v>
                </c:pt>
                <c:pt idx="4">
                  <c:v>28003.460372508744</c:v>
                </c:pt>
                <c:pt idx="5">
                  <c:v>26164.87325735074</c:v>
                </c:pt>
                <c:pt idx="6">
                  <c:v>14321.245393780046</c:v>
                </c:pt>
                <c:pt idx="7">
                  <c:v>6147.7721486851342</c:v>
                </c:pt>
                <c:pt idx="8">
                  <c:v>2207.2354050368504</c:v>
                </c:pt>
                <c:pt idx="9">
                  <c:v>663.51516316069535</c:v>
                </c:pt>
                <c:pt idx="10">
                  <c:v>163.73512842097657</c:v>
                </c:pt>
                <c:pt idx="11">
                  <c:v>32.093593252914793</c:v>
                </c:pt>
                <c:pt idx="12">
                  <c:v>4.7761962078354561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18E-46A8-B070-16AEC9724E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060415"/>
        <c:axId val="485222079"/>
      </c:scatterChart>
      <c:valAx>
        <c:axId val="482060415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222079"/>
        <c:crosses val="autoZero"/>
        <c:crossBetween val="midCat"/>
      </c:valAx>
      <c:valAx>
        <c:axId val="485222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20604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/>
              <a:t>PPM &amp; Each EGR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20790107074058"/>
          <c:y val="9.8431516153541704E-2"/>
          <c:w val="0.88400540364142199"/>
          <c:h val="0.77120850149089659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EGR!$I$30:$I$34</c:f>
              <c:numCache>
                <c:formatCode>0%</c:formatCode>
                <c:ptCount val="5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</c:numCache>
            </c:numRef>
          </c:xVal>
          <c:yVal>
            <c:numRef>
              <c:f>EGR!$K$30:$K$34</c:f>
              <c:numCache>
                <c:formatCode>0.00</c:formatCode>
                <c:ptCount val="5"/>
                <c:pt idx="0">
                  <c:v>28927.832386959522</c:v>
                </c:pt>
                <c:pt idx="1">
                  <c:v>7948.5857194278415</c:v>
                </c:pt>
                <c:pt idx="2">
                  <c:v>3203.5797548504383</c:v>
                </c:pt>
                <c:pt idx="3">
                  <c:v>1303.8480885391564</c:v>
                </c:pt>
                <c:pt idx="4">
                  <c:v>535.33838365317877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2B5-41B2-9BB3-AC7F35F02B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5466952"/>
        <c:axId val="485467936"/>
      </c:scatterChart>
      <c:valAx>
        <c:axId val="485466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EGR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467936"/>
        <c:crosses val="autoZero"/>
        <c:crossBetween val="midCat"/>
      </c:valAx>
      <c:valAx>
        <c:axId val="485467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000"/>
                  <a:t>PPM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4669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447675</xdr:colOff>
      <xdr:row>5</xdr:row>
      <xdr:rowOff>195262</xdr:rowOff>
    </xdr:from>
    <xdr:to>
      <xdr:col>19</xdr:col>
      <xdr:colOff>142875</xdr:colOff>
      <xdr:row>20</xdr:row>
      <xdr:rowOff>71437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447675</xdr:colOff>
      <xdr:row>6</xdr:row>
      <xdr:rowOff>171450</xdr:rowOff>
    </xdr:from>
    <xdr:to>
      <xdr:col>17</xdr:col>
      <xdr:colOff>142875</xdr:colOff>
      <xdr:row>20</xdr:row>
      <xdr:rowOff>171450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180975</xdr:colOff>
      <xdr:row>8</xdr:row>
      <xdr:rowOff>238126</xdr:rowOff>
    </xdr:from>
    <xdr:to>
      <xdr:col>16</xdr:col>
      <xdr:colOff>657225</xdr:colOff>
      <xdr:row>28</xdr:row>
      <xdr:rowOff>66675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</xdr:row>
      <xdr:rowOff>0</xdr:rowOff>
    </xdr:from>
    <xdr:to>
      <xdr:col>14</xdr:col>
      <xdr:colOff>133350</xdr:colOff>
      <xdr:row>23</xdr:row>
      <xdr:rowOff>9525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28</xdr:row>
      <xdr:rowOff>190502</xdr:rowOff>
    </xdr:from>
    <xdr:to>
      <xdr:col>3</xdr:col>
      <xdr:colOff>1111250</xdr:colOff>
      <xdr:row>30</xdr:row>
      <xdr:rowOff>127000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CxnSpPr/>
      </xdr:nvCxnSpPr>
      <xdr:spPr>
        <a:xfrm flipV="1">
          <a:off x="6191250" y="6397627"/>
          <a:ext cx="1063625" cy="349248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2135186</xdr:colOff>
      <xdr:row>63</xdr:row>
      <xdr:rowOff>65086</xdr:rowOff>
    </xdr:from>
    <xdr:to>
      <xdr:col>6</xdr:col>
      <xdr:colOff>47625</xdr:colOff>
      <xdr:row>91</xdr:row>
      <xdr:rowOff>47625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911677</xdr:colOff>
      <xdr:row>62</xdr:row>
      <xdr:rowOff>183015</xdr:rowOff>
    </xdr:from>
    <xdr:to>
      <xdr:col>13</xdr:col>
      <xdr:colOff>449036</xdr:colOff>
      <xdr:row>91</xdr:row>
      <xdr:rowOff>181428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492125</xdr:colOff>
      <xdr:row>27</xdr:row>
      <xdr:rowOff>31751</xdr:rowOff>
    </xdr:from>
    <xdr:to>
      <xdr:col>3</xdr:col>
      <xdr:colOff>1127125</xdr:colOff>
      <xdr:row>29</xdr:row>
      <xdr:rowOff>190500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CxnSpPr/>
      </xdr:nvCxnSpPr>
      <xdr:spPr>
        <a:xfrm flipV="1">
          <a:off x="6635750" y="5905501"/>
          <a:ext cx="635000" cy="698499"/>
        </a:xfrm>
        <a:prstGeom prst="straightConnector1">
          <a:avLst/>
        </a:prstGeom>
        <a:ln>
          <a:tailEnd type="triangle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1111250</xdr:colOff>
      <xdr:row>63</xdr:row>
      <xdr:rowOff>9524</xdr:rowOff>
    </xdr:from>
    <xdr:to>
      <xdr:col>17</xdr:col>
      <xdr:colOff>1460500</xdr:colOff>
      <xdr:row>91</xdr:row>
      <xdr:rowOff>174625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27</xdr:row>
      <xdr:rowOff>114300</xdr:rowOff>
    </xdr:from>
    <xdr:to>
      <xdr:col>4</xdr:col>
      <xdr:colOff>1638300</xdr:colOff>
      <xdr:row>30</xdr:row>
      <xdr:rowOff>57150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CxnSpPr/>
      </xdr:nvCxnSpPr>
      <xdr:spPr>
        <a:xfrm flipV="1">
          <a:off x="5972175" y="5819775"/>
          <a:ext cx="1485900" cy="581025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877660</xdr:colOff>
      <xdr:row>25</xdr:row>
      <xdr:rowOff>31750</xdr:rowOff>
    </xdr:from>
    <xdr:to>
      <xdr:col>16</xdr:col>
      <xdr:colOff>1349375</xdr:colOff>
      <xdr:row>43</xdr:row>
      <xdr:rowOff>119743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1492249</xdr:colOff>
      <xdr:row>85</xdr:row>
      <xdr:rowOff>49212</xdr:rowOff>
    </xdr:from>
    <xdr:to>
      <xdr:col>16</xdr:col>
      <xdr:colOff>142874</xdr:colOff>
      <xdr:row>114</xdr:row>
      <xdr:rowOff>47625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27</xdr:row>
      <xdr:rowOff>114300</xdr:rowOff>
    </xdr:from>
    <xdr:to>
      <xdr:col>4</xdr:col>
      <xdr:colOff>1638300</xdr:colOff>
      <xdr:row>30</xdr:row>
      <xdr:rowOff>57150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5C038822-C1F7-4A07-BC80-CAD9568D14DC}"/>
            </a:ext>
          </a:extLst>
        </xdr:cNvPr>
        <xdr:cNvCxnSpPr/>
      </xdr:nvCxnSpPr>
      <xdr:spPr>
        <a:xfrm flipV="1">
          <a:off x="6953250" y="6134100"/>
          <a:ext cx="1485900" cy="581025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89683</xdr:colOff>
      <xdr:row>24</xdr:row>
      <xdr:rowOff>163369</xdr:rowOff>
    </xdr:from>
    <xdr:to>
      <xdr:col>17</xdr:col>
      <xdr:colOff>284307</xdr:colOff>
      <xdr:row>43</xdr:row>
      <xdr:rowOff>41811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3D04FA7-1BDC-488C-9E8B-7D4E1E9804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675408</xdr:colOff>
      <xdr:row>23</xdr:row>
      <xdr:rowOff>146338</xdr:rowOff>
    </xdr:from>
    <xdr:to>
      <xdr:col>22</xdr:col>
      <xdr:colOff>1177636</xdr:colOff>
      <xdr:row>45</xdr:row>
      <xdr:rowOff>103909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ohio.edu/mechanical/thermo/property_tables/combustion/oxygen_enth.html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P35"/>
  <sheetViews>
    <sheetView workbookViewId="0">
      <selection activeCell="W9" sqref="W9"/>
    </sheetView>
  </sheetViews>
  <sheetFormatPr defaultRowHeight="15" x14ac:dyDescent="0.25"/>
  <cols>
    <col min="1" max="16384" width="9.140625" style="1"/>
  </cols>
  <sheetData>
    <row r="4" spans="3:16" ht="15.75" thickBot="1" x14ac:dyDescent="0.3"/>
    <row r="5" spans="3:16" ht="19.5" thickBot="1" x14ac:dyDescent="0.35">
      <c r="C5" s="272" t="s">
        <v>80</v>
      </c>
      <c r="D5" s="273"/>
      <c r="E5" s="274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</row>
    <row r="6" spans="3:16" ht="15.75" thickBot="1" x14ac:dyDescent="0.3"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3:16" ht="15.75" thickBot="1" x14ac:dyDescent="0.3">
      <c r="C7" s="269" t="s">
        <v>81</v>
      </c>
      <c r="D7" s="269" t="s">
        <v>68</v>
      </c>
      <c r="E7" s="45" t="s">
        <v>82</v>
      </c>
      <c r="F7" s="93"/>
      <c r="G7" s="45" t="s">
        <v>83</v>
      </c>
      <c r="H7" s="93"/>
      <c r="I7" s="45" t="s">
        <v>55</v>
      </c>
      <c r="J7" s="45" t="s">
        <v>43</v>
      </c>
      <c r="K7" s="45" t="s">
        <v>84</v>
      </c>
      <c r="L7" s="93"/>
      <c r="M7" s="93"/>
      <c r="N7" s="46" t="s">
        <v>85</v>
      </c>
      <c r="O7" s="93"/>
      <c r="P7" s="91"/>
    </row>
    <row r="8" spans="3:16" ht="15.75" thickBot="1" x14ac:dyDescent="0.3">
      <c r="C8" s="270"/>
      <c r="D8" s="271"/>
      <c r="E8" s="45" t="s">
        <v>86</v>
      </c>
      <c r="F8" s="45" t="s">
        <v>87</v>
      </c>
      <c r="G8" s="84" t="s">
        <v>88</v>
      </c>
      <c r="H8" s="45" t="s">
        <v>89</v>
      </c>
      <c r="I8" s="45" t="s">
        <v>90</v>
      </c>
      <c r="J8" s="45" t="s">
        <v>90</v>
      </c>
      <c r="K8" s="45" t="s">
        <v>91</v>
      </c>
      <c r="L8" s="45" t="s">
        <v>92</v>
      </c>
      <c r="M8" s="101" t="s">
        <v>93</v>
      </c>
      <c r="N8" s="45" t="s">
        <v>94</v>
      </c>
      <c r="O8" s="45" t="s">
        <v>95</v>
      </c>
      <c r="P8" s="45" t="s">
        <v>96</v>
      </c>
    </row>
    <row r="9" spans="3:16" ht="15.75" thickTop="1" x14ac:dyDescent="0.25">
      <c r="C9" s="78" t="s">
        <v>97</v>
      </c>
      <c r="D9" s="70" t="s">
        <v>98</v>
      </c>
      <c r="E9" s="64">
        <v>16.04</v>
      </c>
      <c r="F9" s="65">
        <v>161</v>
      </c>
      <c r="G9" s="64">
        <v>2.21</v>
      </c>
      <c r="H9" s="65">
        <v>537</v>
      </c>
      <c r="I9" s="66">
        <v>55.536000000000001</v>
      </c>
      <c r="J9" s="66">
        <v>50.048000000000002</v>
      </c>
      <c r="K9" s="65">
        <v>510</v>
      </c>
      <c r="L9" s="67">
        <v>17.2</v>
      </c>
      <c r="M9" s="68">
        <v>2226</v>
      </c>
      <c r="N9" s="67">
        <v>74.400000000000006</v>
      </c>
      <c r="O9" s="65">
        <v>120</v>
      </c>
      <c r="P9" s="69">
        <v>120</v>
      </c>
    </row>
    <row r="10" spans="3:16" x14ac:dyDescent="0.25">
      <c r="C10" s="79" t="s">
        <v>99</v>
      </c>
      <c r="D10" s="70" t="s">
        <v>100</v>
      </c>
      <c r="E10" s="64">
        <v>26.04</v>
      </c>
      <c r="F10" s="65">
        <v>84</v>
      </c>
      <c r="G10" s="64">
        <v>1.6</v>
      </c>
      <c r="H10" s="65">
        <v>305</v>
      </c>
      <c r="I10" s="66">
        <v>49.923000000000002</v>
      </c>
      <c r="J10" s="66">
        <v>48.225000000000001</v>
      </c>
      <c r="K10" s="70" t="s">
        <v>101</v>
      </c>
      <c r="L10" s="67">
        <v>13.2</v>
      </c>
      <c r="M10" s="68">
        <v>2540</v>
      </c>
      <c r="N10" s="67">
        <v>8.6999999999999993</v>
      </c>
      <c r="O10" s="65">
        <v>50</v>
      </c>
      <c r="P10" s="69">
        <v>50</v>
      </c>
    </row>
    <row r="11" spans="3:16" x14ac:dyDescent="0.25">
      <c r="C11" s="79" t="s">
        <v>102</v>
      </c>
      <c r="D11" s="70" t="s">
        <v>103</v>
      </c>
      <c r="E11" s="64">
        <v>28.05</v>
      </c>
      <c r="F11" s="65">
        <v>104</v>
      </c>
      <c r="G11" s="64">
        <v>1.54</v>
      </c>
      <c r="H11" s="65">
        <v>490</v>
      </c>
      <c r="I11" s="66">
        <v>50.311999999999998</v>
      </c>
      <c r="J11" s="66">
        <v>47.131999999999998</v>
      </c>
      <c r="K11" s="70" t="s">
        <v>101</v>
      </c>
      <c r="L11" s="67">
        <v>14.7</v>
      </c>
      <c r="M11" s="68">
        <v>2380</v>
      </c>
      <c r="N11" s="67">
        <v>52.4</v>
      </c>
      <c r="O11" s="70" t="s">
        <v>101</v>
      </c>
      <c r="P11" s="71" t="s">
        <v>101</v>
      </c>
    </row>
    <row r="12" spans="3:16" x14ac:dyDescent="0.25">
      <c r="C12" s="79" t="s">
        <v>104</v>
      </c>
      <c r="D12" s="70" t="s">
        <v>105</v>
      </c>
      <c r="E12" s="64">
        <v>30.07</v>
      </c>
      <c r="F12" s="65">
        <v>89</v>
      </c>
      <c r="G12" s="64">
        <v>1.75</v>
      </c>
      <c r="H12" s="65">
        <v>472</v>
      </c>
      <c r="I12" s="66">
        <v>51.902000000000001</v>
      </c>
      <c r="J12" s="66">
        <v>47.610999999999997</v>
      </c>
      <c r="K12" s="65">
        <v>489</v>
      </c>
      <c r="L12" s="67">
        <v>16.100000000000001</v>
      </c>
      <c r="M12" s="68">
        <v>2370</v>
      </c>
      <c r="N12" s="67">
        <v>83.8</v>
      </c>
      <c r="O12" s="65">
        <v>115</v>
      </c>
      <c r="P12" s="69">
        <v>99</v>
      </c>
    </row>
    <row r="13" spans="3:16" x14ac:dyDescent="0.25">
      <c r="C13" s="79" t="s">
        <v>106</v>
      </c>
      <c r="D13" s="70" t="s">
        <v>107</v>
      </c>
      <c r="E13" s="64">
        <v>44.1</v>
      </c>
      <c r="F13" s="65">
        <v>42</v>
      </c>
      <c r="G13" s="64">
        <v>1.62</v>
      </c>
      <c r="H13" s="65">
        <v>470</v>
      </c>
      <c r="I13" s="66">
        <v>50.322000000000003</v>
      </c>
      <c r="J13" s="66">
        <v>46.33</v>
      </c>
      <c r="K13" s="65">
        <v>432</v>
      </c>
      <c r="L13" s="67">
        <v>15.7</v>
      </c>
      <c r="M13" s="68">
        <v>2334</v>
      </c>
      <c r="N13" s="67">
        <v>104.7</v>
      </c>
      <c r="O13" s="65">
        <v>112</v>
      </c>
      <c r="P13" s="69">
        <v>97</v>
      </c>
    </row>
    <row r="14" spans="3:16" x14ac:dyDescent="0.25">
      <c r="C14" s="79" t="s">
        <v>108</v>
      </c>
      <c r="D14" s="70" t="s">
        <v>109</v>
      </c>
      <c r="E14" s="64">
        <v>58.12</v>
      </c>
      <c r="F14" s="67">
        <v>0.5</v>
      </c>
      <c r="G14" s="64">
        <v>1.64</v>
      </c>
      <c r="H14" s="65">
        <v>365</v>
      </c>
      <c r="I14" s="66">
        <v>49.511000000000003</v>
      </c>
      <c r="J14" s="66">
        <v>45.725000000000001</v>
      </c>
      <c r="K14" s="65">
        <v>386</v>
      </c>
      <c r="L14" s="67">
        <v>15.5</v>
      </c>
      <c r="M14" s="68">
        <v>2270</v>
      </c>
      <c r="N14" s="67">
        <v>146.6</v>
      </c>
      <c r="O14" s="65">
        <v>94</v>
      </c>
      <c r="P14" s="69">
        <v>90</v>
      </c>
    </row>
    <row r="15" spans="3:16" x14ac:dyDescent="0.25">
      <c r="C15" s="79" t="s">
        <v>108</v>
      </c>
      <c r="D15" s="70" t="s">
        <v>110</v>
      </c>
      <c r="E15" s="64">
        <v>58.12</v>
      </c>
      <c r="F15" s="65">
        <v>12</v>
      </c>
      <c r="G15" s="64">
        <v>1.62</v>
      </c>
      <c r="H15" s="65">
        <v>460</v>
      </c>
      <c r="I15" s="66">
        <v>49.363</v>
      </c>
      <c r="J15" s="66">
        <v>45.576999999999998</v>
      </c>
      <c r="K15" s="65">
        <v>366</v>
      </c>
      <c r="L15" s="67">
        <v>15.5</v>
      </c>
      <c r="M15" s="68">
        <v>2310</v>
      </c>
      <c r="N15" s="67">
        <v>153.5</v>
      </c>
      <c r="O15" s="65">
        <v>102</v>
      </c>
      <c r="P15" s="69">
        <v>98</v>
      </c>
    </row>
    <row r="16" spans="3:16" x14ac:dyDescent="0.25">
      <c r="C16" s="79" t="s">
        <v>111</v>
      </c>
      <c r="D16" s="70" t="s">
        <v>112</v>
      </c>
      <c r="E16" s="64">
        <v>72.150000000000006</v>
      </c>
      <c r="F16" s="65">
        <v>36</v>
      </c>
      <c r="G16" s="64">
        <v>1.62</v>
      </c>
      <c r="H16" s="65">
        <v>284</v>
      </c>
      <c r="I16" s="66">
        <v>49.003</v>
      </c>
      <c r="J16" s="66">
        <v>45.343000000000004</v>
      </c>
      <c r="K16" s="65">
        <v>357</v>
      </c>
      <c r="L16" s="67">
        <v>15.3</v>
      </c>
      <c r="M16" s="68">
        <v>2270</v>
      </c>
      <c r="N16" s="67">
        <v>173.5</v>
      </c>
      <c r="O16" s="65">
        <v>62</v>
      </c>
      <c r="P16" s="69">
        <v>63</v>
      </c>
    </row>
    <row r="17" spans="3:16" x14ac:dyDescent="0.25">
      <c r="C17" s="79" t="s">
        <v>111</v>
      </c>
      <c r="D17" s="70" t="s">
        <v>113</v>
      </c>
      <c r="E17" s="64">
        <v>72.150000000000006</v>
      </c>
      <c r="F17" s="65">
        <v>28</v>
      </c>
      <c r="G17" s="64">
        <v>1.6</v>
      </c>
      <c r="H17" s="65">
        <v>420</v>
      </c>
      <c r="I17" s="66">
        <v>48.908999999999999</v>
      </c>
      <c r="J17" s="66">
        <v>45.249000000000002</v>
      </c>
      <c r="K17" s="65">
        <v>342</v>
      </c>
      <c r="L17" s="67">
        <v>15.3</v>
      </c>
      <c r="M17" s="68">
        <v>2310</v>
      </c>
      <c r="N17" s="67">
        <v>178.5</v>
      </c>
      <c r="O17" s="65">
        <v>93</v>
      </c>
      <c r="P17" s="69">
        <v>90</v>
      </c>
    </row>
    <row r="18" spans="3:16" x14ac:dyDescent="0.25">
      <c r="C18" s="79" t="s">
        <v>114</v>
      </c>
      <c r="D18" s="70" t="s">
        <v>115</v>
      </c>
      <c r="E18" s="64">
        <v>86.18</v>
      </c>
      <c r="F18" s="65">
        <v>69</v>
      </c>
      <c r="G18" s="64">
        <v>1.62</v>
      </c>
      <c r="H18" s="65">
        <v>233</v>
      </c>
      <c r="I18" s="66">
        <v>48.673999999999999</v>
      </c>
      <c r="J18" s="66">
        <v>45.098999999999997</v>
      </c>
      <c r="K18" s="65">
        <v>335</v>
      </c>
      <c r="L18" s="67">
        <v>15.2</v>
      </c>
      <c r="M18" s="68">
        <v>2271</v>
      </c>
      <c r="N18" s="67">
        <v>198.7</v>
      </c>
      <c r="O18" s="65">
        <v>25</v>
      </c>
      <c r="P18" s="69">
        <v>26</v>
      </c>
    </row>
    <row r="19" spans="3:16" x14ac:dyDescent="0.25">
      <c r="C19" s="79" t="s">
        <v>114</v>
      </c>
      <c r="D19" s="70" t="s">
        <v>116</v>
      </c>
      <c r="E19" s="64">
        <v>86.18</v>
      </c>
      <c r="F19" s="65">
        <v>50</v>
      </c>
      <c r="G19" s="64">
        <v>1.58</v>
      </c>
      <c r="H19" s="65">
        <v>421</v>
      </c>
      <c r="I19" s="66">
        <v>48.454000000000001</v>
      </c>
      <c r="J19" s="66">
        <v>44.878999999999998</v>
      </c>
      <c r="K19" s="65">
        <v>305</v>
      </c>
      <c r="L19" s="67">
        <v>15.2</v>
      </c>
      <c r="M19" s="68">
        <v>2300</v>
      </c>
      <c r="N19" s="67">
        <v>207.4</v>
      </c>
      <c r="O19" s="65">
        <v>104</v>
      </c>
      <c r="P19" s="69">
        <v>94</v>
      </c>
    </row>
    <row r="20" spans="3:16" x14ac:dyDescent="0.25">
      <c r="C20" s="79" t="s">
        <v>117</v>
      </c>
      <c r="D20" s="70" t="s">
        <v>118</v>
      </c>
      <c r="E20" s="64">
        <v>100.2</v>
      </c>
      <c r="F20" s="65">
        <v>99</v>
      </c>
      <c r="G20" s="64">
        <v>1.61</v>
      </c>
      <c r="H20" s="65">
        <v>215</v>
      </c>
      <c r="I20" s="66">
        <v>48.438000000000002</v>
      </c>
      <c r="J20" s="66">
        <v>44.924999999999997</v>
      </c>
      <c r="K20" s="65">
        <v>317</v>
      </c>
      <c r="L20" s="67">
        <v>15.2</v>
      </c>
      <c r="M20" s="68">
        <v>2273</v>
      </c>
      <c r="N20" s="67">
        <v>224.2</v>
      </c>
      <c r="O20" s="65">
        <v>0</v>
      </c>
      <c r="P20" s="69">
        <v>0</v>
      </c>
    </row>
    <row r="21" spans="3:16" x14ac:dyDescent="0.25">
      <c r="C21" s="79" t="s">
        <v>119</v>
      </c>
      <c r="D21" s="70" t="s">
        <v>120</v>
      </c>
      <c r="E21" s="64">
        <v>114.23</v>
      </c>
      <c r="F21" s="65">
        <v>126</v>
      </c>
      <c r="G21" s="64">
        <v>1.61</v>
      </c>
      <c r="H21" s="65">
        <v>206</v>
      </c>
      <c r="I21" s="66">
        <v>48.253999999999998</v>
      </c>
      <c r="J21" s="66">
        <v>44.786000000000001</v>
      </c>
      <c r="K21" s="65">
        <v>301</v>
      </c>
      <c r="L21" s="67">
        <v>15.1</v>
      </c>
      <c r="M21" s="68">
        <v>2275</v>
      </c>
      <c r="N21" s="67">
        <v>250.1</v>
      </c>
      <c r="O21" s="65">
        <v>20</v>
      </c>
      <c r="P21" s="69">
        <v>17</v>
      </c>
    </row>
    <row r="22" spans="3:16" x14ac:dyDescent="0.25">
      <c r="C22" s="79" t="s">
        <v>119</v>
      </c>
      <c r="D22" s="70" t="s">
        <v>121</v>
      </c>
      <c r="E22" s="64">
        <v>114.23</v>
      </c>
      <c r="F22" s="65">
        <v>114</v>
      </c>
      <c r="G22" s="64">
        <v>1.59</v>
      </c>
      <c r="H22" s="65">
        <v>418</v>
      </c>
      <c r="I22" s="66">
        <v>48.119</v>
      </c>
      <c r="J22" s="66">
        <v>44.651000000000003</v>
      </c>
      <c r="K22" s="65">
        <v>283</v>
      </c>
      <c r="L22" s="67">
        <v>15.1</v>
      </c>
      <c r="M22" s="68">
        <v>2300</v>
      </c>
      <c r="N22" s="67">
        <v>259.2</v>
      </c>
      <c r="O22" s="65">
        <v>100</v>
      </c>
      <c r="P22" s="69">
        <v>100</v>
      </c>
    </row>
    <row r="23" spans="3:16" x14ac:dyDescent="0.25">
      <c r="C23" s="79" t="s">
        <v>122</v>
      </c>
      <c r="D23" s="70" t="s">
        <v>123</v>
      </c>
      <c r="E23" s="67">
        <v>128.6</v>
      </c>
      <c r="F23" s="65">
        <v>151</v>
      </c>
      <c r="G23" s="64">
        <v>1.61</v>
      </c>
      <c r="H23" s="70" t="s">
        <v>101</v>
      </c>
      <c r="I23" s="66">
        <v>48.119</v>
      </c>
      <c r="J23" s="66">
        <v>44.688000000000002</v>
      </c>
      <c r="K23" s="65">
        <v>295</v>
      </c>
      <c r="L23" s="67">
        <v>15.1</v>
      </c>
      <c r="M23" s="68">
        <v>2274</v>
      </c>
      <c r="N23" s="67">
        <v>274.7</v>
      </c>
      <c r="O23" s="70" t="s">
        <v>101</v>
      </c>
      <c r="P23" s="71" t="s">
        <v>101</v>
      </c>
    </row>
    <row r="24" spans="3:16" x14ac:dyDescent="0.25">
      <c r="C24" s="79" t="s">
        <v>124</v>
      </c>
      <c r="D24" s="70" t="s">
        <v>125</v>
      </c>
      <c r="E24" s="64">
        <v>142.28</v>
      </c>
      <c r="F24" s="65">
        <v>174</v>
      </c>
      <c r="G24" s="64">
        <v>1.61</v>
      </c>
      <c r="H24" s="65">
        <v>210</v>
      </c>
      <c r="I24" s="66">
        <v>48.002000000000002</v>
      </c>
      <c r="J24" s="66">
        <v>44.598999999999997</v>
      </c>
      <c r="K24" s="65">
        <v>277</v>
      </c>
      <c r="L24" s="67">
        <v>15.1</v>
      </c>
      <c r="M24" s="68">
        <v>2278</v>
      </c>
      <c r="N24" s="67">
        <v>300.89999999999998</v>
      </c>
      <c r="O24" s="65">
        <v>41</v>
      </c>
      <c r="P24" s="69">
        <v>38</v>
      </c>
    </row>
    <row r="25" spans="3:16" x14ac:dyDescent="0.25">
      <c r="C25" s="79" t="s">
        <v>124</v>
      </c>
      <c r="D25" s="70" t="s">
        <v>126</v>
      </c>
      <c r="E25" s="64">
        <v>142.28</v>
      </c>
      <c r="F25" s="65">
        <v>171</v>
      </c>
      <c r="G25" s="64">
        <v>1.61</v>
      </c>
      <c r="H25" s="70" t="s">
        <v>101</v>
      </c>
      <c r="I25" s="66">
        <v>48.564999999999998</v>
      </c>
      <c r="J25" s="66">
        <v>44.412999999999997</v>
      </c>
      <c r="K25" s="70" t="s">
        <v>101</v>
      </c>
      <c r="L25" s="67">
        <v>15.1</v>
      </c>
      <c r="M25" s="68">
        <v>2340</v>
      </c>
      <c r="N25" s="70" t="s">
        <v>101</v>
      </c>
      <c r="O25" s="65">
        <v>113</v>
      </c>
      <c r="P25" s="69">
        <v>92</v>
      </c>
    </row>
    <row r="26" spans="3:16" x14ac:dyDescent="0.25">
      <c r="C26" s="79" t="s">
        <v>127</v>
      </c>
      <c r="D26" s="70" t="s">
        <v>128</v>
      </c>
      <c r="E26" s="64">
        <v>170.33</v>
      </c>
      <c r="F26" s="65">
        <v>216</v>
      </c>
      <c r="G26" s="64">
        <v>1.61</v>
      </c>
      <c r="H26" s="65">
        <v>204</v>
      </c>
      <c r="I26" s="66">
        <v>47.838000000000001</v>
      </c>
      <c r="J26" s="66">
        <v>44.573999999999998</v>
      </c>
      <c r="K26" s="65">
        <v>256</v>
      </c>
      <c r="L26" s="67">
        <v>15</v>
      </c>
      <c r="M26" s="68">
        <v>2276</v>
      </c>
      <c r="N26" s="67">
        <v>350.9</v>
      </c>
      <c r="O26" s="65">
        <v>88</v>
      </c>
      <c r="P26" s="69">
        <v>90</v>
      </c>
    </row>
    <row r="27" spans="3:16" x14ac:dyDescent="0.25">
      <c r="C27" s="80" t="s">
        <v>129</v>
      </c>
      <c r="D27" s="70" t="s">
        <v>130</v>
      </c>
      <c r="E27" s="64">
        <v>32.04</v>
      </c>
      <c r="F27" s="65">
        <v>65</v>
      </c>
      <c r="G27" s="64">
        <v>1.37</v>
      </c>
      <c r="H27" s="65">
        <v>385</v>
      </c>
      <c r="I27" s="66">
        <v>22.663</v>
      </c>
      <c r="J27" s="66">
        <v>19.914999999999999</v>
      </c>
      <c r="K27" s="68">
        <v>1099</v>
      </c>
      <c r="L27" s="67">
        <v>6.5</v>
      </c>
      <c r="M27" s="68">
        <v>2183</v>
      </c>
      <c r="N27" s="67">
        <v>201.5</v>
      </c>
      <c r="O27" s="65">
        <v>106</v>
      </c>
      <c r="P27" s="69">
        <v>92</v>
      </c>
    </row>
    <row r="28" spans="3:16" x14ac:dyDescent="0.25">
      <c r="C28" s="79" t="s">
        <v>131</v>
      </c>
      <c r="D28" s="70" t="s">
        <v>132</v>
      </c>
      <c r="E28" s="64">
        <v>46.07</v>
      </c>
      <c r="F28" s="65">
        <v>78</v>
      </c>
      <c r="G28" s="64">
        <v>1.42</v>
      </c>
      <c r="H28" s="65">
        <v>365</v>
      </c>
      <c r="I28" s="66">
        <v>29.667999999999999</v>
      </c>
      <c r="J28" s="66">
        <v>26.803000000000001</v>
      </c>
      <c r="K28" s="65">
        <v>836</v>
      </c>
      <c r="L28" s="67">
        <v>9</v>
      </c>
      <c r="M28" s="68">
        <v>2144</v>
      </c>
      <c r="N28" s="67">
        <v>235.1</v>
      </c>
      <c r="O28" s="65">
        <v>107</v>
      </c>
      <c r="P28" s="69">
        <v>89</v>
      </c>
    </row>
    <row r="29" spans="3:16" ht="15.75" thickBot="1" x14ac:dyDescent="0.3">
      <c r="C29" s="81" t="s">
        <v>133</v>
      </c>
      <c r="D29" s="76" t="s">
        <v>3</v>
      </c>
      <c r="E29" s="72">
        <v>2.02</v>
      </c>
      <c r="F29" s="73">
        <v>253</v>
      </c>
      <c r="G29" s="72">
        <v>14.47</v>
      </c>
      <c r="H29" s="73">
        <v>400</v>
      </c>
      <c r="I29" s="72">
        <v>141.72</v>
      </c>
      <c r="J29" s="72">
        <v>119.96</v>
      </c>
      <c r="K29" s="73">
        <v>451</v>
      </c>
      <c r="L29" s="74">
        <v>34.299999999999997</v>
      </c>
      <c r="M29" s="75">
        <v>2345</v>
      </c>
      <c r="N29" s="73">
        <v>0</v>
      </c>
      <c r="O29" s="76" t="s">
        <v>101</v>
      </c>
      <c r="P29" s="77" t="s">
        <v>101</v>
      </c>
    </row>
    <row r="30" spans="3:16" ht="15.75" thickBot="1" x14ac:dyDescent="0.3">
      <c r="C30" s="11"/>
      <c r="D30" s="11"/>
      <c r="E30" s="11"/>
      <c r="F30" s="63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spans="3:16" x14ac:dyDescent="0.25">
      <c r="C31" s="275" t="s">
        <v>134</v>
      </c>
      <c r="D31" s="276"/>
      <c r="E31" s="276"/>
      <c r="F31" s="277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spans="3:16" x14ac:dyDescent="0.25">
      <c r="C32" s="278" t="s">
        <v>135</v>
      </c>
      <c r="D32" s="279"/>
      <c r="E32" s="279"/>
      <c r="F32" s="280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spans="3:16" x14ac:dyDescent="0.25">
      <c r="C33" s="278" t="s">
        <v>136</v>
      </c>
      <c r="D33" s="279"/>
      <c r="E33" s="279"/>
      <c r="F33" s="280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spans="3:16" x14ac:dyDescent="0.25">
      <c r="C34" s="278" t="s">
        <v>137</v>
      </c>
      <c r="D34" s="279"/>
      <c r="E34" s="279"/>
      <c r="F34" s="280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spans="3:16" ht="15.75" thickBot="1" x14ac:dyDescent="0.3">
      <c r="C35" s="266" t="s">
        <v>138</v>
      </c>
      <c r="D35" s="267"/>
      <c r="E35" s="267"/>
      <c r="F35" s="268"/>
      <c r="G35" s="11"/>
      <c r="H35" s="11"/>
      <c r="I35" s="11"/>
      <c r="J35" s="11"/>
      <c r="K35" s="11"/>
      <c r="L35" s="11"/>
      <c r="M35" s="11"/>
      <c r="N35" s="11"/>
      <c r="O35" s="11"/>
      <c r="P35" s="11"/>
    </row>
  </sheetData>
  <mergeCells count="8">
    <mergeCell ref="C35:F35"/>
    <mergeCell ref="C7:C8"/>
    <mergeCell ref="D7:D8"/>
    <mergeCell ref="C5:E5"/>
    <mergeCell ref="C31:F31"/>
    <mergeCell ref="C32:F32"/>
    <mergeCell ref="C33:F33"/>
    <mergeCell ref="C34:F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3"/>
  <sheetViews>
    <sheetView workbookViewId="0">
      <selection activeCell="H48" sqref="H48"/>
    </sheetView>
  </sheetViews>
  <sheetFormatPr defaultRowHeight="15" x14ac:dyDescent="0.25"/>
  <cols>
    <col min="1" max="6" width="9.140625" style="11"/>
    <col min="7" max="7" width="12.140625" style="11" bestFit="1" customWidth="1"/>
    <col min="8" max="8" width="11" style="11" bestFit="1" customWidth="1"/>
    <col min="9" max="9" width="11.28515625" style="11" bestFit="1" customWidth="1"/>
    <col min="10" max="10" width="12.42578125" style="11" customWidth="1"/>
    <col min="11" max="16384" width="9.140625" style="11"/>
  </cols>
  <sheetData>
    <row r="1" spans="1:19" x14ac:dyDescent="0.25">
      <c r="A1" s="293" t="s">
        <v>36</v>
      </c>
      <c r="B1" s="294"/>
      <c r="C1" s="294"/>
      <c r="D1" s="294"/>
      <c r="E1" s="295"/>
    </row>
    <row r="2" spans="1:19" ht="15.75" thickBot="1" x14ac:dyDescent="0.3">
      <c r="A2" s="296"/>
      <c r="B2" s="297"/>
      <c r="C2" s="297"/>
      <c r="D2" s="297"/>
      <c r="E2" s="298"/>
    </row>
    <row r="3" spans="1:19" ht="15.75" thickBot="1" x14ac:dyDescent="0.3">
      <c r="A3" s="299" t="s">
        <v>37</v>
      </c>
      <c r="B3" s="300"/>
      <c r="C3" s="303"/>
    </row>
    <row r="4" spans="1:19" ht="19.5" thickBot="1" x14ac:dyDescent="0.35">
      <c r="A4" s="301"/>
      <c r="B4" s="302"/>
      <c r="C4" s="304"/>
      <c r="F4" s="281" t="s">
        <v>74</v>
      </c>
      <c r="G4" s="282"/>
      <c r="H4" s="282"/>
      <c r="I4" s="282"/>
      <c r="J4" s="283"/>
      <c r="M4" s="284" t="s">
        <v>140</v>
      </c>
      <c r="N4" s="285"/>
      <c r="O4" s="285"/>
      <c r="P4" s="285"/>
      <c r="Q4" s="285"/>
      <c r="R4" s="285"/>
      <c r="S4" s="286"/>
    </row>
    <row r="5" spans="1:19" ht="42.75" customHeight="1" thickBot="1" x14ac:dyDescent="0.3">
      <c r="A5" s="299" t="s">
        <v>38</v>
      </c>
      <c r="B5" s="300"/>
      <c r="C5" s="303"/>
      <c r="F5" s="45" t="s">
        <v>75</v>
      </c>
      <c r="G5" s="46" t="s">
        <v>76</v>
      </c>
      <c r="H5" s="82" t="s">
        <v>139</v>
      </c>
      <c r="I5" s="46" t="s">
        <v>77</v>
      </c>
      <c r="J5" s="46" t="s">
        <v>165</v>
      </c>
      <c r="M5" s="287"/>
      <c r="N5" s="288"/>
      <c r="O5" s="288"/>
      <c r="P5" s="288"/>
      <c r="Q5" s="288"/>
      <c r="R5" s="288"/>
      <c r="S5" s="289"/>
    </row>
    <row r="6" spans="1:19" ht="15.75" thickBot="1" x14ac:dyDescent="0.3">
      <c r="A6" s="301"/>
      <c r="B6" s="302"/>
      <c r="C6" s="304"/>
      <c r="F6" s="34">
        <v>200</v>
      </c>
      <c r="G6" s="35">
        <v>32.39</v>
      </c>
      <c r="H6" s="35">
        <v>-3.42</v>
      </c>
      <c r="I6" s="35">
        <v>199.87</v>
      </c>
      <c r="J6" s="36">
        <v>262.76</v>
      </c>
      <c r="M6" s="290"/>
      <c r="N6" s="291"/>
      <c r="O6" s="291"/>
      <c r="P6" s="291"/>
      <c r="Q6" s="291"/>
      <c r="R6" s="291"/>
      <c r="S6" s="292"/>
    </row>
    <row r="7" spans="1:19" x14ac:dyDescent="0.25">
      <c r="F7" s="34">
        <v>250</v>
      </c>
      <c r="G7" s="35">
        <v>34.96</v>
      </c>
      <c r="H7" s="35">
        <v>-1.74</v>
      </c>
      <c r="I7" s="35">
        <v>207.37</v>
      </c>
      <c r="J7" s="36">
        <v>215.11</v>
      </c>
    </row>
    <row r="8" spans="1:19" x14ac:dyDescent="0.25">
      <c r="F8" s="34">
        <v>298</v>
      </c>
      <c r="G8" s="37">
        <v>37.200000000000003</v>
      </c>
      <c r="H8" s="38">
        <v>0</v>
      </c>
      <c r="I8" s="35">
        <v>213.73</v>
      </c>
      <c r="J8" s="36">
        <v>184.46</v>
      </c>
    </row>
    <row r="9" spans="1:19" x14ac:dyDescent="0.25">
      <c r="F9" s="34">
        <v>300</v>
      </c>
      <c r="G9" s="35">
        <v>37.28</v>
      </c>
      <c r="H9" s="35">
        <v>7.0000000000000007E-2</v>
      </c>
      <c r="I9" s="35">
        <v>213.96</v>
      </c>
      <c r="J9" s="36">
        <v>183.48</v>
      </c>
    </row>
    <row r="10" spans="1:19" x14ac:dyDescent="0.25">
      <c r="F10" s="34">
        <v>350</v>
      </c>
      <c r="G10" s="35">
        <v>39.369999999999997</v>
      </c>
      <c r="H10" s="35">
        <v>1.99</v>
      </c>
      <c r="I10" s="35">
        <v>219.86</v>
      </c>
      <c r="J10" s="39">
        <v>161</v>
      </c>
    </row>
    <row r="11" spans="1:19" x14ac:dyDescent="0.25">
      <c r="F11" s="34">
        <v>400</v>
      </c>
      <c r="G11" s="35">
        <v>41.27</v>
      </c>
      <c r="H11" s="38">
        <v>4</v>
      </c>
      <c r="I11" s="35">
        <v>225.25</v>
      </c>
      <c r="J11" s="36">
        <v>144.22</v>
      </c>
    </row>
    <row r="12" spans="1:19" x14ac:dyDescent="0.25">
      <c r="F12" s="34">
        <v>450</v>
      </c>
      <c r="G12" s="38">
        <v>43</v>
      </c>
      <c r="H12" s="35">
        <v>6.11</v>
      </c>
      <c r="I12" s="35">
        <v>230.21</v>
      </c>
      <c r="J12" s="36">
        <v>131.24</v>
      </c>
    </row>
    <row r="13" spans="1:19" x14ac:dyDescent="0.25">
      <c r="F13" s="34">
        <v>500</v>
      </c>
      <c r="G13" s="35">
        <v>44.57</v>
      </c>
      <c r="H13" s="37">
        <v>8.3000000000000007</v>
      </c>
      <c r="I13" s="35">
        <v>234.82</v>
      </c>
      <c r="J13" s="36">
        <v>120.91</v>
      </c>
    </row>
    <row r="14" spans="1:19" x14ac:dyDescent="0.25">
      <c r="F14" s="34">
        <v>550</v>
      </c>
      <c r="G14" s="38">
        <v>46</v>
      </c>
      <c r="H14" s="35">
        <v>10.56</v>
      </c>
      <c r="I14" s="35">
        <v>239.14</v>
      </c>
      <c r="J14" s="36">
        <v>112.51</v>
      </c>
    </row>
    <row r="15" spans="1:19" x14ac:dyDescent="0.25">
      <c r="F15" s="34">
        <v>600</v>
      </c>
      <c r="G15" s="35">
        <v>47.31</v>
      </c>
      <c r="H15" s="37">
        <v>12.9</v>
      </c>
      <c r="I15" s="37">
        <v>243.2</v>
      </c>
      <c r="J15" s="36">
        <v>105.55</v>
      </c>
    </row>
    <row r="16" spans="1:19" x14ac:dyDescent="0.25">
      <c r="F16" s="34">
        <v>650</v>
      </c>
      <c r="G16" s="35">
        <v>48.51</v>
      </c>
      <c r="H16" s="35">
        <v>15.29</v>
      </c>
      <c r="I16" s="35">
        <v>247.03</v>
      </c>
      <c r="J16" s="40">
        <v>99.7</v>
      </c>
    </row>
    <row r="17" spans="6:10" x14ac:dyDescent="0.25">
      <c r="F17" s="34">
        <v>700</v>
      </c>
      <c r="G17" s="35">
        <v>49.61</v>
      </c>
      <c r="H17" s="35">
        <v>17.75</v>
      </c>
      <c r="I17" s="35">
        <v>250.67</v>
      </c>
      <c r="J17" s="36">
        <v>94.72</v>
      </c>
    </row>
    <row r="18" spans="6:10" x14ac:dyDescent="0.25">
      <c r="F18" s="34">
        <v>750</v>
      </c>
      <c r="G18" s="35">
        <v>50.62</v>
      </c>
      <c r="H18" s="35">
        <v>20.25</v>
      </c>
      <c r="I18" s="35">
        <v>254.13</v>
      </c>
      <c r="J18" s="36">
        <v>90.43</v>
      </c>
    </row>
    <row r="19" spans="6:10" x14ac:dyDescent="0.25">
      <c r="F19" s="34">
        <v>800</v>
      </c>
      <c r="G19" s="35">
        <v>51.55</v>
      </c>
      <c r="H19" s="35">
        <v>22.81</v>
      </c>
      <c r="I19" s="35">
        <v>257.42</v>
      </c>
      <c r="J19" s="40">
        <v>86.7</v>
      </c>
    </row>
    <row r="20" spans="6:10" x14ac:dyDescent="0.25">
      <c r="F20" s="34">
        <v>850</v>
      </c>
      <c r="G20" s="35">
        <v>52.38</v>
      </c>
      <c r="H20" s="35">
        <v>25.41</v>
      </c>
      <c r="I20" s="35">
        <v>260.57</v>
      </c>
      <c r="J20" s="36">
        <v>83.43</v>
      </c>
    </row>
    <row r="21" spans="6:10" x14ac:dyDescent="0.25">
      <c r="F21" s="34">
        <v>900</v>
      </c>
      <c r="G21" s="35">
        <v>53.13</v>
      </c>
      <c r="H21" s="35">
        <v>28.05</v>
      </c>
      <c r="I21" s="35">
        <v>263.58999999999997</v>
      </c>
      <c r="J21" s="36">
        <v>80.55</v>
      </c>
    </row>
    <row r="22" spans="6:10" x14ac:dyDescent="0.25">
      <c r="F22" s="34">
        <v>950</v>
      </c>
      <c r="G22" s="35">
        <v>53.79</v>
      </c>
      <c r="H22" s="35">
        <v>30.72</v>
      </c>
      <c r="I22" s="35">
        <v>266.48</v>
      </c>
      <c r="J22" s="36">
        <v>77.989999999999995</v>
      </c>
    </row>
    <row r="23" spans="6:10" x14ac:dyDescent="0.25">
      <c r="F23" s="41">
        <v>1000</v>
      </c>
      <c r="G23" s="35">
        <v>54.36</v>
      </c>
      <c r="H23" s="35">
        <v>33.42</v>
      </c>
      <c r="I23" s="35">
        <v>269.25</v>
      </c>
      <c r="J23" s="40">
        <v>75.7</v>
      </c>
    </row>
    <row r="24" spans="6:10" x14ac:dyDescent="0.25">
      <c r="F24" s="41">
        <v>1050</v>
      </c>
      <c r="G24" s="35">
        <v>54.86</v>
      </c>
      <c r="H24" s="35">
        <v>36.15</v>
      </c>
      <c r="I24" s="35">
        <v>271.92</v>
      </c>
      <c r="J24" s="36">
        <v>73.64</v>
      </c>
    </row>
    <row r="25" spans="6:10" x14ac:dyDescent="0.25">
      <c r="F25" s="41">
        <v>1100</v>
      </c>
      <c r="G25" s="35">
        <v>55.33</v>
      </c>
      <c r="H25" s="35">
        <v>38.909999999999997</v>
      </c>
      <c r="I25" s="35">
        <v>274.48</v>
      </c>
      <c r="J25" s="36">
        <v>71.790000000000006</v>
      </c>
    </row>
    <row r="26" spans="6:10" x14ac:dyDescent="0.25">
      <c r="F26" s="41">
        <v>1150</v>
      </c>
      <c r="G26" s="35">
        <v>55.78</v>
      </c>
      <c r="H26" s="35">
        <v>41.69</v>
      </c>
      <c r="I26" s="35">
        <v>276.95</v>
      </c>
      <c r="J26" s="36">
        <v>70.11</v>
      </c>
    </row>
    <row r="27" spans="6:10" x14ac:dyDescent="0.25">
      <c r="F27" s="41">
        <v>1200</v>
      </c>
      <c r="G27" s="37">
        <v>56.2</v>
      </c>
      <c r="H27" s="35">
        <v>44.49</v>
      </c>
      <c r="I27" s="35">
        <v>279.33</v>
      </c>
      <c r="J27" s="36">
        <v>68.58</v>
      </c>
    </row>
    <row r="28" spans="6:10" x14ac:dyDescent="0.25">
      <c r="F28" s="41">
        <v>1250</v>
      </c>
      <c r="G28" s="37">
        <v>56.6</v>
      </c>
      <c r="H28" s="35">
        <v>47.31</v>
      </c>
      <c r="I28" s="35">
        <v>281.64</v>
      </c>
      <c r="J28" s="36">
        <v>67.19</v>
      </c>
    </row>
    <row r="29" spans="6:10" x14ac:dyDescent="0.25">
      <c r="F29" s="41">
        <v>1300</v>
      </c>
      <c r="G29" s="35">
        <v>56.98</v>
      </c>
      <c r="H29" s="35">
        <v>50.15</v>
      </c>
      <c r="I29" s="35">
        <v>283.86</v>
      </c>
      <c r="J29" s="36">
        <v>65.91</v>
      </c>
    </row>
    <row r="30" spans="6:10" x14ac:dyDescent="0.25">
      <c r="F30" s="41">
        <v>1350</v>
      </c>
      <c r="G30" s="35">
        <v>57.34</v>
      </c>
      <c r="H30" s="38">
        <v>53</v>
      </c>
      <c r="I30" s="35">
        <v>286.02</v>
      </c>
      <c r="J30" s="36">
        <v>64.739999999999995</v>
      </c>
    </row>
    <row r="31" spans="6:10" x14ac:dyDescent="0.25">
      <c r="F31" s="41">
        <v>1400</v>
      </c>
      <c r="G31" s="35">
        <v>57.67</v>
      </c>
      <c r="H31" s="35">
        <v>55.88</v>
      </c>
      <c r="I31" s="35">
        <v>288.11</v>
      </c>
      <c r="J31" s="36">
        <v>63.66</v>
      </c>
    </row>
    <row r="32" spans="6:10" x14ac:dyDescent="0.25">
      <c r="F32" s="41">
        <v>1450</v>
      </c>
      <c r="G32" s="35">
        <v>57.99</v>
      </c>
      <c r="H32" s="35">
        <v>58.77</v>
      </c>
      <c r="I32" s="35">
        <v>290.14</v>
      </c>
      <c r="J32" s="36">
        <v>62.67</v>
      </c>
    </row>
    <row r="33" spans="6:10" x14ac:dyDescent="0.25">
      <c r="F33" s="41">
        <v>1500</v>
      </c>
      <c r="G33" s="35">
        <v>58.29</v>
      </c>
      <c r="H33" s="35">
        <v>61.68</v>
      </c>
      <c r="I33" s="35">
        <v>292.11</v>
      </c>
      <c r="J33" s="36">
        <v>61.74</v>
      </c>
    </row>
    <row r="34" spans="6:10" x14ac:dyDescent="0.25">
      <c r="F34" s="41">
        <v>1550</v>
      </c>
      <c r="G34" s="35">
        <v>58.57</v>
      </c>
      <c r="H34" s="37">
        <v>64.599999999999994</v>
      </c>
      <c r="I34" s="35">
        <v>294.02999999999997</v>
      </c>
      <c r="J34" s="36">
        <v>60.89</v>
      </c>
    </row>
    <row r="35" spans="6:10" x14ac:dyDescent="0.25">
      <c r="F35" s="41">
        <v>1600</v>
      </c>
      <c r="G35" s="35">
        <v>58.83</v>
      </c>
      <c r="H35" s="35">
        <v>67.540000000000006</v>
      </c>
      <c r="I35" s="35">
        <v>295.89</v>
      </c>
      <c r="J35" s="40">
        <v>60.1</v>
      </c>
    </row>
    <row r="36" spans="6:10" x14ac:dyDescent="0.25">
      <c r="F36" s="41">
        <v>1650</v>
      </c>
      <c r="G36" s="35">
        <v>59.08</v>
      </c>
      <c r="H36" s="35">
        <v>70.48</v>
      </c>
      <c r="I36" s="35">
        <v>297.70999999999998</v>
      </c>
      <c r="J36" s="36">
        <v>59.36</v>
      </c>
    </row>
    <row r="37" spans="6:10" x14ac:dyDescent="0.25">
      <c r="F37" s="41">
        <v>1700</v>
      </c>
      <c r="G37" s="35">
        <v>59.31</v>
      </c>
      <c r="H37" s="35">
        <v>73.44</v>
      </c>
      <c r="I37" s="35">
        <v>299.47000000000003</v>
      </c>
      <c r="J37" s="36">
        <v>58.67</v>
      </c>
    </row>
    <row r="38" spans="6:10" x14ac:dyDescent="0.25">
      <c r="F38" s="41">
        <v>1750</v>
      </c>
      <c r="G38" s="35">
        <v>59.53</v>
      </c>
      <c r="H38" s="35">
        <v>76.41</v>
      </c>
      <c r="I38" s="37">
        <v>301.2</v>
      </c>
      <c r="J38" s="36">
        <v>58.02</v>
      </c>
    </row>
    <row r="39" spans="6:10" x14ac:dyDescent="0.25">
      <c r="F39" s="41">
        <v>1800</v>
      </c>
      <c r="G39" s="35">
        <v>59.73</v>
      </c>
      <c r="H39" s="37">
        <v>79.400000000000006</v>
      </c>
      <c r="I39" s="35">
        <v>302.88</v>
      </c>
      <c r="J39" s="36">
        <v>57.42</v>
      </c>
    </row>
    <row r="40" spans="6:10" x14ac:dyDescent="0.25">
      <c r="F40" s="41">
        <v>1850</v>
      </c>
      <c r="G40" s="35">
        <v>59.93</v>
      </c>
      <c r="H40" s="35">
        <v>82.39</v>
      </c>
      <c r="I40" s="35">
        <v>304.52</v>
      </c>
      <c r="J40" s="36">
        <v>56.86</v>
      </c>
    </row>
    <row r="41" spans="6:10" x14ac:dyDescent="0.25">
      <c r="F41" s="41">
        <v>1900</v>
      </c>
      <c r="G41" s="35">
        <v>60.11</v>
      </c>
      <c r="H41" s="35">
        <v>85.39</v>
      </c>
      <c r="I41" s="35">
        <v>306.12</v>
      </c>
      <c r="J41" s="36">
        <v>56.33</v>
      </c>
    </row>
    <row r="42" spans="6:10" x14ac:dyDescent="0.25">
      <c r="F42" s="41">
        <v>1950</v>
      </c>
      <c r="G42" s="35">
        <v>60.27</v>
      </c>
      <c r="H42" s="37">
        <v>88.4</v>
      </c>
      <c r="I42" s="35">
        <v>307.68</v>
      </c>
      <c r="J42" s="36">
        <v>55.83</v>
      </c>
    </row>
    <row r="43" spans="6:10" x14ac:dyDescent="0.25">
      <c r="F43" s="41">
        <v>2000</v>
      </c>
      <c r="G43" s="35">
        <v>60.43</v>
      </c>
      <c r="H43" s="35">
        <v>91.42</v>
      </c>
      <c r="I43" s="35">
        <v>309.20999999999998</v>
      </c>
      <c r="J43" s="36">
        <v>55.36</v>
      </c>
    </row>
    <row r="44" spans="6:10" x14ac:dyDescent="0.25">
      <c r="F44" s="41">
        <v>2050</v>
      </c>
      <c r="G44" s="35">
        <v>60.58</v>
      </c>
      <c r="H44" s="35">
        <v>94.44</v>
      </c>
      <c r="I44" s="37">
        <v>310.7</v>
      </c>
      <c r="J44" s="36">
        <v>54.92</v>
      </c>
    </row>
    <row r="45" spans="6:10" x14ac:dyDescent="0.25">
      <c r="F45" s="41">
        <v>2100</v>
      </c>
      <c r="G45" s="35">
        <v>60.71</v>
      </c>
      <c r="H45" s="35">
        <v>97.47</v>
      </c>
      <c r="I45" s="35">
        <v>312.16000000000003</v>
      </c>
      <c r="J45" s="40">
        <v>54.5</v>
      </c>
    </row>
    <row r="46" spans="6:10" x14ac:dyDescent="0.25">
      <c r="F46" s="41">
        <v>2150</v>
      </c>
      <c r="G46" s="35">
        <v>60.84</v>
      </c>
      <c r="H46" s="35">
        <v>100.51</v>
      </c>
      <c r="I46" s="35">
        <v>313.58999999999997</v>
      </c>
      <c r="J46" s="36">
        <v>54.11</v>
      </c>
    </row>
    <row r="47" spans="6:10" x14ac:dyDescent="0.25">
      <c r="F47" s="41">
        <v>2200</v>
      </c>
      <c r="G47" s="35">
        <v>60.96</v>
      </c>
      <c r="H47" s="35">
        <v>103.56</v>
      </c>
      <c r="I47" s="35">
        <v>314.99</v>
      </c>
      <c r="J47" s="36">
        <v>53.74</v>
      </c>
    </row>
    <row r="48" spans="6:10" x14ac:dyDescent="0.25">
      <c r="F48" s="41">
        <v>2250</v>
      </c>
      <c r="G48" s="35">
        <v>61.08</v>
      </c>
      <c r="H48" s="35">
        <v>106.61</v>
      </c>
      <c r="I48" s="35">
        <v>316.37</v>
      </c>
      <c r="J48" s="36">
        <v>53.39</v>
      </c>
    </row>
    <row r="49" spans="6:10" x14ac:dyDescent="0.25">
      <c r="F49" s="41">
        <v>2300</v>
      </c>
      <c r="G49" s="35">
        <v>61.18</v>
      </c>
      <c r="H49" s="35">
        <v>109.66</v>
      </c>
      <c r="I49" s="35">
        <v>317.70999999999998</v>
      </c>
      <c r="J49" s="36">
        <v>53.06</v>
      </c>
    </row>
    <row r="50" spans="6:10" x14ac:dyDescent="0.25">
      <c r="F50" s="41">
        <v>2350</v>
      </c>
      <c r="G50" s="35">
        <v>61.28</v>
      </c>
      <c r="H50" s="35">
        <v>112.73</v>
      </c>
      <c r="I50" s="35">
        <v>319.02999999999997</v>
      </c>
      <c r="J50" s="36">
        <v>52.74</v>
      </c>
    </row>
    <row r="51" spans="6:10" x14ac:dyDescent="0.25">
      <c r="F51" s="41">
        <v>2400</v>
      </c>
      <c r="G51" s="35">
        <v>61.37</v>
      </c>
      <c r="H51" s="35">
        <v>115.79</v>
      </c>
      <c r="I51" s="35">
        <v>320.32</v>
      </c>
      <c r="J51" s="36">
        <v>52.45</v>
      </c>
    </row>
    <row r="52" spans="6:10" x14ac:dyDescent="0.25">
      <c r="F52" s="41">
        <v>2450</v>
      </c>
      <c r="G52" s="35">
        <v>61.46</v>
      </c>
      <c r="H52" s="35">
        <v>118.86</v>
      </c>
      <c r="I52" s="35">
        <v>321.58</v>
      </c>
      <c r="J52" s="36">
        <v>52.16</v>
      </c>
    </row>
    <row r="53" spans="6:10" x14ac:dyDescent="0.25">
      <c r="F53" s="41">
        <v>2500</v>
      </c>
      <c r="G53" s="35">
        <v>61.55</v>
      </c>
      <c r="H53" s="35">
        <v>121.94</v>
      </c>
      <c r="I53" s="35">
        <v>322.83</v>
      </c>
      <c r="J53" s="40">
        <v>51.9</v>
      </c>
    </row>
    <row r="54" spans="6:10" x14ac:dyDescent="0.25">
      <c r="F54" s="41">
        <v>2550</v>
      </c>
      <c r="G54" s="35">
        <v>61.62</v>
      </c>
      <c r="H54" s="35">
        <v>125.02</v>
      </c>
      <c r="I54" s="35">
        <v>324.05</v>
      </c>
      <c r="J54" s="36">
        <v>51.64</v>
      </c>
    </row>
    <row r="55" spans="6:10" x14ac:dyDescent="0.25">
      <c r="F55" s="41">
        <v>2600</v>
      </c>
      <c r="G55" s="37">
        <v>61.7</v>
      </c>
      <c r="H55" s="37">
        <v>128.1</v>
      </c>
      <c r="I55" s="35">
        <v>325.24</v>
      </c>
      <c r="J55" s="40">
        <v>51.4</v>
      </c>
    </row>
    <row r="56" spans="6:10" x14ac:dyDescent="0.25">
      <c r="F56" s="41">
        <v>2650</v>
      </c>
      <c r="G56" s="35">
        <v>61.77</v>
      </c>
      <c r="H56" s="35">
        <v>131.19</v>
      </c>
      <c r="I56" s="35">
        <v>326.42</v>
      </c>
      <c r="J56" s="36">
        <v>51.17</v>
      </c>
    </row>
    <row r="57" spans="6:10" x14ac:dyDescent="0.25">
      <c r="F57" s="41">
        <v>2700</v>
      </c>
      <c r="G57" s="35">
        <v>61.84</v>
      </c>
      <c r="H57" s="35">
        <v>134.28</v>
      </c>
      <c r="I57" s="35">
        <v>327.57</v>
      </c>
      <c r="J57" s="36">
        <v>50.95</v>
      </c>
    </row>
    <row r="58" spans="6:10" x14ac:dyDescent="0.25">
      <c r="F58" s="41">
        <v>2750</v>
      </c>
      <c r="G58" s="37">
        <v>61.9</v>
      </c>
      <c r="H58" s="35">
        <v>137.37</v>
      </c>
      <c r="I58" s="35">
        <v>328.71</v>
      </c>
      <c r="J58" s="36">
        <v>50.74</v>
      </c>
    </row>
    <row r="59" spans="6:10" x14ac:dyDescent="0.25">
      <c r="F59" s="41">
        <v>2800</v>
      </c>
      <c r="G59" s="35">
        <v>61.96</v>
      </c>
      <c r="H59" s="35">
        <v>140.47</v>
      </c>
      <c r="I59" s="35">
        <v>329.83</v>
      </c>
      <c r="J59" s="36">
        <v>50.54</v>
      </c>
    </row>
    <row r="60" spans="6:10" x14ac:dyDescent="0.25">
      <c r="F60" s="41">
        <v>2850</v>
      </c>
      <c r="G60" s="35">
        <v>62.02</v>
      </c>
      <c r="H60" s="35">
        <v>143.57</v>
      </c>
      <c r="I60" s="35">
        <v>330.92</v>
      </c>
      <c r="J60" s="36">
        <v>50.35</v>
      </c>
    </row>
    <row r="61" spans="6:10" x14ac:dyDescent="0.25">
      <c r="F61" s="41">
        <v>2900</v>
      </c>
      <c r="G61" s="35">
        <v>62.08</v>
      </c>
      <c r="H61" s="35">
        <v>146.66999999999999</v>
      </c>
      <c r="I61" s="38">
        <v>332</v>
      </c>
      <c r="J61" s="36">
        <v>50.17</v>
      </c>
    </row>
    <row r="62" spans="6:10" x14ac:dyDescent="0.25">
      <c r="F62" s="41">
        <v>2950</v>
      </c>
      <c r="G62" s="35">
        <v>62.14</v>
      </c>
      <c r="H62" s="35">
        <v>149.78</v>
      </c>
      <c r="I62" s="35">
        <v>333.06</v>
      </c>
      <c r="J62" s="39">
        <v>50</v>
      </c>
    </row>
    <row r="63" spans="6:10" x14ac:dyDescent="0.25">
      <c r="F63" s="41">
        <v>3000</v>
      </c>
      <c r="G63" s="35">
        <v>62.19</v>
      </c>
      <c r="H63" s="35">
        <v>152.88</v>
      </c>
      <c r="I63" s="35">
        <v>334.11</v>
      </c>
      <c r="J63" s="36">
        <v>49.83</v>
      </c>
    </row>
    <row r="64" spans="6:10" x14ac:dyDescent="0.25">
      <c r="F64" s="41">
        <v>3050</v>
      </c>
      <c r="G64" s="35">
        <v>62.25</v>
      </c>
      <c r="H64" s="35">
        <v>155.99</v>
      </c>
      <c r="I64" s="35">
        <v>335.14</v>
      </c>
      <c r="J64" s="36">
        <v>49.68</v>
      </c>
    </row>
    <row r="65" spans="6:10" x14ac:dyDescent="0.25">
      <c r="F65" s="41">
        <v>3100</v>
      </c>
      <c r="G65" s="37">
        <v>62.3</v>
      </c>
      <c r="H65" s="35">
        <v>159.11000000000001</v>
      </c>
      <c r="I65" s="35">
        <v>336.15</v>
      </c>
      <c r="J65" s="36">
        <v>49.53</v>
      </c>
    </row>
    <row r="66" spans="6:10" x14ac:dyDescent="0.25">
      <c r="F66" s="41">
        <v>3150</v>
      </c>
      <c r="G66" s="35">
        <v>62.35</v>
      </c>
      <c r="H66" s="35">
        <v>162.22</v>
      </c>
      <c r="I66" s="35">
        <v>337.15</v>
      </c>
      <c r="J66" s="36">
        <v>49.38</v>
      </c>
    </row>
    <row r="67" spans="6:10" x14ac:dyDescent="0.25">
      <c r="F67" s="41">
        <v>3200</v>
      </c>
      <c r="G67" s="37">
        <v>62.4</v>
      </c>
      <c r="H67" s="35">
        <v>165.34</v>
      </c>
      <c r="I67" s="35">
        <v>338.13</v>
      </c>
      <c r="J67" s="36">
        <v>49.25</v>
      </c>
    </row>
    <row r="68" spans="6:10" x14ac:dyDescent="0.25">
      <c r="F68" s="41">
        <v>3250</v>
      </c>
      <c r="G68" s="35">
        <v>62.45</v>
      </c>
      <c r="H68" s="35">
        <v>168.46</v>
      </c>
      <c r="I68" s="37">
        <v>339.1</v>
      </c>
      <c r="J68" s="36">
        <v>49.12</v>
      </c>
    </row>
    <row r="69" spans="6:10" x14ac:dyDescent="0.25">
      <c r="F69" s="41">
        <v>3300</v>
      </c>
      <c r="G69" s="35">
        <v>62.51</v>
      </c>
      <c r="H69" s="35">
        <v>171.59</v>
      </c>
      <c r="I69" s="35">
        <v>340.05</v>
      </c>
      <c r="J69" s="36">
        <v>48.99</v>
      </c>
    </row>
    <row r="70" spans="6:10" x14ac:dyDescent="0.25">
      <c r="F70" s="41">
        <v>3350</v>
      </c>
      <c r="G70" s="35">
        <v>62.56</v>
      </c>
      <c r="H70" s="35">
        <v>174.72</v>
      </c>
      <c r="I70" s="35">
        <v>340.99</v>
      </c>
      <c r="J70" s="36">
        <v>48.87</v>
      </c>
    </row>
    <row r="71" spans="6:10" x14ac:dyDescent="0.25">
      <c r="F71" s="41">
        <v>3400</v>
      </c>
      <c r="G71" s="35">
        <v>62.61</v>
      </c>
      <c r="H71" s="35">
        <v>177.84</v>
      </c>
      <c r="I71" s="35">
        <v>341.92</v>
      </c>
      <c r="J71" s="36">
        <v>48.76</v>
      </c>
    </row>
    <row r="72" spans="6:10" x14ac:dyDescent="0.25">
      <c r="F72" s="41">
        <v>3450</v>
      </c>
      <c r="G72" s="35">
        <v>62.66</v>
      </c>
      <c r="H72" s="35">
        <v>180.98</v>
      </c>
      <c r="I72" s="35">
        <v>342.83</v>
      </c>
      <c r="J72" s="36">
        <v>48.65</v>
      </c>
    </row>
    <row r="73" spans="6:10" ht="15.75" thickBot="1" x14ac:dyDescent="0.3">
      <c r="F73" s="42">
        <v>3500</v>
      </c>
      <c r="G73" s="43">
        <v>62.72</v>
      </c>
      <c r="H73" s="43">
        <v>184.11</v>
      </c>
      <c r="I73" s="43">
        <v>343.73</v>
      </c>
      <c r="J73" s="44">
        <v>48.54</v>
      </c>
    </row>
  </sheetData>
  <mergeCells count="7">
    <mergeCell ref="F4:J4"/>
    <mergeCell ref="M4:S6"/>
    <mergeCell ref="A1:E2"/>
    <mergeCell ref="A3:B4"/>
    <mergeCell ref="C3:C4"/>
    <mergeCell ref="A5:B6"/>
    <mergeCell ref="C5:C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7"/>
  <sheetViews>
    <sheetView topLeftCell="A17" workbookViewId="0">
      <selection activeCell="P24" sqref="P24"/>
    </sheetView>
  </sheetViews>
  <sheetFormatPr defaultRowHeight="15" x14ac:dyDescent="0.25"/>
  <cols>
    <col min="1" max="4" width="9.140625" style="11"/>
    <col min="5" max="5" width="12.42578125" style="11" customWidth="1"/>
    <col min="6" max="6" width="13.28515625" style="11" customWidth="1"/>
    <col min="7" max="7" width="14.140625" style="11" customWidth="1"/>
    <col min="8" max="8" width="14.7109375" style="11" customWidth="1"/>
    <col min="9" max="9" width="10.42578125" style="11" customWidth="1"/>
    <col min="10" max="17" width="9.140625" style="11"/>
    <col min="18" max="18" width="20.28515625" style="11" customWidth="1"/>
    <col min="19" max="19" width="32.7109375" style="11" customWidth="1"/>
    <col min="20" max="16384" width="9.140625" style="11"/>
  </cols>
  <sheetData>
    <row r="1" spans="1:19" x14ac:dyDescent="0.25">
      <c r="A1" s="293" t="s">
        <v>161</v>
      </c>
      <c r="B1" s="294"/>
      <c r="C1" s="294"/>
      <c r="D1" s="294"/>
      <c r="E1" s="295"/>
    </row>
    <row r="2" spans="1:19" ht="15.75" thickBot="1" x14ac:dyDescent="0.3">
      <c r="A2" s="296"/>
      <c r="B2" s="297"/>
      <c r="C2" s="297"/>
      <c r="D2" s="297"/>
      <c r="E2" s="298"/>
    </row>
    <row r="5" spans="1:19" ht="33" customHeight="1" thickBot="1" x14ac:dyDescent="0.3"/>
    <row r="6" spans="1:19" ht="27" customHeight="1" thickBot="1" x14ac:dyDescent="0.3">
      <c r="J6" s="305" t="s">
        <v>142</v>
      </c>
      <c r="K6" s="306"/>
      <c r="L6" s="306"/>
      <c r="M6" s="306"/>
      <c r="N6" s="306"/>
      <c r="O6" s="306"/>
      <c r="P6" s="306"/>
      <c r="Q6" s="306"/>
      <c r="R6" s="306"/>
      <c r="S6" s="307"/>
    </row>
    <row r="7" spans="1:19" ht="15.75" thickBot="1" x14ac:dyDescent="0.3"/>
    <row r="8" spans="1:19" ht="19.5" thickBot="1" x14ac:dyDescent="0.35">
      <c r="E8" s="281" t="s">
        <v>12</v>
      </c>
      <c r="F8" s="282"/>
      <c r="G8" s="282"/>
      <c r="H8" s="282"/>
      <c r="I8" s="283"/>
    </row>
    <row r="9" spans="1:19" ht="36.75" thickBot="1" x14ac:dyDescent="0.3">
      <c r="E9" s="45" t="s">
        <v>75</v>
      </c>
      <c r="F9" s="46" t="s">
        <v>76</v>
      </c>
      <c r="G9" s="82" t="s">
        <v>139</v>
      </c>
      <c r="H9" s="46" t="s">
        <v>77</v>
      </c>
      <c r="I9" s="118" t="s">
        <v>79</v>
      </c>
    </row>
    <row r="10" spans="1:19" x14ac:dyDescent="0.25">
      <c r="E10" s="51">
        <v>200</v>
      </c>
      <c r="F10" s="47">
        <v>32.25</v>
      </c>
      <c r="G10" s="47">
        <v>-3.23</v>
      </c>
      <c r="H10" s="47">
        <v>175.59</v>
      </c>
      <c r="I10" s="52">
        <v>168.5</v>
      </c>
    </row>
    <row r="11" spans="1:19" x14ac:dyDescent="0.25">
      <c r="E11" s="53">
        <v>250</v>
      </c>
      <c r="F11" s="49">
        <v>32.9</v>
      </c>
      <c r="G11" s="49">
        <v>-1.6</v>
      </c>
      <c r="H11" s="50">
        <v>182.86</v>
      </c>
      <c r="I11" s="54">
        <v>139.11000000000001</v>
      </c>
    </row>
    <row r="12" spans="1:19" x14ac:dyDescent="0.25">
      <c r="E12" s="53">
        <v>298</v>
      </c>
      <c r="F12" s="50">
        <v>33.450000000000003</v>
      </c>
      <c r="G12" s="48">
        <v>0</v>
      </c>
      <c r="H12" s="50">
        <v>188.71</v>
      </c>
      <c r="I12" s="54">
        <v>120.26</v>
      </c>
    </row>
    <row r="13" spans="1:19" x14ac:dyDescent="0.25">
      <c r="E13" s="53">
        <v>300</v>
      </c>
      <c r="F13" s="50">
        <v>33.47</v>
      </c>
      <c r="G13" s="50">
        <v>0.06</v>
      </c>
      <c r="H13" s="50">
        <v>188.91</v>
      </c>
      <c r="I13" s="54">
        <v>119.66</v>
      </c>
    </row>
    <row r="14" spans="1:19" x14ac:dyDescent="0.25">
      <c r="E14" s="53">
        <v>350</v>
      </c>
      <c r="F14" s="50">
        <v>33.97</v>
      </c>
      <c r="G14" s="50">
        <v>1.75</v>
      </c>
      <c r="H14" s="50">
        <v>194.11</v>
      </c>
      <c r="I14" s="54">
        <v>105.85</v>
      </c>
    </row>
    <row r="15" spans="1:19" x14ac:dyDescent="0.25">
      <c r="E15" s="53">
        <v>400</v>
      </c>
      <c r="F15" s="50">
        <v>34.44</v>
      </c>
      <c r="G15" s="50">
        <v>3.46</v>
      </c>
      <c r="H15" s="50">
        <v>198.68</v>
      </c>
      <c r="I15" s="54">
        <v>95.58</v>
      </c>
    </row>
    <row r="16" spans="1:19" x14ac:dyDescent="0.25">
      <c r="E16" s="53">
        <v>450</v>
      </c>
      <c r="F16" s="50">
        <v>34.89</v>
      </c>
      <c r="G16" s="50">
        <v>5.19</v>
      </c>
      <c r="H16" s="50">
        <v>202.76</v>
      </c>
      <c r="I16" s="54">
        <v>87.64</v>
      </c>
    </row>
    <row r="17" spans="5:9" x14ac:dyDescent="0.25">
      <c r="E17" s="53">
        <v>500</v>
      </c>
      <c r="F17" s="50">
        <v>35.340000000000003</v>
      </c>
      <c r="G17" s="50">
        <v>6.95</v>
      </c>
      <c r="H17" s="50">
        <v>206.46</v>
      </c>
      <c r="I17" s="54">
        <v>81.34</v>
      </c>
    </row>
    <row r="18" spans="5:9" x14ac:dyDescent="0.25">
      <c r="E18" s="53">
        <v>550</v>
      </c>
      <c r="F18" s="49">
        <v>35.799999999999997</v>
      </c>
      <c r="G18" s="50">
        <v>8.73</v>
      </c>
      <c r="H18" s="50">
        <v>209.85</v>
      </c>
      <c r="I18" s="54">
        <v>76.22</v>
      </c>
    </row>
    <row r="19" spans="5:9" x14ac:dyDescent="0.25">
      <c r="E19" s="53">
        <v>600</v>
      </c>
      <c r="F19" s="50">
        <v>36.29</v>
      </c>
      <c r="G19" s="50">
        <v>10.53</v>
      </c>
      <c r="H19" s="50">
        <v>212.98</v>
      </c>
      <c r="I19" s="54">
        <v>71.989999999999995</v>
      </c>
    </row>
    <row r="20" spans="5:9" x14ac:dyDescent="0.25">
      <c r="E20" s="53">
        <v>650</v>
      </c>
      <c r="F20" s="50">
        <v>36.81</v>
      </c>
      <c r="G20" s="50">
        <v>12.35</v>
      </c>
      <c r="H20" s="50">
        <v>215.91</v>
      </c>
      <c r="I20" s="54">
        <v>68.430000000000007</v>
      </c>
    </row>
    <row r="21" spans="5:9" x14ac:dyDescent="0.25">
      <c r="E21" s="53">
        <v>700</v>
      </c>
      <c r="F21" s="50">
        <v>37.36</v>
      </c>
      <c r="G21" s="50">
        <v>14.21</v>
      </c>
      <c r="H21" s="50">
        <v>218.65</v>
      </c>
      <c r="I21" s="54">
        <v>65.41</v>
      </c>
    </row>
    <row r="22" spans="5:9" x14ac:dyDescent="0.25">
      <c r="E22" s="53">
        <v>750</v>
      </c>
      <c r="F22" s="50">
        <v>37.96</v>
      </c>
      <c r="G22" s="50">
        <v>16.09</v>
      </c>
      <c r="H22" s="50">
        <v>221.25</v>
      </c>
      <c r="I22" s="54">
        <v>62.81</v>
      </c>
    </row>
    <row r="23" spans="5:9" x14ac:dyDescent="0.25">
      <c r="E23" s="53">
        <v>800</v>
      </c>
      <c r="F23" s="50">
        <v>38.590000000000003</v>
      </c>
      <c r="G23" s="48">
        <v>18</v>
      </c>
      <c r="H23" s="50">
        <v>223.72</v>
      </c>
      <c r="I23" s="54">
        <v>60.56</v>
      </c>
    </row>
    <row r="24" spans="5:9" x14ac:dyDescent="0.25">
      <c r="E24" s="53">
        <v>850</v>
      </c>
      <c r="F24" s="50">
        <v>39.25</v>
      </c>
      <c r="G24" s="50">
        <v>19.95</v>
      </c>
      <c r="H24" s="50">
        <v>226.08</v>
      </c>
      <c r="I24" s="54">
        <v>58.59</v>
      </c>
    </row>
    <row r="25" spans="5:9" x14ac:dyDescent="0.25">
      <c r="E25" s="53">
        <v>900</v>
      </c>
      <c r="F25" s="50">
        <v>39.93</v>
      </c>
      <c r="G25" s="50">
        <v>21.93</v>
      </c>
      <c r="H25" s="50">
        <v>228.34</v>
      </c>
      <c r="I25" s="54">
        <v>56.85</v>
      </c>
    </row>
    <row r="26" spans="5:9" x14ac:dyDescent="0.25">
      <c r="E26" s="53">
        <v>950</v>
      </c>
      <c r="F26" s="50">
        <v>40.619999999999997</v>
      </c>
      <c r="G26" s="50">
        <v>23.94</v>
      </c>
      <c r="H26" s="50">
        <v>230.52</v>
      </c>
      <c r="I26" s="54">
        <v>55.31</v>
      </c>
    </row>
    <row r="27" spans="5:9" x14ac:dyDescent="0.25">
      <c r="E27" s="55">
        <v>1000</v>
      </c>
      <c r="F27" s="50">
        <v>41.31</v>
      </c>
      <c r="G27" s="50">
        <v>25.99</v>
      </c>
      <c r="H27" s="50">
        <v>232.62</v>
      </c>
      <c r="I27" s="54">
        <v>53.94</v>
      </c>
    </row>
    <row r="28" spans="5:9" x14ac:dyDescent="0.25">
      <c r="E28" s="55">
        <v>1050</v>
      </c>
      <c r="F28" s="50">
        <v>41.99</v>
      </c>
      <c r="G28" s="50">
        <v>28.07</v>
      </c>
      <c r="H28" s="50">
        <v>234.65</v>
      </c>
      <c r="I28" s="54">
        <v>52.71</v>
      </c>
    </row>
    <row r="29" spans="5:9" x14ac:dyDescent="0.25">
      <c r="E29" s="55">
        <v>1100</v>
      </c>
      <c r="F29" s="50">
        <v>42.64</v>
      </c>
      <c r="G29" s="50">
        <v>30.19</v>
      </c>
      <c r="H29" s="50">
        <v>236.62</v>
      </c>
      <c r="I29" s="56">
        <v>51.6</v>
      </c>
    </row>
    <row r="30" spans="5:9" x14ac:dyDescent="0.25">
      <c r="E30" s="55">
        <v>1150</v>
      </c>
      <c r="F30" s="50">
        <v>43.26</v>
      </c>
      <c r="G30" s="50">
        <v>32.340000000000003</v>
      </c>
      <c r="H30" s="50">
        <v>238.53</v>
      </c>
      <c r="I30" s="56">
        <v>50.6</v>
      </c>
    </row>
    <row r="31" spans="5:9" x14ac:dyDescent="0.25">
      <c r="E31" s="55">
        <v>1200</v>
      </c>
      <c r="F31" s="50">
        <v>43.87</v>
      </c>
      <c r="G31" s="50">
        <v>34.520000000000003</v>
      </c>
      <c r="H31" s="50">
        <v>240.39</v>
      </c>
      <c r="I31" s="54">
        <v>49.69</v>
      </c>
    </row>
    <row r="32" spans="5:9" x14ac:dyDescent="0.25">
      <c r="E32" s="55">
        <v>1250</v>
      </c>
      <c r="F32" s="50">
        <v>44.46</v>
      </c>
      <c r="G32" s="50">
        <v>36.72</v>
      </c>
      <c r="H32" s="50">
        <v>242.19</v>
      </c>
      <c r="I32" s="54">
        <v>48.87</v>
      </c>
    </row>
    <row r="33" spans="5:9" x14ac:dyDescent="0.25">
      <c r="E33" s="55">
        <v>1300</v>
      </c>
      <c r="F33" s="50">
        <v>45.02</v>
      </c>
      <c r="G33" s="50">
        <v>38.96</v>
      </c>
      <c r="H33" s="50">
        <v>243.94</v>
      </c>
      <c r="I33" s="54">
        <v>48.11</v>
      </c>
    </row>
    <row r="34" spans="5:9" x14ac:dyDescent="0.25">
      <c r="E34" s="55">
        <v>1350</v>
      </c>
      <c r="F34" s="50">
        <v>45.57</v>
      </c>
      <c r="G34" s="50">
        <v>41.23</v>
      </c>
      <c r="H34" s="50">
        <v>245.65</v>
      </c>
      <c r="I34" s="54">
        <v>47.42</v>
      </c>
    </row>
    <row r="35" spans="5:9" x14ac:dyDescent="0.25">
      <c r="E35" s="55">
        <v>1400</v>
      </c>
      <c r="F35" s="49">
        <v>46.1</v>
      </c>
      <c r="G35" s="50">
        <v>43.52</v>
      </c>
      <c r="H35" s="50">
        <v>247.32</v>
      </c>
      <c r="I35" s="54">
        <v>46.79</v>
      </c>
    </row>
    <row r="36" spans="5:9" x14ac:dyDescent="0.25">
      <c r="E36" s="55">
        <v>1450</v>
      </c>
      <c r="F36" s="50">
        <v>46.61</v>
      </c>
      <c r="G36" s="50">
        <v>45.84</v>
      </c>
      <c r="H36" s="50">
        <v>248.95</v>
      </c>
      <c r="I36" s="56">
        <v>46.2</v>
      </c>
    </row>
    <row r="37" spans="5:9" x14ac:dyDescent="0.25">
      <c r="E37" s="55">
        <v>1500</v>
      </c>
      <c r="F37" s="49">
        <v>47.1</v>
      </c>
      <c r="G37" s="50">
        <v>48.18</v>
      </c>
      <c r="H37" s="50">
        <v>250.53</v>
      </c>
      <c r="I37" s="54">
        <v>45.66</v>
      </c>
    </row>
    <row r="38" spans="5:9" x14ac:dyDescent="0.25">
      <c r="E38" s="55">
        <v>1550</v>
      </c>
      <c r="F38" s="50">
        <v>47.58</v>
      </c>
      <c r="G38" s="50">
        <v>50.55</v>
      </c>
      <c r="H38" s="50">
        <v>252.09</v>
      </c>
      <c r="I38" s="54">
        <v>45.16</v>
      </c>
    </row>
    <row r="39" spans="5:9" x14ac:dyDescent="0.25">
      <c r="E39" s="55">
        <v>1600</v>
      </c>
      <c r="F39" s="50">
        <v>48.03</v>
      </c>
      <c r="G39" s="50">
        <v>52.94</v>
      </c>
      <c r="H39" s="49">
        <v>253.6</v>
      </c>
      <c r="I39" s="56">
        <v>44.7</v>
      </c>
    </row>
    <row r="40" spans="5:9" x14ac:dyDescent="0.25">
      <c r="E40" s="55">
        <v>1650</v>
      </c>
      <c r="F40" s="50">
        <v>48.47</v>
      </c>
      <c r="G40" s="50">
        <v>55.35</v>
      </c>
      <c r="H40" s="50">
        <v>255.09</v>
      </c>
      <c r="I40" s="54">
        <v>44.28</v>
      </c>
    </row>
    <row r="41" spans="5:9" x14ac:dyDescent="0.25">
      <c r="E41" s="55">
        <v>1700</v>
      </c>
      <c r="F41" s="49">
        <v>48.9</v>
      </c>
      <c r="G41" s="50">
        <v>57.78</v>
      </c>
      <c r="H41" s="50">
        <v>256.54000000000002</v>
      </c>
      <c r="I41" s="54">
        <v>43.88</v>
      </c>
    </row>
    <row r="42" spans="5:9" x14ac:dyDescent="0.25">
      <c r="E42" s="55">
        <v>1750</v>
      </c>
      <c r="F42" s="50">
        <v>49.31</v>
      </c>
      <c r="G42" s="50">
        <v>60.24</v>
      </c>
      <c r="H42" s="50">
        <v>257.97000000000003</v>
      </c>
      <c r="I42" s="54">
        <v>43.51</v>
      </c>
    </row>
    <row r="43" spans="5:9" x14ac:dyDescent="0.25">
      <c r="E43" s="55">
        <v>1800</v>
      </c>
      <c r="F43" s="49">
        <v>49.7</v>
      </c>
      <c r="G43" s="50">
        <v>62.71</v>
      </c>
      <c r="H43" s="50">
        <v>259.36</v>
      </c>
      <c r="I43" s="54">
        <v>43.16</v>
      </c>
    </row>
    <row r="44" spans="5:9" x14ac:dyDescent="0.25">
      <c r="E44" s="55">
        <v>1850</v>
      </c>
      <c r="F44" s="50">
        <v>50.08</v>
      </c>
      <c r="G44" s="50">
        <v>65.209999999999994</v>
      </c>
      <c r="H44" s="50">
        <v>260.73</v>
      </c>
      <c r="I44" s="54">
        <v>42.84</v>
      </c>
    </row>
    <row r="45" spans="5:9" x14ac:dyDescent="0.25">
      <c r="E45" s="55">
        <v>1900</v>
      </c>
      <c r="F45" s="50">
        <v>50.45</v>
      </c>
      <c r="G45" s="50">
        <v>67.72</v>
      </c>
      <c r="H45" s="50">
        <v>262.07</v>
      </c>
      <c r="I45" s="54">
        <v>42.54</v>
      </c>
    </row>
    <row r="46" spans="5:9" x14ac:dyDescent="0.25">
      <c r="E46" s="55">
        <v>1950</v>
      </c>
      <c r="F46" s="49">
        <v>50.8</v>
      </c>
      <c r="G46" s="50">
        <v>70.25</v>
      </c>
      <c r="H46" s="50">
        <v>263.38</v>
      </c>
      <c r="I46" s="54">
        <v>42.26</v>
      </c>
    </row>
    <row r="47" spans="5:9" x14ac:dyDescent="0.25">
      <c r="E47" s="55">
        <v>2000</v>
      </c>
      <c r="F47" s="50">
        <v>51.14</v>
      </c>
      <c r="G47" s="49">
        <v>72.8</v>
      </c>
      <c r="H47" s="50">
        <v>264.67</v>
      </c>
      <c r="I47" s="57">
        <v>42</v>
      </c>
    </row>
    <row r="48" spans="5:9" x14ac:dyDescent="0.25">
      <c r="E48" s="55">
        <v>2050</v>
      </c>
      <c r="F48" s="50">
        <v>51.47</v>
      </c>
      <c r="G48" s="50">
        <v>75.37</v>
      </c>
      <c r="H48" s="50">
        <v>265.94</v>
      </c>
      <c r="I48" s="54">
        <v>41.75</v>
      </c>
    </row>
    <row r="49" spans="5:9" x14ac:dyDescent="0.25">
      <c r="E49" s="55">
        <v>2100</v>
      </c>
      <c r="F49" s="50">
        <v>51.78</v>
      </c>
      <c r="G49" s="50">
        <v>77.95</v>
      </c>
      <c r="H49" s="50">
        <v>267.19</v>
      </c>
      <c r="I49" s="54">
        <v>41.52</v>
      </c>
    </row>
    <row r="50" spans="5:9" x14ac:dyDescent="0.25">
      <c r="E50" s="55">
        <v>2150</v>
      </c>
      <c r="F50" s="50">
        <v>52.08</v>
      </c>
      <c r="G50" s="50">
        <v>80.540000000000006</v>
      </c>
      <c r="H50" s="50">
        <v>268.41000000000003</v>
      </c>
      <c r="I50" s="54">
        <v>41.31</v>
      </c>
    </row>
    <row r="51" spans="5:9" x14ac:dyDescent="0.25">
      <c r="E51" s="55">
        <v>2200</v>
      </c>
      <c r="F51" s="50">
        <v>52.38</v>
      </c>
      <c r="G51" s="50">
        <v>83.16</v>
      </c>
      <c r="H51" s="50">
        <v>269.61</v>
      </c>
      <c r="I51" s="56">
        <v>41.1</v>
      </c>
    </row>
    <row r="52" spans="5:9" x14ac:dyDescent="0.25">
      <c r="E52" s="55">
        <v>2250</v>
      </c>
      <c r="F52" s="50">
        <v>52.66</v>
      </c>
      <c r="G52" s="50">
        <v>85.78</v>
      </c>
      <c r="H52" s="50">
        <v>270.79000000000002</v>
      </c>
      <c r="I52" s="54">
        <v>40.909999999999997</v>
      </c>
    </row>
    <row r="53" spans="5:9" x14ac:dyDescent="0.25">
      <c r="E53" s="55">
        <v>2300</v>
      </c>
      <c r="F53" s="50">
        <v>52.92</v>
      </c>
      <c r="G53" s="50">
        <v>88.42</v>
      </c>
      <c r="H53" s="50">
        <v>271.95</v>
      </c>
      <c r="I53" s="54">
        <v>40.729999999999997</v>
      </c>
    </row>
    <row r="54" spans="5:9" x14ac:dyDescent="0.25">
      <c r="E54" s="55">
        <v>2350</v>
      </c>
      <c r="F54" s="50">
        <v>53.18</v>
      </c>
      <c r="G54" s="50">
        <v>91.07</v>
      </c>
      <c r="H54" s="50">
        <v>273.08999999999997</v>
      </c>
      <c r="I54" s="54">
        <v>40.56</v>
      </c>
    </row>
    <row r="55" spans="5:9" x14ac:dyDescent="0.25">
      <c r="E55" s="55">
        <v>2400</v>
      </c>
      <c r="F55" s="50">
        <v>53.43</v>
      </c>
      <c r="G55" s="50">
        <v>93.74</v>
      </c>
      <c r="H55" s="50">
        <v>274.20999999999998</v>
      </c>
      <c r="I55" s="56">
        <v>40.4</v>
      </c>
    </row>
    <row r="56" spans="5:9" x14ac:dyDescent="0.25">
      <c r="E56" s="55">
        <v>2450</v>
      </c>
      <c r="F56" s="50">
        <v>53.67</v>
      </c>
      <c r="G56" s="50">
        <v>96.42</v>
      </c>
      <c r="H56" s="50">
        <v>275.32</v>
      </c>
      <c r="I56" s="54">
        <v>40.25</v>
      </c>
    </row>
    <row r="57" spans="5:9" x14ac:dyDescent="0.25">
      <c r="E57" s="55">
        <v>2500</v>
      </c>
      <c r="F57" s="49">
        <v>53.9</v>
      </c>
      <c r="G57" s="50">
        <v>99.11</v>
      </c>
      <c r="H57" s="49">
        <v>276.39999999999998</v>
      </c>
      <c r="I57" s="54">
        <v>40.11</v>
      </c>
    </row>
    <row r="58" spans="5:9" x14ac:dyDescent="0.25">
      <c r="E58" s="55">
        <v>2550</v>
      </c>
      <c r="F58" s="50">
        <v>54.12</v>
      </c>
      <c r="G58" s="50">
        <v>101.81</v>
      </c>
      <c r="H58" s="50">
        <v>277.47000000000003</v>
      </c>
      <c r="I58" s="54">
        <v>39.979999999999997</v>
      </c>
    </row>
    <row r="59" spans="5:9" x14ac:dyDescent="0.25">
      <c r="E59" s="55">
        <v>2600</v>
      </c>
      <c r="F59" s="50">
        <v>54.34</v>
      </c>
      <c r="G59" s="50">
        <v>104.52</v>
      </c>
      <c r="H59" s="50">
        <v>278.52999999999997</v>
      </c>
      <c r="I59" s="54">
        <v>39.85</v>
      </c>
    </row>
    <row r="60" spans="5:9" x14ac:dyDescent="0.25">
      <c r="E60" s="55">
        <v>2650</v>
      </c>
      <c r="F60" s="50">
        <v>54.54</v>
      </c>
      <c r="G60" s="50">
        <v>107.24</v>
      </c>
      <c r="H60" s="50">
        <v>279.56</v>
      </c>
      <c r="I60" s="54">
        <v>39.729999999999997</v>
      </c>
    </row>
    <row r="61" spans="5:9" x14ac:dyDescent="0.25">
      <c r="E61" s="55">
        <v>2700</v>
      </c>
      <c r="F61" s="50">
        <v>54.74</v>
      </c>
      <c r="G61" s="50">
        <v>109.97</v>
      </c>
      <c r="H61" s="50">
        <v>280.58</v>
      </c>
      <c r="I61" s="54">
        <v>39.619999999999997</v>
      </c>
    </row>
    <row r="62" spans="5:9" x14ac:dyDescent="0.25">
      <c r="E62" s="55">
        <v>2750</v>
      </c>
      <c r="F62" s="50">
        <v>54.93</v>
      </c>
      <c r="G62" s="50">
        <v>112.72</v>
      </c>
      <c r="H62" s="50">
        <v>281.58999999999997</v>
      </c>
      <c r="I62" s="54">
        <v>39.520000000000003</v>
      </c>
    </row>
    <row r="63" spans="5:9" x14ac:dyDescent="0.25">
      <c r="E63" s="55">
        <v>2800</v>
      </c>
      <c r="F63" s="50">
        <v>55.11</v>
      </c>
      <c r="G63" s="50">
        <v>115.47</v>
      </c>
      <c r="H63" s="50">
        <v>282.58</v>
      </c>
      <c r="I63" s="54">
        <v>39.42</v>
      </c>
    </row>
    <row r="64" spans="5:9" x14ac:dyDescent="0.25">
      <c r="E64" s="55">
        <v>2850</v>
      </c>
      <c r="F64" s="50">
        <v>55.29</v>
      </c>
      <c r="G64" s="50">
        <v>118.23</v>
      </c>
      <c r="H64" s="50">
        <v>283.56</v>
      </c>
      <c r="I64" s="54">
        <v>39.32</v>
      </c>
    </row>
    <row r="65" spans="5:9" x14ac:dyDescent="0.25">
      <c r="E65" s="55">
        <v>2900</v>
      </c>
      <c r="F65" s="50">
        <v>55.46</v>
      </c>
      <c r="G65" s="50">
        <v>120.99</v>
      </c>
      <c r="H65" s="50">
        <v>284.52</v>
      </c>
      <c r="I65" s="54">
        <v>39.229999999999997</v>
      </c>
    </row>
    <row r="66" spans="5:9" x14ac:dyDescent="0.25">
      <c r="E66" s="55">
        <v>2950</v>
      </c>
      <c r="F66" s="50">
        <v>55.62</v>
      </c>
      <c r="G66" s="50">
        <v>123.77</v>
      </c>
      <c r="H66" s="50">
        <v>285.47000000000003</v>
      </c>
      <c r="I66" s="54">
        <v>39.15</v>
      </c>
    </row>
    <row r="67" spans="5:9" x14ac:dyDescent="0.25">
      <c r="E67" s="55">
        <v>3000</v>
      </c>
      <c r="F67" s="50">
        <v>55.78</v>
      </c>
      <c r="G67" s="50">
        <v>126.56</v>
      </c>
      <c r="H67" s="50">
        <v>286.41000000000003</v>
      </c>
      <c r="I67" s="54">
        <v>39.07</v>
      </c>
    </row>
    <row r="68" spans="5:9" x14ac:dyDescent="0.25">
      <c r="E68" s="55">
        <v>3050</v>
      </c>
      <c r="F68" s="50">
        <v>55.93</v>
      </c>
      <c r="G68" s="50">
        <v>129.35</v>
      </c>
      <c r="H68" s="50">
        <v>287.33</v>
      </c>
      <c r="I68" s="57">
        <v>39</v>
      </c>
    </row>
    <row r="69" spans="5:9" x14ac:dyDescent="0.25">
      <c r="E69" s="55">
        <v>3100</v>
      </c>
      <c r="F69" s="50">
        <v>56.07</v>
      </c>
      <c r="G69" s="50">
        <v>132.15</v>
      </c>
      <c r="H69" s="50">
        <v>288.24</v>
      </c>
      <c r="I69" s="54">
        <v>38.92</v>
      </c>
    </row>
    <row r="70" spans="5:9" x14ac:dyDescent="0.25">
      <c r="E70" s="55">
        <v>3150</v>
      </c>
      <c r="F70" s="50">
        <v>56.21</v>
      </c>
      <c r="G70" s="50">
        <v>134.96</v>
      </c>
      <c r="H70" s="50">
        <v>289.14</v>
      </c>
      <c r="I70" s="54">
        <v>38.86</v>
      </c>
    </row>
    <row r="71" spans="5:9" x14ac:dyDescent="0.25">
      <c r="E71" s="55">
        <v>3200</v>
      </c>
      <c r="F71" s="50">
        <v>56.35</v>
      </c>
      <c r="G71" s="50">
        <v>137.77000000000001</v>
      </c>
      <c r="H71" s="50">
        <v>290.02999999999997</v>
      </c>
      <c r="I71" s="56">
        <v>38.799999999999997</v>
      </c>
    </row>
    <row r="72" spans="5:9" x14ac:dyDescent="0.25">
      <c r="E72" s="55">
        <v>3250</v>
      </c>
      <c r="F72" s="50">
        <v>56.48</v>
      </c>
      <c r="G72" s="50">
        <v>140.59</v>
      </c>
      <c r="H72" s="49">
        <v>290.89999999999998</v>
      </c>
      <c r="I72" s="54">
        <v>38.74</v>
      </c>
    </row>
    <row r="73" spans="5:9" x14ac:dyDescent="0.25">
      <c r="E73" s="55">
        <v>3300</v>
      </c>
      <c r="F73" s="50">
        <v>56.61</v>
      </c>
      <c r="G73" s="50">
        <v>143.41999999999999</v>
      </c>
      <c r="H73" s="50">
        <v>291.76</v>
      </c>
      <c r="I73" s="54">
        <v>38.68</v>
      </c>
    </row>
    <row r="74" spans="5:9" x14ac:dyDescent="0.25">
      <c r="E74" s="55">
        <v>3350</v>
      </c>
      <c r="F74" s="50">
        <v>56.73</v>
      </c>
      <c r="G74" s="50">
        <v>146.25</v>
      </c>
      <c r="H74" s="50">
        <v>292.62</v>
      </c>
      <c r="I74" s="54">
        <v>38.630000000000003</v>
      </c>
    </row>
    <row r="75" spans="5:9" x14ac:dyDescent="0.25">
      <c r="E75" s="55">
        <v>3400</v>
      </c>
      <c r="F75" s="50">
        <v>56.85</v>
      </c>
      <c r="G75" s="50">
        <v>149.09</v>
      </c>
      <c r="H75" s="50">
        <v>293.45999999999998</v>
      </c>
      <c r="I75" s="54">
        <v>38.58</v>
      </c>
    </row>
    <row r="76" spans="5:9" x14ac:dyDescent="0.25">
      <c r="E76" s="55">
        <v>3450</v>
      </c>
      <c r="F76" s="50">
        <v>56.96</v>
      </c>
      <c r="G76" s="50">
        <v>151.94</v>
      </c>
      <c r="H76" s="50">
        <v>294.29000000000002</v>
      </c>
      <c r="I76" s="54">
        <v>38.53</v>
      </c>
    </row>
    <row r="77" spans="5:9" ht="15.75" thickBot="1" x14ac:dyDescent="0.3">
      <c r="E77" s="58">
        <v>3500</v>
      </c>
      <c r="F77" s="59">
        <v>57.07</v>
      </c>
      <c r="G77" s="59">
        <v>154.79</v>
      </c>
      <c r="H77" s="59">
        <v>295.11</v>
      </c>
      <c r="I77" s="60">
        <v>38.49</v>
      </c>
    </row>
  </sheetData>
  <mergeCells count="3">
    <mergeCell ref="E8:I8"/>
    <mergeCell ref="J6:S6"/>
    <mergeCell ref="A1:E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"/>
  <sheetViews>
    <sheetView topLeftCell="A26" workbookViewId="0">
      <selection activeCell="M32" sqref="M32"/>
    </sheetView>
  </sheetViews>
  <sheetFormatPr defaultRowHeight="15" x14ac:dyDescent="0.25"/>
  <cols>
    <col min="1" max="5" width="9.140625" style="1"/>
    <col min="6" max="6" width="12.140625" style="1" bestFit="1" customWidth="1"/>
    <col min="7" max="7" width="11" style="1" bestFit="1" customWidth="1"/>
    <col min="8" max="8" width="11.28515625" style="1" bestFit="1" customWidth="1"/>
    <col min="9" max="9" width="9.42578125" style="1" customWidth="1"/>
    <col min="10" max="10" width="9.140625" style="1"/>
    <col min="11" max="12" width="12.85546875" style="1" customWidth="1"/>
    <col min="13" max="13" width="19" style="1" customWidth="1"/>
    <col min="14" max="14" width="16" style="1" customWidth="1"/>
    <col min="15" max="15" width="12.85546875" style="1" customWidth="1"/>
    <col min="16" max="16" width="20.140625" style="1" customWidth="1"/>
    <col min="17" max="17" width="25.28515625" style="1" customWidth="1"/>
    <col min="18" max="18" width="19" style="1" customWidth="1"/>
    <col min="19" max="16384" width="9.140625" style="1"/>
  </cols>
  <sheetData>
    <row r="1" spans="1:17" ht="15.75" thickBot="1" x14ac:dyDescent="0.3"/>
    <row r="2" spans="1:17" x14ac:dyDescent="0.25">
      <c r="A2" s="293" t="s">
        <v>163</v>
      </c>
      <c r="B2" s="294"/>
      <c r="C2" s="294"/>
      <c r="D2" s="294"/>
      <c r="E2" s="295"/>
    </row>
    <row r="3" spans="1:17" ht="15.75" thickBot="1" x14ac:dyDescent="0.3">
      <c r="A3" s="296"/>
      <c r="B3" s="297"/>
      <c r="C3" s="297"/>
      <c r="D3" s="297"/>
      <c r="E3" s="298"/>
    </row>
    <row r="4" spans="1:17" ht="15.75" thickBot="1" x14ac:dyDescent="0.3"/>
    <row r="5" spans="1:17" ht="32.25" customHeight="1" thickBot="1" x14ac:dyDescent="0.3">
      <c r="K5" s="305" t="s">
        <v>143</v>
      </c>
      <c r="L5" s="306"/>
      <c r="M5" s="306"/>
      <c r="N5" s="306"/>
      <c r="O5" s="306"/>
      <c r="P5" s="306"/>
      <c r="Q5" s="307"/>
    </row>
    <row r="8" spans="1:17" ht="15.75" thickBot="1" x14ac:dyDescent="0.3"/>
    <row r="9" spans="1:17" ht="19.5" thickBot="1" x14ac:dyDescent="0.35">
      <c r="E9" s="311" t="s">
        <v>60</v>
      </c>
      <c r="F9" s="312"/>
      <c r="G9" s="312"/>
      <c r="H9" s="312"/>
      <c r="I9" s="313"/>
    </row>
    <row r="10" spans="1:17" ht="36.75" thickBot="1" x14ac:dyDescent="0.3">
      <c r="E10" s="45" t="s">
        <v>75</v>
      </c>
      <c r="F10" s="46" t="s">
        <v>76</v>
      </c>
      <c r="G10" s="82" t="s">
        <v>139</v>
      </c>
      <c r="H10" s="46" t="s">
        <v>77</v>
      </c>
      <c r="I10" s="46" t="s">
        <v>78</v>
      </c>
    </row>
    <row r="11" spans="1:17" x14ac:dyDescent="0.2">
      <c r="E11" s="51">
        <v>200</v>
      </c>
      <c r="F11" s="47">
        <v>28.47</v>
      </c>
      <c r="G11" s="47">
        <v>2.84</v>
      </c>
      <c r="H11" s="47">
        <v>193.51</v>
      </c>
      <c r="I11" s="61">
        <v>24.98</v>
      </c>
    </row>
    <row r="12" spans="1:17" x14ac:dyDescent="0.2">
      <c r="E12" s="53">
        <v>250</v>
      </c>
      <c r="F12" s="49">
        <v>28.9</v>
      </c>
      <c r="G12" s="49">
        <v>1.4</v>
      </c>
      <c r="H12" s="50">
        <v>199.91</v>
      </c>
      <c r="I12" s="54">
        <v>24.72</v>
      </c>
    </row>
    <row r="13" spans="1:17" x14ac:dyDescent="0.2">
      <c r="E13" s="53">
        <v>298</v>
      </c>
      <c r="F13" s="50">
        <v>29.31</v>
      </c>
      <c r="G13" s="48">
        <v>0</v>
      </c>
      <c r="H13" s="50">
        <v>205.03</v>
      </c>
      <c r="I13" s="54">
        <v>24.66</v>
      </c>
    </row>
    <row r="14" spans="1:17" x14ac:dyDescent="0.2">
      <c r="E14" s="53">
        <v>300</v>
      </c>
      <c r="F14" s="50">
        <v>29.33</v>
      </c>
      <c r="G14" s="50">
        <v>0.05</v>
      </c>
      <c r="H14" s="50">
        <v>205.21</v>
      </c>
      <c r="I14" s="54">
        <v>24.66</v>
      </c>
    </row>
    <row r="15" spans="1:17" x14ac:dyDescent="0.2">
      <c r="E15" s="53">
        <v>350</v>
      </c>
      <c r="F15" s="50">
        <v>29.77</v>
      </c>
      <c r="G15" s="50">
        <v>1.53</v>
      </c>
      <c r="H15" s="50">
        <v>209.77</v>
      </c>
      <c r="I15" s="56">
        <v>24.7</v>
      </c>
    </row>
    <row r="16" spans="1:17" x14ac:dyDescent="0.2">
      <c r="E16" s="53">
        <v>400</v>
      </c>
      <c r="F16" s="50">
        <v>30.21</v>
      </c>
      <c r="G16" s="50">
        <v>3.03</v>
      </c>
      <c r="H16" s="50">
        <v>213.77</v>
      </c>
      <c r="I16" s="56">
        <v>24.8</v>
      </c>
    </row>
    <row r="17" spans="5:9" x14ac:dyDescent="0.2">
      <c r="E17" s="53">
        <v>450</v>
      </c>
      <c r="F17" s="50">
        <v>30.66</v>
      </c>
      <c r="G17" s="50">
        <v>4.55</v>
      </c>
      <c r="H17" s="50">
        <v>217.36</v>
      </c>
      <c r="I17" s="54">
        <v>24.93</v>
      </c>
    </row>
    <row r="18" spans="5:9" x14ac:dyDescent="0.2">
      <c r="E18" s="53">
        <v>500</v>
      </c>
      <c r="F18" s="50">
        <v>31.11</v>
      </c>
      <c r="G18" s="49">
        <v>6.1</v>
      </c>
      <c r="H18" s="50">
        <v>220.61</v>
      </c>
      <c r="I18" s="54">
        <v>25.07</v>
      </c>
    </row>
    <row r="19" spans="5:9" x14ac:dyDescent="0.2">
      <c r="E19" s="53">
        <v>550</v>
      </c>
      <c r="F19" s="50">
        <v>31.57</v>
      </c>
      <c r="G19" s="50">
        <v>7.66</v>
      </c>
      <c r="H19" s="49">
        <v>223.6</v>
      </c>
      <c r="I19" s="54">
        <v>25.22</v>
      </c>
    </row>
    <row r="20" spans="5:9" x14ac:dyDescent="0.2">
      <c r="E20" s="53">
        <v>600</v>
      </c>
      <c r="F20" s="50">
        <v>32.03</v>
      </c>
      <c r="G20" s="50">
        <v>9.25</v>
      </c>
      <c r="H20" s="50">
        <v>226.36</v>
      </c>
      <c r="I20" s="54">
        <v>25.37</v>
      </c>
    </row>
    <row r="21" spans="5:9" x14ac:dyDescent="0.2">
      <c r="E21" s="53">
        <v>650</v>
      </c>
      <c r="F21" s="50">
        <v>32.479999999999997</v>
      </c>
      <c r="G21" s="50">
        <v>10.87</v>
      </c>
      <c r="H21" s="50">
        <v>228.94</v>
      </c>
      <c r="I21" s="54">
        <v>25.53</v>
      </c>
    </row>
    <row r="22" spans="5:9" x14ac:dyDescent="0.2">
      <c r="E22" s="53">
        <v>700</v>
      </c>
      <c r="F22" s="50">
        <v>32.93</v>
      </c>
      <c r="G22" s="49">
        <v>12.5</v>
      </c>
      <c r="H22" s="50">
        <v>231.37</v>
      </c>
      <c r="I22" s="54">
        <v>25.68</v>
      </c>
    </row>
    <row r="23" spans="5:9" x14ac:dyDescent="0.2">
      <c r="E23" s="53">
        <v>750</v>
      </c>
      <c r="F23" s="50">
        <v>33.35</v>
      </c>
      <c r="G23" s="50">
        <v>14.16</v>
      </c>
      <c r="H23" s="50">
        <v>233.65</v>
      </c>
      <c r="I23" s="54">
        <v>25.83</v>
      </c>
    </row>
    <row r="24" spans="5:9" x14ac:dyDescent="0.2">
      <c r="E24" s="53">
        <v>800</v>
      </c>
      <c r="F24" s="50">
        <v>33.76</v>
      </c>
      <c r="G24" s="50">
        <v>15.84</v>
      </c>
      <c r="H24" s="50">
        <v>235.82</v>
      </c>
      <c r="I24" s="54">
        <v>25.98</v>
      </c>
    </row>
    <row r="25" spans="5:9" x14ac:dyDescent="0.2">
      <c r="E25" s="53">
        <v>850</v>
      </c>
      <c r="F25" s="50">
        <v>34.130000000000003</v>
      </c>
      <c r="G25" s="50">
        <v>17.53</v>
      </c>
      <c r="H25" s="50">
        <v>237.88</v>
      </c>
      <c r="I25" s="54">
        <v>26.13</v>
      </c>
    </row>
    <row r="26" spans="5:9" x14ac:dyDescent="0.2">
      <c r="E26" s="53">
        <v>900</v>
      </c>
      <c r="F26" s="50">
        <v>34.450000000000003</v>
      </c>
      <c r="G26" s="50">
        <v>19.25</v>
      </c>
      <c r="H26" s="50">
        <v>239.84</v>
      </c>
      <c r="I26" s="54">
        <v>26.28</v>
      </c>
    </row>
    <row r="27" spans="5:9" x14ac:dyDescent="0.2">
      <c r="E27" s="53">
        <v>950</v>
      </c>
      <c r="F27" s="50">
        <v>34.729999999999997</v>
      </c>
      <c r="G27" s="50">
        <v>20.98</v>
      </c>
      <c r="H27" s="50">
        <v>241.71</v>
      </c>
      <c r="I27" s="54">
        <v>26.42</v>
      </c>
    </row>
    <row r="28" spans="5:9" x14ac:dyDescent="0.2">
      <c r="E28" s="55">
        <v>1000</v>
      </c>
      <c r="F28" s="50">
        <v>34.93</v>
      </c>
      <c r="G28" s="50">
        <v>22.72</v>
      </c>
      <c r="H28" s="50">
        <v>243.49</v>
      </c>
      <c r="I28" s="54">
        <v>26.55</v>
      </c>
    </row>
    <row r="29" spans="5:9" x14ac:dyDescent="0.2">
      <c r="E29" s="55">
        <v>1050</v>
      </c>
      <c r="F29" s="49">
        <v>35.1</v>
      </c>
      <c r="G29" s="50">
        <v>24.47</v>
      </c>
      <c r="H29" s="49">
        <v>245.2</v>
      </c>
      <c r="I29" s="54">
        <v>26.69</v>
      </c>
    </row>
    <row r="30" spans="5:9" x14ac:dyDescent="0.2">
      <c r="E30" s="55">
        <v>1100</v>
      </c>
      <c r="F30" s="50">
        <v>35.270000000000003</v>
      </c>
      <c r="G30" s="50">
        <v>26.23</v>
      </c>
      <c r="H30" s="50">
        <v>246.84</v>
      </c>
      <c r="I30" s="54">
        <v>26.82</v>
      </c>
    </row>
    <row r="31" spans="5:9" x14ac:dyDescent="0.2">
      <c r="E31" s="55">
        <v>1150</v>
      </c>
      <c r="F31" s="50">
        <v>35.43</v>
      </c>
      <c r="G31" s="48">
        <v>28</v>
      </c>
      <c r="H31" s="50">
        <v>248.41</v>
      </c>
      <c r="I31" s="54">
        <v>26.95</v>
      </c>
    </row>
    <row r="32" spans="5:9" x14ac:dyDescent="0.2">
      <c r="E32" s="55">
        <v>1200</v>
      </c>
      <c r="F32" s="50">
        <v>35.590000000000003</v>
      </c>
      <c r="G32" s="50">
        <v>29.77</v>
      </c>
      <c r="H32" s="50">
        <v>249.92</v>
      </c>
      <c r="I32" s="54">
        <v>27.08</v>
      </c>
    </row>
    <row r="33" spans="5:9" x14ac:dyDescent="0.2">
      <c r="E33" s="55">
        <v>1250</v>
      </c>
      <c r="F33" s="50">
        <v>35.75</v>
      </c>
      <c r="G33" s="50">
        <v>31.56</v>
      </c>
      <c r="H33" s="50">
        <v>251.38</v>
      </c>
      <c r="I33" s="56">
        <v>27.2</v>
      </c>
    </row>
    <row r="34" spans="5:9" x14ac:dyDescent="0.2">
      <c r="E34" s="55">
        <v>1300</v>
      </c>
      <c r="F34" s="49">
        <v>35.9</v>
      </c>
      <c r="G34" s="50">
        <v>33.35</v>
      </c>
      <c r="H34" s="50">
        <v>252.78</v>
      </c>
      <c r="I34" s="54">
        <v>27.32</v>
      </c>
    </row>
    <row r="35" spans="5:9" x14ac:dyDescent="0.2">
      <c r="E35" s="55">
        <v>1350</v>
      </c>
      <c r="F35" s="50">
        <v>36.049999999999997</v>
      </c>
      <c r="G35" s="50">
        <v>35.15</v>
      </c>
      <c r="H35" s="50">
        <v>254.14</v>
      </c>
      <c r="I35" s="54">
        <v>27.44</v>
      </c>
    </row>
    <row r="36" spans="5:9" x14ac:dyDescent="0.2">
      <c r="E36" s="55">
        <v>1400</v>
      </c>
      <c r="F36" s="49">
        <v>36.200000000000003</v>
      </c>
      <c r="G36" s="50">
        <v>36.950000000000003</v>
      </c>
      <c r="H36" s="50">
        <v>255.46</v>
      </c>
      <c r="I36" s="54">
        <v>27.55</v>
      </c>
    </row>
    <row r="37" spans="5:9" x14ac:dyDescent="0.2">
      <c r="E37" s="55">
        <v>1450</v>
      </c>
      <c r="F37" s="50">
        <v>36.35</v>
      </c>
      <c r="G37" s="50">
        <v>38.770000000000003</v>
      </c>
      <c r="H37" s="50">
        <v>256.73</v>
      </c>
      <c r="I37" s="54">
        <v>27.66</v>
      </c>
    </row>
    <row r="38" spans="5:9" x14ac:dyDescent="0.2">
      <c r="E38" s="55">
        <v>1500</v>
      </c>
      <c r="F38" s="50">
        <v>36.49</v>
      </c>
      <c r="G38" s="50">
        <v>40.590000000000003</v>
      </c>
      <c r="H38" s="50">
        <v>257.95999999999998</v>
      </c>
      <c r="I38" s="54">
        <v>27.77</v>
      </c>
    </row>
    <row r="39" spans="5:9" x14ac:dyDescent="0.2">
      <c r="E39" s="55">
        <v>1550</v>
      </c>
      <c r="F39" s="50">
        <v>36.630000000000003</v>
      </c>
      <c r="G39" s="50">
        <v>42.42</v>
      </c>
      <c r="H39" s="50">
        <v>259.16000000000003</v>
      </c>
      <c r="I39" s="54">
        <v>27.88</v>
      </c>
    </row>
    <row r="40" spans="5:9" x14ac:dyDescent="0.2">
      <c r="E40" s="55">
        <v>1600</v>
      </c>
      <c r="F40" s="50">
        <v>36.770000000000003</v>
      </c>
      <c r="G40" s="50">
        <v>44.25</v>
      </c>
      <c r="H40" s="50">
        <v>260.33</v>
      </c>
      <c r="I40" s="54">
        <v>27.99</v>
      </c>
    </row>
    <row r="41" spans="5:9" x14ac:dyDescent="0.2">
      <c r="E41" s="55">
        <v>1650</v>
      </c>
      <c r="F41" s="49">
        <v>36.9</v>
      </c>
      <c r="G41" s="50">
        <v>46.09</v>
      </c>
      <c r="H41" s="50">
        <v>261.45999999999998</v>
      </c>
      <c r="I41" s="54">
        <v>28.09</v>
      </c>
    </row>
    <row r="42" spans="5:9" x14ac:dyDescent="0.2">
      <c r="E42" s="55">
        <v>1700</v>
      </c>
      <c r="F42" s="50">
        <v>37.03</v>
      </c>
      <c r="G42" s="50">
        <v>47.94</v>
      </c>
      <c r="H42" s="50">
        <v>262.56</v>
      </c>
      <c r="I42" s="54">
        <v>28.19</v>
      </c>
    </row>
    <row r="43" spans="5:9" x14ac:dyDescent="0.2">
      <c r="E43" s="55">
        <v>1750</v>
      </c>
      <c r="F43" s="50">
        <v>37.17</v>
      </c>
      <c r="G43" s="49">
        <v>49.8</v>
      </c>
      <c r="H43" s="50">
        <v>263.64</v>
      </c>
      <c r="I43" s="54">
        <v>28.29</v>
      </c>
    </row>
    <row r="44" spans="5:9" x14ac:dyDescent="0.2">
      <c r="E44" s="55">
        <v>1800</v>
      </c>
      <c r="F44" s="50">
        <v>37.29</v>
      </c>
      <c r="G44" s="50">
        <v>51.66</v>
      </c>
      <c r="H44" s="50">
        <v>264.69</v>
      </c>
      <c r="I44" s="54">
        <v>28.38</v>
      </c>
    </row>
    <row r="45" spans="5:9" x14ac:dyDescent="0.2">
      <c r="E45" s="55">
        <v>1850</v>
      </c>
      <c r="F45" s="50">
        <v>37.42</v>
      </c>
      <c r="G45" s="50">
        <v>53.53</v>
      </c>
      <c r="H45" s="50">
        <v>265.70999999999998</v>
      </c>
      <c r="I45" s="54">
        <v>28.48</v>
      </c>
    </row>
    <row r="46" spans="5:9" x14ac:dyDescent="0.2">
      <c r="E46" s="55">
        <v>1900</v>
      </c>
      <c r="F46" s="50">
        <v>37.54</v>
      </c>
      <c r="G46" s="49">
        <v>55.4</v>
      </c>
      <c r="H46" s="50">
        <v>266.70999999999998</v>
      </c>
      <c r="I46" s="54">
        <v>28.57</v>
      </c>
    </row>
    <row r="47" spans="5:9" x14ac:dyDescent="0.2">
      <c r="E47" s="55">
        <v>1950</v>
      </c>
      <c r="F47" s="50">
        <v>37.67</v>
      </c>
      <c r="G47" s="50">
        <v>57.28</v>
      </c>
      <c r="H47" s="50">
        <v>267.69</v>
      </c>
      <c r="I47" s="54">
        <v>28.66</v>
      </c>
    </row>
    <row r="48" spans="5:9" x14ac:dyDescent="0.2">
      <c r="E48" s="55">
        <v>2000</v>
      </c>
      <c r="F48" s="50">
        <v>37.79</v>
      </c>
      <c r="G48" s="50">
        <v>59.17</v>
      </c>
      <c r="H48" s="50">
        <v>268.64</v>
      </c>
      <c r="I48" s="54">
        <v>28.75</v>
      </c>
    </row>
    <row r="49" spans="5:9" x14ac:dyDescent="0.2">
      <c r="E49" s="55">
        <v>2050</v>
      </c>
      <c r="F49" s="49">
        <v>37.9</v>
      </c>
      <c r="G49" s="50">
        <v>61.06</v>
      </c>
      <c r="H49" s="50">
        <v>269.58</v>
      </c>
      <c r="I49" s="54">
        <v>28.84</v>
      </c>
    </row>
    <row r="50" spans="5:9" x14ac:dyDescent="0.2">
      <c r="E50" s="55">
        <v>2100</v>
      </c>
      <c r="F50" s="50">
        <v>38.020000000000003</v>
      </c>
      <c r="G50" s="50">
        <v>62.96</v>
      </c>
      <c r="H50" s="50">
        <v>270.49</v>
      </c>
      <c r="I50" s="54">
        <v>28.93</v>
      </c>
    </row>
    <row r="51" spans="5:9" x14ac:dyDescent="0.2">
      <c r="E51" s="55">
        <v>2150</v>
      </c>
      <c r="F51" s="50">
        <v>38.14</v>
      </c>
      <c r="G51" s="50">
        <v>64.86</v>
      </c>
      <c r="H51" s="50">
        <v>271.39</v>
      </c>
      <c r="I51" s="54">
        <v>29.01</v>
      </c>
    </row>
    <row r="52" spans="5:9" x14ac:dyDescent="0.2">
      <c r="E52" s="55">
        <v>2200</v>
      </c>
      <c r="F52" s="50">
        <v>38.25</v>
      </c>
      <c r="G52" s="50">
        <v>66.77</v>
      </c>
      <c r="H52" s="50">
        <v>272.27</v>
      </c>
      <c r="I52" s="56">
        <v>29.1</v>
      </c>
    </row>
    <row r="53" spans="5:9" x14ac:dyDescent="0.2">
      <c r="E53" s="55">
        <v>2250</v>
      </c>
      <c r="F53" s="50">
        <v>38.36</v>
      </c>
      <c r="G53" s="50">
        <v>68.69</v>
      </c>
      <c r="H53" s="50">
        <v>273.13</v>
      </c>
      <c r="I53" s="54">
        <v>29.18</v>
      </c>
    </row>
    <row r="54" spans="5:9" x14ac:dyDescent="0.2">
      <c r="E54" s="55">
        <v>2300</v>
      </c>
      <c r="F54" s="50">
        <v>38.47</v>
      </c>
      <c r="G54" s="50">
        <v>70.61</v>
      </c>
      <c r="H54" s="50">
        <v>273.97000000000003</v>
      </c>
      <c r="I54" s="54">
        <v>29.26</v>
      </c>
    </row>
    <row r="55" spans="5:9" x14ac:dyDescent="0.2">
      <c r="E55" s="55">
        <v>2350</v>
      </c>
      <c r="F55" s="50">
        <v>38.58</v>
      </c>
      <c r="G55" s="50">
        <v>72.53</v>
      </c>
      <c r="H55" s="49">
        <v>274.8</v>
      </c>
      <c r="I55" s="54">
        <v>29.34</v>
      </c>
    </row>
    <row r="56" spans="5:9" x14ac:dyDescent="0.2">
      <c r="E56" s="55">
        <v>2400</v>
      </c>
      <c r="F56" s="50">
        <v>38.68</v>
      </c>
      <c r="G56" s="50">
        <v>74.459999999999994</v>
      </c>
      <c r="H56" s="50">
        <v>275.61</v>
      </c>
      <c r="I56" s="54">
        <v>29.42</v>
      </c>
    </row>
    <row r="57" spans="5:9" x14ac:dyDescent="0.2">
      <c r="E57" s="55">
        <v>2450</v>
      </c>
      <c r="F57" s="50">
        <v>38.79</v>
      </c>
      <c r="G57" s="49">
        <v>76.400000000000006</v>
      </c>
      <c r="H57" s="50">
        <v>276.41000000000003</v>
      </c>
      <c r="I57" s="56">
        <v>29.5</v>
      </c>
    </row>
    <row r="58" spans="5:9" x14ac:dyDescent="0.2">
      <c r="E58" s="55">
        <v>2500</v>
      </c>
      <c r="F58" s="50">
        <v>38.89</v>
      </c>
      <c r="G58" s="50">
        <v>78.34</v>
      </c>
      <c r="H58" s="49">
        <v>277.2</v>
      </c>
      <c r="I58" s="54">
        <v>29.57</v>
      </c>
    </row>
    <row r="59" spans="5:9" x14ac:dyDescent="0.2">
      <c r="E59" s="55">
        <v>2550</v>
      </c>
      <c r="F59" s="50">
        <v>38.99</v>
      </c>
      <c r="G59" s="50">
        <v>80.290000000000006</v>
      </c>
      <c r="H59" s="50">
        <v>277.97000000000003</v>
      </c>
      <c r="I59" s="54">
        <v>29.65</v>
      </c>
    </row>
    <row r="60" spans="5:9" x14ac:dyDescent="0.2">
      <c r="E60" s="55">
        <v>2600</v>
      </c>
      <c r="F60" s="50">
        <v>39.090000000000003</v>
      </c>
      <c r="G60" s="50">
        <v>82.24</v>
      </c>
      <c r="H60" s="50">
        <v>278.73</v>
      </c>
      <c r="I60" s="54">
        <v>29.72</v>
      </c>
    </row>
    <row r="61" spans="5:9" x14ac:dyDescent="0.2">
      <c r="E61" s="55">
        <v>2650</v>
      </c>
      <c r="F61" s="50">
        <v>39.19</v>
      </c>
      <c r="G61" s="49">
        <v>84.2</v>
      </c>
      <c r="H61" s="50">
        <v>279.47000000000003</v>
      </c>
      <c r="I61" s="54">
        <v>29.79</v>
      </c>
    </row>
    <row r="62" spans="5:9" x14ac:dyDescent="0.2">
      <c r="E62" s="55">
        <v>2700</v>
      </c>
      <c r="F62" s="50">
        <v>39.29</v>
      </c>
      <c r="G62" s="50">
        <v>86.16</v>
      </c>
      <c r="H62" s="49">
        <v>280.2</v>
      </c>
      <c r="I62" s="54">
        <v>29.86</v>
      </c>
    </row>
    <row r="63" spans="5:9" x14ac:dyDescent="0.2">
      <c r="E63" s="55">
        <v>2750</v>
      </c>
      <c r="F63" s="50">
        <v>39.380000000000003</v>
      </c>
      <c r="G63" s="50">
        <v>88.13</v>
      </c>
      <c r="H63" s="50">
        <v>280.93</v>
      </c>
      <c r="I63" s="54">
        <v>29.94</v>
      </c>
    </row>
    <row r="64" spans="5:9" x14ac:dyDescent="0.2">
      <c r="E64" s="55">
        <v>2800</v>
      </c>
      <c r="F64" s="50">
        <v>39.479999999999997</v>
      </c>
      <c r="G64" s="49">
        <v>90.1</v>
      </c>
      <c r="H64" s="50">
        <v>281.64</v>
      </c>
      <c r="I64" s="57">
        <v>30</v>
      </c>
    </row>
    <row r="65" spans="5:9" x14ac:dyDescent="0.2">
      <c r="E65" s="55">
        <v>2850</v>
      </c>
      <c r="F65" s="50">
        <v>39.57</v>
      </c>
      <c r="G65" s="50">
        <v>92.07</v>
      </c>
      <c r="H65" s="50">
        <v>282.33999999999997</v>
      </c>
      <c r="I65" s="54">
        <v>30.07</v>
      </c>
    </row>
    <row r="66" spans="5:9" x14ac:dyDescent="0.2">
      <c r="E66" s="55">
        <v>2900</v>
      </c>
      <c r="F66" s="50">
        <v>39.659999999999997</v>
      </c>
      <c r="G66" s="50">
        <v>94.06</v>
      </c>
      <c r="H66" s="50">
        <v>283.02999999999997</v>
      </c>
      <c r="I66" s="54">
        <v>30.14</v>
      </c>
    </row>
    <row r="67" spans="5:9" x14ac:dyDescent="0.2">
      <c r="E67" s="55">
        <v>2950</v>
      </c>
      <c r="F67" s="50">
        <v>39.75</v>
      </c>
      <c r="G67" s="50">
        <v>96.04</v>
      </c>
      <c r="H67" s="49">
        <v>283.7</v>
      </c>
      <c r="I67" s="54">
        <v>30.21</v>
      </c>
    </row>
    <row r="68" spans="5:9" x14ac:dyDescent="0.2">
      <c r="E68" s="55">
        <v>3000</v>
      </c>
      <c r="F68" s="50">
        <v>39.840000000000003</v>
      </c>
      <c r="G68" s="50">
        <v>98.03</v>
      </c>
      <c r="H68" s="50">
        <v>284.37</v>
      </c>
      <c r="I68" s="54">
        <v>30.27</v>
      </c>
    </row>
    <row r="69" spans="5:9" x14ac:dyDescent="0.2">
      <c r="E69" s="55">
        <v>3050</v>
      </c>
      <c r="F69" s="50">
        <v>39.93</v>
      </c>
      <c r="G69" s="50">
        <v>100.03</v>
      </c>
      <c r="H69" s="50">
        <v>285.02999999999997</v>
      </c>
      <c r="I69" s="54">
        <v>30.34</v>
      </c>
    </row>
    <row r="70" spans="5:9" x14ac:dyDescent="0.2">
      <c r="E70" s="55">
        <v>3100</v>
      </c>
      <c r="F70" s="50">
        <v>40.020000000000003</v>
      </c>
      <c r="G70" s="50">
        <v>102.02</v>
      </c>
      <c r="H70" s="50">
        <v>285.68</v>
      </c>
      <c r="I70" s="56">
        <v>30.4</v>
      </c>
    </row>
    <row r="71" spans="5:9" x14ac:dyDescent="0.2">
      <c r="E71" s="55">
        <v>3150</v>
      </c>
      <c r="F71" s="50">
        <v>40.11</v>
      </c>
      <c r="G71" s="50">
        <v>104.03</v>
      </c>
      <c r="H71" s="50">
        <v>286.32</v>
      </c>
      <c r="I71" s="54">
        <v>30.47</v>
      </c>
    </row>
    <row r="72" spans="5:9" x14ac:dyDescent="0.2">
      <c r="E72" s="55">
        <v>3200</v>
      </c>
      <c r="F72" s="50">
        <v>40.19</v>
      </c>
      <c r="G72" s="50">
        <v>106.03</v>
      </c>
      <c r="H72" s="50">
        <v>286.95999999999998</v>
      </c>
      <c r="I72" s="54">
        <v>30.53</v>
      </c>
    </row>
    <row r="73" spans="5:9" x14ac:dyDescent="0.2">
      <c r="E73" s="55">
        <v>3250</v>
      </c>
      <c r="F73" s="50">
        <v>40.28</v>
      </c>
      <c r="G73" s="50">
        <v>108.05</v>
      </c>
      <c r="H73" s="50">
        <v>287.58</v>
      </c>
      <c r="I73" s="54">
        <v>30.59</v>
      </c>
    </row>
    <row r="74" spans="5:9" x14ac:dyDescent="0.2">
      <c r="E74" s="55">
        <v>3300</v>
      </c>
      <c r="F74" s="50">
        <v>40.36</v>
      </c>
      <c r="G74" s="50">
        <v>110.06</v>
      </c>
      <c r="H74" s="50">
        <v>298.56822324628803</v>
      </c>
      <c r="I74" s="56">
        <v>288.2</v>
      </c>
    </row>
    <row r="75" spans="5:9" x14ac:dyDescent="0.2">
      <c r="E75" s="55">
        <v>3350</v>
      </c>
      <c r="F75" s="50">
        <v>40.44</v>
      </c>
      <c r="G75" s="50">
        <v>112.08</v>
      </c>
      <c r="H75" s="50">
        <v>299.88953181003598</v>
      </c>
      <c r="I75" s="56">
        <v>288.8</v>
      </c>
    </row>
    <row r="76" spans="5:9" x14ac:dyDescent="0.2">
      <c r="E76" s="55">
        <v>3400</v>
      </c>
      <c r="F76" s="50">
        <v>40.520000000000003</v>
      </c>
      <c r="G76" s="50">
        <v>114.11</v>
      </c>
      <c r="H76" s="50">
        <v>301.21084037378398</v>
      </c>
      <c r="I76" s="56">
        <v>289.39999999999998</v>
      </c>
    </row>
    <row r="77" spans="5:9" x14ac:dyDescent="0.2">
      <c r="E77" s="55">
        <v>3450</v>
      </c>
      <c r="F77" s="49">
        <v>40.6</v>
      </c>
      <c r="G77" s="50">
        <v>116.13</v>
      </c>
      <c r="H77" s="50">
        <v>302.53214893753199</v>
      </c>
      <c r="I77" s="57">
        <v>290</v>
      </c>
    </row>
    <row r="78" spans="5:9" ht="15.75" thickBot="1" x14ac:dyDescent="0.25">
      <c r="E78" s="58">
        <v>3500</v>
      </c>
      <c r="F78" s="59">
        <v>40.68</v>
      </c>
      <c r="G78" s="59">
        <v>118.17</v>
      </c>
      <c r="H78" s="59">
        <v>303.85345750127999</v>
      </c>
      <c r="I78" s="60">
        <v>290.58</v>
      </c>
    </row>
  </sheetData>
  <mergeCells count="3">
    <mergeCell ref="E9:I9"/>
    <mergeCell ref="K5:Q5"/>
    <mergeCell ref="A2:E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workbookViewId="0">
      <selection activeCell="I31" sqref="I31"/>
    </sheetView>
  </sheetViews>
  <sheetFormatPr defaultRowHeight="15" x14ac:dyDescent="0.25"/>
  <cols>
    <col min="1" max="2" width="9.140625" style="1"/>
    <col min="3" max="3" width="12" style="1" customWidth="1"/>
    <col min="4" max="4" width="12.140625" style="1" bestFit="1" customWidth="1"/>
    <col min="5" max="5" width="11" style="1" bestFit="1" customWidth="1"/>
    <col min="6" max="6" width="11.28515625" style="1" bestFit="1" customWidth="1"/>
    <col min="7" max="8" width="9.140625" style="1"/>
    <col min="9" max="12" width="14.140625" style="1" customWidth="1"/>
    <col min="13" max="14" width="13" style="1" customWidth="1"/>
    <col min="15" max="15" width="13.7109375" style="1" customWidth="1"/>
    <col min="16" max="16384" width="9.140625" style="1"/>
  </cols>
  <sheetData>
    <row r="1" spans="1:17" x14ac:dyDescent="0.25">
      <c r="A1" s="293" t="s">
        <v>162</v>
      </c>
      <c r="B1" s="294"/>
      <c r="C1" s="294"/>
      <c r="D1" s="294"/>
      <c r="E1" s="295"/>
    </row>
    <row r="2" spans="1:17" ht="15.75" thickBot="1" x14ac:dyDescent="0.3">
      <c r="A2" s="296"/>
      <c r="B2" s="297"/>
      <c r="C2" s="297"/>
      <c r="D2" s="297"/>
      <c r="E2" s="298"/>
    </row>
    <row r="3" spans="1:17" ht="15.75" thickBot="1" x14ac:dyDescent="0.3"/>
    <row r="4" spans="1:17" ht="15.75" thickBot="1" x14ac:dyDescent="0.3">
      <c r="I4" s="308" t="s">
        <v>146</v>
      </c>
      <c r="J4" s="309"/>
      <c r="K4" s="309"/>
      <c r="L4" s="309"/>
      <c r="M4" s="309"/>
      <c r="N4" s="309"/>
      <c r="O4" s="309"/>
      <c r="P4" s="309"/>
      <c r="Q4" s="310"/>
    </row>
    <row r="5" spans="1:17" ht="15.75" thickBot="1" x14ac:dyDescent="0.3"/>
    <row r="6" spans="1:17" ht="21" thickBot="1" x14ac:dyDescent="0.4">
      <c r="C6" s="281" t="s">
        <v>145</v>
      </c>
      <c r="D6" s="282"/>
      <c r="E6" s="282"/>
      <c r="F6" s="282"/>
      <c r="G6" s="283"/>
    </row>
    <row r="7" spans="1:17" ht="36.75" thickBot="1" x14ac:dyDescent="0.3">
      <c r="C7" s="45" t="s">
        <v>75</v>
      </c>
      <c r="D7" s="46" t="s">
        <v>76</v>
      </c>
      <c r="E7" s="82" t="s">
        <v>139</v>
      </c>
      <c r="F7" s="46" t="s">
        <v>77</v>
      </c>
      <c r="G7" s="46" t="s">
        <v>79</v>
      </c>
    </row>
    <row r="8" spans="1:17" x14ac:dyDescent="0.2">
      <c r="C8" s="34">
        <v>200</v>
      </c>
      <c r="D8" s="35">
        <v>28.79</v>
      </c>
      <c r="E8" s="35">
        <v>2.84</v>
      </c>
      <c r="F8" s="35">
        <v>179.95</v>
      </c>
      <c r="G8" s="36">
        <v>23.35</v>
      </c>
    </row>
    <row r="9" spans="1:17" x14ac:dyDescent="0.2">
      <c r="C9" s="34">
        <v>250</v>
      </c>
      <c r="D9" s="35">
        <v>28.95</v>
      </c>
      <c r="E9" s="37">
        <v>1.4</v>
      </c>
      <c r="F9" s="35">
        <v>186.39</v>
      </c>
      <c r="G9" s="36">
        <v>23.09</v>
      </c>
    </row>
    <row r="10" spans="1:17" x14ac:dyDescent="0.2">
      <c r="C10" s="34">
        <v>298</v>
      </c>
      <c r="D10" s="35">
        <v>29.07</v>
      </c>
      <c r="E10" s="38">
        <v>0</v>
      </c>
      <c r="F10" s="37">
        <v>191.5</v>
      </c>
      <c r="G10" s="36">
        <v>23.03</v>
      </c>
    </row>
    <row r="11" spans="1:17" x14ac:dyDescent="0.2">
      <c r="C11" s="34">
        <v>300</v>
      </c>
      <c r="D11" s="35">
        <v>29.07</v>
      </c>
      <c r="E11" s="35">
        <v>0.05</v>
      </c>
      <c r="F11" s="35">
        <v>191.68</v>
      </c>
      <c r="G11" s="36">
        <v>23.03</v>
      </c>
    </row>
    <row r="12" spans="1:17" x14ac:dyDescent="0.2">
      <c r="C12" s="34">
        <v>350</v>
      </c>
      <c r="D12" s="35">
        <v>29.19</v>
      </c>
      <c r="E12" s="35">
        <v>1.51</v>
      </c>
      <c r="F12" s="35">
        <v>196.17</v>
      </c>
      <c r="G12" s="36">
        <v>23.08</v>
      </c>
    </row>
    <row r="13" spans="1:17" x14ac:dyDescent="0.2">
      <c r="C13" s="34">
        <v>400</v>
      </c>
      <c r="D13" s="35">
        <v>29.32</v>
      </c>
      <c r="E13" s="35">
        <v>2.97</v>
      </c>
      <c r="F13" s="35">
        <v>200.08</v>
      </c>
      <c r="G13" s="36">
        <v>23.17</v>
      </c>
    </row>
    <row r="14" spans="1:17" x14ac:dyDescent="0.2">
      <c r="C14" s="34">
        <v>450</v>
      </c>
      <c r="D14" s="35">
        <v>29.46</v>
      </c>
      <c r="E14" s="35">
        <v>4.4400000000000004</v>
      </c>
      <c r="F14" s="35">
        <v>203.54</v>
      </c>
      <c r="G14" s="36">
        <v>23.29</v>
      </c>
    </row>
    <row r="15" spans="1:17" x14ac:dyDescent="0.2">
      <c r="C15" s="34">
        <v>500</v>
      </c>
      <c r="D15" s="35">
        <v>29.63</v>
      </c>
      <c r="E15" s="35">
        <v>5.92</v>
      </c>
      <c r="F15" s="35">
        <v>206.65</v>
      </c>
      <c r="G15" s="36">
        <v>23.43</v>
      </c>
    </row>
    <row r="16" spans="1:17" x14ac:dyDescent="0.2">
      <c r="C16" s="34">
        <v>550</v>
      </c>
      <c r="D16" s="35">
        <v>29.84</v>
      </c>
      <c r="E16" s="35">
        <v>7.41</v>
      </c>
      <c r="F16" s="35">
        <v>209.49</v>
      </c>
      <c r="G16" s="36">
        <v>23.58</v>
      </c>
    </row>
    <row r="17" spans="3:7" x14ac:dyDescent="0.2">
      <c r="C17" s="34">
        <v>600</v>
      </c>
      <c r="D17" s="35">
        <v>30.08</v>
      </c>
      <c r="E17" s="37">
        <v>8.9</v>
      </c>
      <c r="F17" s="35">
        <v>212.09</v>
      </c>
      <c r="G17" s="36">
        <v>23.72</v>
      </c>
    </row>
    <row r="18" spans="3:7" x14ac:dyDescent="0.2">
      <c r="C18" s="34">
        <v>650</v>
      </c>
      <c r="D18" s="35">
        <v>30.37</v>
      </c>
      <c r="E18" s="35">
        <v>10.42</v>
      </c>
      <c r="F18" s="35">
        <v>214.51</v>
      </c>
      <c r="G18" s="36">
        <v>23.87</v>
      </c>
    </row>
    <row r="19" spans="3:7" x14ac:dyDescent="0.2">
      <c r="C19" s="34">
        <v>700</v>
      </c>
      <c r="D19" s="35">
        <v>30.68</v>
      </c>
      <c r="E19" s="35">
        <v>11.94</v>
      </c>
      <c r="F19" s="35">
        <v>216.77</v>
      </c>
      <c r="G19" s="36">
        <v>24.02</v>
      </c>
    </row>
    <row r="20" spans="3:7" x14ac:dyDescent="0.2">
      <c r="C20" s="34">
        <v>750</v>
      </c>
      <c r="D20" s="35">
        <v>31.03</v>
      </c>
      <c r="E20" s="35">
        <v>13.48</v>
      </c>
      <c r="F20" s="37">
        <v>218.9</v>
      </c>
      <c r="G20" s="36">
        <v>24.17</v>
      </c>
    </row>
    <row r="21" spans="3:7" x14ac:dyDescent="0.2">
      <c r="C21" s="34">
        <v>800</v>
      </c>
      <c r="D21" s="35">
        <v>31.39</v>
      </c>
      <c r="E21" s="35">
        <v>15.04</v>
      </c>
      <c r="F21" s="35">
        <v>220.92</v>
      </c>
      <c r="G21" s="36">
        <v>24.31</v>
      </c>
    </row>
    <row r="22" spans="3:7" x14ac:dyDescent="0.2">
      <c r="C22" s="34">
        <v>850</v>
      </c>
      <c r="D22" s="35">
        <v>31.76</v>
      </c>
      <c r="E22" s="35">
        <v>16.62</v>
      </c>
      <c r="F22" s="35">
        <v>222.83</v>
      </c>
      <c r="G22" s="36">
        <v>24.45</v>
      </c>
    </row>
    <row r="23" spans="3:7" x14ac:dyDescent="0.2">
      <c r="C23" s="34">
        <v>900</v>
      </c>
      <c r="D23" s="35">
        <v>32.130000000000003</v>
      </c>
      <c r="E23" s="35">
        <v>18.22</v>
      </c>
      <c r="F23" s="35">
        <v>224.66</v>
      </c>
      <c r="G23" s="36">
        <v>24.59</v>
      </c>
    </row>
    <row r="24" spans="3:7" x14ac:dyDescent="0.2">
      <c r="C24" s="34">
        <v>950</v>
      </c>
      <c r="D24" s="35">
        <v>32.47</v>
      </c>
      <c r="E24" s="35">
        <v>19.84</v>
      </c>
      <c r="F24" s="37">
        <v>226.4</v>
      </c>
      <c r="G24" s="36">
        <v>24.72</v>
      </c>
    </row>
    <row r="25" spans="3:7" x14ac:dyDescent="0.2">
      <c r="C25" s="41">
        <v>1000</v>
      </c>
      <c r="D25" s="35">
        <v>32.76</v>
      </c>
      <c r="E25" s="35">
        <v>21.47</v>
      </c>
      <c r="F25" s="35">
        <v>228.08</v>
      </c>
      <c r="G25" s="36">
        <v>24.85</v>
      </c>
    </row>
    <row r="26" spans="3:7" x14ac:dyDescent="0.2">
      <c r="C26" s="41">
        <v>1050</v>
      </c>
      <c r="D26" s="35">
        <v>33.01</v>
      </c>
      <c r="E26" s="35">
        <v>23.11</v>
      </c>
      <c r="F26" s="35">
        <v>229.68</v>
      </c>
      <c r="G26" s="36">
        <v>24.98</v>
      </c>
    </row>
    <row r="27" spans="3:7" x14ac:dyDescent="0.2">
      <c r="C27" s="41">
        <v>1100</v>
      </c>
      <c r="D27" s="35">
        <v>33.26</v>
      </c>
      <c r="E27" s="35">
        <v>24.77</v>
      </c>
      <c r="F27" s="35">
        <v>231.22</v>
      </c>
      <c r="G27" s="40">
        <v>25.1</v>
      </c>
    </row>
    <row r="28" spans="3:7" x14ac:dyDescent="0.2">
      <c r="C28" s="41">
        <v>1150</v>
      </c>
      <c r="D28" s="35">
        <v>33.49</v>
      </c>
      <c r="E28" s="35">
        <v>26.44</v>
      </c>
      <c r="F28" s="35">
        <v>232.71</v>
      </c>
      <c r="G28" s="36">
        <v>25.22</v>
      </c>
    </row>
    <row r="29" spans="3:7" x14ac:dyDescent="0.2">
      <c r="C29" s="41">
        <v>1200</v>
      </c>
      <c r="D29" s="35">
        <v>33.71</v>
      </c>
      <c r="E29" s="35">
        <v>28.12</v>
      </c>
      <c r="F29" s="35">
        <v>234.14</v>
      </c>
      <c r="G29" s="36">
        <v>25.34</v>
      </c>
    </row>
    <row r="30" spans="3:7" x14ac:dyDescent="0.2">
      <c r="C30" s="41">
        <v>1250</v>
      </c>
      <c r="D30" s="35">
        <v>33.909999999999997</v>
      </c>
      <c r="E30" s="35">
        <v>29.81</v>
      </c>
      <c r="F30" s="35">
        <v>235.52</v>
      </c>
      <c r="G30" s="36">
        <v>25.46</v>
      </c>
    </row>
    <row r="31" spans="3:7" x14ac:dyDescent="0.2">
      <c r="C31" s="41">
        <v>1300</v>
      </c>
      <c r="D31" s="35">
        <v>34.11</v>
      </c>
      <c r="E31" s="35">
        <v>31.51</v>
      </c>
      <c r="F31" s="35">
        <v>236.85</v>
      </c>
      <c r="G31" s="36">
        <v>25.57</v>
      </c>
    </row>
    <row r="32" spans="3:7" x14ac:dyDescent="0.2">
      <c r="C32" s="41">
        <v>1350</v>
      </c>
      <c r="D32" s="37">
        <v>34.299999999999997</v>
      </c>
      <c r="E32" s="35">
        <v>33.22</v>
      </c>
      <c r="F32" s="35">
        <v>238.14</v>
      </c>
      <c r="G32" s="36">
        <v>25.68</v>
      </c>
    </row>
    <row r="33" spans="3:7" x14ac:dyDescent="0.2">
      <c r="C33" s="41">
        <v>1400</v>
      </c>
      <c r="D33" s="35">
        <v>34.479999999999997</v>
      </c>
      <c r="E33" s="35">
        <v>34.94</v>
      </c>
      <c r="F33" s="35">
        <v>239.39</v>
      </c>
      <c r="G33" s="36">
        <v>25.79</v>
      </c>
    </row>
    <row r="34" spans="3:7" x14ac:dyDescent="0.2">
      <c r="C34" s="41">
        <v>1450</v>
      </c>
      <c r="D34" s="35">
        <v>34.64</v>
      </c>
      <c r="E34" s="35">
        <v>36.67</v>
      </c>
      <c r="F34" s="37">
        <v>240.6</v>
      </c>
      <c r="G34" s="40">
        <v>25.9</v>
      </c>
    </row>
    <row r="35" spans="3:7" x14ac:dyDescent="0.2">
      <c r="C35" s="41">
        <v>1500</v>
      </c>
      <c r="D35" s="37">
        <v>34.799999999999997</v>
      </c>
      <c r="E35" s="37">
        <v>38.4</v>
      </c>
      <c r="F35" s="35">
        <v>241.78</v>
      </c>
      <c r="G35" s="39">
        <v>26</v>
      </c>
    </row>
    <row r="36" spans="3:7" x14ac:dyDescent="0.2">
      <c r="C36" s="41">
        <v>1550</v>
      </c>
      <c r="D36" s="35">
        <v>34.950000000000003</v>
      </c>
      <c r="E36" s="35">
        <v>40.15</v>
      </c>
      <c r="F36" s="35">
        <v>242.92</v>
      </c>
      <c r="G36" s="40">
        <v>26.1</v>
      </c>
    </row>
    <row r="37" spans="3:7" x14ac:dyDescent="0.2">
      <c r="C37" s="41">
        <v>1600</v>
      </c>
      <c r="D37" s="37">
        <v>35.1</v>
      </c>
      <c r="E37" s="37">
        <v>41.9</v>
      </c>
      <c r="F37" s="35">
        <v>244.04</v>
      </c>
      <c r="G37" s="40">
        <v>26.2</v>
      </c>
    </row>
    <row r="38" spans="3:7" x14ac:dyDescent="0.2">
      <c r="C38" s="41">
        <v>1650</v>
      </c>
      <c r="D38" s="35">
        <v>35.229999999999997</v>
      </c>
      <c r="E38" s="35">
        <v>43.66</v>
      </c>
      <c r="F38" s="35">
        <v>245.12</v>
      </c>
      <c r="G38" s="40">
        <v>26.3</v>
      </c>
    </row>
    <row r="39" spans="3:7" x14ac:dyDescent="0.2">
      <c r="C39" s="41">
        <v>1700</v>
      </c>
      <c r="D39" s="35">
        <v>35.36</v>
      </c>
      <c r="E39" s="35">
        <v>45.42</v>
      </c>
      <c r="F39" s="35">
        <v>246.17</v>
      </c>
      <c r="G39" s="40">
        <v>26.4</v>
      </c>
    </row>
    <row r="40" spans="3:7" x14ac:dyDescent="0.2">
      <c r="C40" s="41">
        <v>1750</v>
      </c>
      <c r="D40" s="35">
        <v>35.479999999999997</v>
      </c>
      <c r="E40" s="35">
        <v>47.19</v>
      </c>
      <c r="F40" s="37">
        <v>247.2</v>
      </c>
      <c r="G40" s="36">
        <v>26.49</v>
      </c>
    </row>
    <row r="41" spans="3:7" x14ac:dyDescent="0.2">
      <c r="C41" s="41">
        <v>1800</v>
      </c>
      <c r="D41" s="35">
        <v>35.590000000000003</v>
      </c>
      <c r="E41" s="35">
        <v>48.97</v>
      </c>
      <c r="F41" s="37">
        <v>248.2</v>
      </c>
      <c r="G41" s="36">
        <v>26.58</v>
      </c>
    </row>
    <row r="42" spans="3:7" x14ac:dyDescent="0.2">
      <c r="C42" s="41">
        <v>1850</v>
      </c>
      <c r="D42" s="37">
        <v>35.700000000000003</v>
      </c>
      <c r="E42" s="35">
        <v>50.75</v>
      </c>
      <c r="F42" s="35">
        <v>249.18</v>
      </c>
      <c r="G42" s="36">
        <v>26.67</v>
      </c>
    </row>
    <row r="43" spans="3:7" x14ac:dyDescent="0.2">
      <c r="C43" s="41">
        <v>1900</v>
      </c>
      <c r="D43" s="37">
        <v>35.799999999999997</v>
      </c>
      <c r="E43" s="35">
        <v>52.54</v>
      </c>
      <c r="F43" s="35">
        <v>250.13</v>
      </c>
      <c r="G43" s="36">
        <v>26.76</v>
      </c>
    </row>
    <row r="44" spans="3:7" x14ac:dyDescent="0.2">
      <c r="C44" s="41">
        <v>1950</v>
      </c>
      <c r="D44" s="37">
        <v>35.9</v>
      </c>
      <c r="E44" s="35">
        <v>54.33</v>
      </c>
      <c r="F44" s="35">
        <v>251.06</v>
      </c>
      <c r="G44" s="36">
        <v>26.85</v>
      </c>
    </row>
    <row r="45" spans="3:7" x14ac:dyDescent="0.2">
      <c r="C45" s="41">
        <v>2000</v>
      </c>
      <c r="D45" s="35">
        <v>35.99</v>
      </c>
      <c r="E45" s="35">
        <v>56.13</v>
      </c>
      <c r="F45" s="35">
        <v>251.97</v>
      </c>
      <c r="G45" s="36">
        <v>26.93</v>
      </c>
    </row>
    <row r="46" spans="3:7" x14ac:dyDescent="0.2">
      <c r="C46" s="41">
        <v>2050</v>
      </c>
      <c r="D46" s="35">
        <v>36.07</v>
      </c>
      <c r="E46" s="35">
        <v>57.93</v>
      </c>
      <c r="F46" s="35">
        <v>252.86</v>
      </c>
      <c r="G46" s="36">
        <v>27.01</v>
      </c>
    </row>
    <row r="47" spans="3:7" x14ac:dyDescent="0.2">
      <c r="C47" s="41">
        <v>2100</v>
      </c>
      <c r="D47" s="35">
        <v>36.15</v>
      </c>
      <c r="E47" s="35">
        <v>59.73</v>
      </c>
      <c r="F47" s="35">
        <v>253.73</v>
      </c>
      <c r="G47" s="40">
        <v>27.1</v>
      </c>
    </row>
    <row r="48" spans="3:7" x14ac:dyDescent="0.2">
      <c r="C48" s="41">
        <v>2150</v>
      </c>
      <c r="D48" s="35">
        <v>36.229999999999997</v>
      </c>
      <c r="E48" s="35">
        <v>61.54</v>
      </c>
      <c r="F48" s="35">
        <v>254.58</v>
      </c>
      <c r="G48" s="36">
        <v>27.18</v>
      </c>
    </row>
    <row r="49" spans="3:7" x14ac:dyDescent="0.2">
      <c r="C49" s="41">
        <v>2200</v>
      </c>
      <c r="D49" s="37">
        <v>36.299999999999997</v>
      </c>
      <c r="E49" s="35">
        <v>63.36</v>
      </c>
      <c r="F49" s="35">
        <v>255.42</v>
      </c>
      <c r="G49" s="36">
        <v>27.26</v>
      </c>
    </row>
    <row r="50" spans="3:7" x14ac:dyDescent="0.2">
      <c r="C50" s="41">
        <v>2250</v>
      </c>
      <c r="D50" s="35">
        <v>36.36</v>
      </c>
      <c r="E50" s="35">
        <v>65.17</v>
      </c>
      <c r="F50" s="35">
        <v>256.23</v>
      </c>
      <c r="G50" s="36">
        <v>27.34</v>
      </c>
    </row>
    <row r="51" spans="3:7" x14ac:dyDescent="0.2">
      <c r="C51" s="41">
        <v>2300</v>
      </c>
      <c r="D51" s="35">
        <v>36.43</v>
      </c>
      <c r="E51" s="35">
        <v>66.989999999999995</v>
      </c>
      <c r="F51" s="35">
        <v>257.02999999999997</v>
      </c>
      <c r="G51" s="36">
        <v>27.41</v>
      </c>
    </row>
    <row r="52" spans="3:7" x14ac:dyDescent="0.2">
      <c r="C52" s="41">
        <v>2350</v>
      </c>
      <c r="D52" s="35">
        <v>36.49</v>
      </c>
      <c r="E52" s="35">
        <v>68.819999999999993</v>
      </c>
      <c r="F52" s="35">
        <v>257.82</v>
      </c>
      <c r="G52" s="36">
        <v>27.49</v>
      </c>
    </row>
    <row r="53" spans="3:7" x14ac:dyDescent="0.2">
      <c r="C53" s="41">
        <v>2400</v>
      </c>
      <c r="D53" s="35">
        <v>36.54</v>
      </c>
      <c r="E53" s="35">
        <v>70.64</v>
      </c>
      <c r="F53" s="35">
        <v>258.58999999999997</v>
      </c>
      <c r="G53" s="36">
        <v>27.56</v>
      </c>
    </row>
    <row r="54" spans="3:7" x14ac:dyDescent="0.2">
      <c r="C54" s="41">
        <v>2450</v>
      </c>
      <c r="D54" s="35">
        <v>36.590000000000003</v>
      </c>
      <c r="E54" s="35">
        <v>72.47</v>
      </c>
      <c r="F54" s="35">
        <v>259.33999999999997</v>
      </c>
      <c r="G54" s="36">
        <v>27.64</v>
      </c>
    </row>
    <row r="55" spans="3:7" x14ac:dyDescent="0.2">
      <c r="C55" s="41">
        <v>2500</v>
      </c>
      <c r="D55" s="35">
        <v>36.64</v>
      </c>
      <c r="E55" s="37">
        <v>74.3</v>
      </c>
      <c r="F55" s="35">
        <v>260.08</v>
      </c>
      <c r="G55" s="36">
        <v>27.71</v>
      </c>
    </row>
    <row r="56" spans="3:7" x14ac:dyDescent="0.2">
      <c r="C56" s="41">
        <v>2550</v>
      </c>
      <c r="D56" s="35">
        <v>36.69</v>
      </c>
      <c r="E56" s="35">
        <v>76.13</v>
      </c>
      <c r="F56" s="35">
        <v>260.81</v>
      </c>
      <c r="G56" s="36">
        <v>27.78</v>
      </c>
    </row>
    <row r="57" spans="3:7" x14ac:dyDescent="0.2">
      <c r="C57" s="41">
        <v>2600</v>
      </c>
      <c r="D57" s="35">
        <v>36.74</v>
      </c>
      <c r="E57" s="35">
        <v>77.97</v>
      </c>
      <c r="F57" s="35">
        <v>261.52</v>
      </c>
      <c r="G57" s="36">
        <v>27.85</v>
      </c>
    </row>
    <row r="58" spans="3:7" x14ac:dyDescent="0.2">
      <c r="C58" s="41">
        <v>2650</v>
      </c>
      <c r="D58" s="35">
        <v>36.78</v>
      </c>
      <c r="E58" s="35">
        <v>79.81</v>
      </c>
      <c r="F58" s="35">
        <v>262.22000000000003</v>
      </c>
      <c r="G58" s="36">
        <v>27.92</v>
      </c>
    </row>
    <row r="59" spans="3:7" x14ac:dyDescent="0.2">
      <c r="C59" s="41">
        <v>2700</v>
      </c>
      <c r="D59" s="35">
        <v>36.82</v>
      </c>
      <c r="E59" s="35">
        <v>81.650000000000006</v>
      </c>
      <c r="F59" s="35">
        <v>262.91000000000003</v>
      </c>
      <c r="G59" s="36">
        <v>27.98</v>
      </c>
    </row>
    <row r="60" spans="3:7" x14ac:dyDescent="0.2">
      <c r="C60" s="41">
        <v>2750</v>
      </c>
      <c r="D60" s="35">
        <v>36.86</v>
      </c>
      <c r="E60" s="35">
        <v>83.49</v>
      </c>
      <c r="F60" s="35">
        <v>263.58</v>
      </c>
      <c r="G60" s="36">
        <v>28.05</v>
      </c>
    </row>
    <row r="61" spans="3:7" x14ac:dyDescent="0.2">
      <c r="C61" s="41">
        <v>2800</v>
      </c>
      <c r="D61" s="35">
        <v>36.89</v>
      </c>
      <c r="E61" s="35">
        <v>85.33</v>
      </c>
      <c r="F61" s="35">
        <v>264.25</v>
      </c>
      <c r="G61" s="36">
        <v>28.12</v>
      </c>
    </row>
    <row r="62" spans="3:7" x14ac:dyDescent="0.2">
      <c r="C62" s="41">
        <v>2850</v>
      </c>
      <c r="D62" s="35">
        <v>36.93</v>
      </c>
      <c r="E62" s="35">
        <v>87.18</v>
      </c>
      <c r="F62" s="37">
        <v>264.89999999999998</v>
      </c>
      <c r="G62" s="36">
        <v>28.18</v>
      </c>
    </row>
    <row r="63" spans="3:7" x14ac:dyDescent="0.2">
      <c r="C63" s="41">
        <v>2900</v>
      </c>
      <c r="D63" s="35">
        <v>36.96</v>
      </c>
      <c r="E63" s="35">
        <v>89.03</v>
      </c>
      <c r="F63" s="35">
        <v>265.54000000000002</v>
      </c>
      <c r="G63" s="36">
        <v>28.25</v>
      </c>
    </row>
    <row r="64" spans="3:7" x14ac:dyDescent="0.2">
      <c r="C64" s="41">
        <v>2950</v>
      </c>
      <c r="D64" s="35">
        <v>36.99</v>
      </c>
      <c r="E64" s="35">
        <v>90.88</v>
      </c>
      <c r="F64" s="35">
        <v>266.17</v>
      </c>
      <c r="G64" s="36">
        <v>28.31</v>
      </c>
    </row>
    <row r="65" spans="3:7" x14ac:dyDescent="0.2">
      <c r="C65" s="41">
        <v>3000</v>
      </c>
      <c r="D65" s="35">
        <v>37.03</v>
      </c>
      <c r="E65" s="35">
        <v>92.73</v>
      </c>
      <c r="F65" s="37">
        <v>266.8</v>
      </c>
      <c r="G65" s="36">
        <v>28.37</v>
      </c>
    </row>
    <row r="66" spans="3:7" x14ac:dyDescent="0.2">
      <c r="C66" s="41">
        <v>3050</v>
      </c>
      <c r="D66" s="35">
        <v>37.06</v>
      </c>
      <c r="E66" s="35">
        <v>94.58</v>
      </c>
      <c r="F66" s="35">
        <v>267.41000000000003</v>
      </c>
      <c r="G66" s="36">
        <v>28.43</v>
      </c>
    </row>
    <row r="67" spans="3:7" x14ac:dyDescent="0.2">
      <c r="C67" s="41">
        <v>3100</v>
      </c>
      <c r="D67" s="35">
        <v>37.090000000000003</v>
      </c>
      <c r="E67" s="35">
        <v>96.43</v>
      </c>
      <c r="F67" s="35">
        <v>268.01</v>
      </c>
      <c r="G67" s="36">
        <v>28.49</v>
      </c>
    </row>
    <row r="68" spans="3:7" x14ac:dyDescent="0.2">
      <c r="C68" s="41">
        <v>3150</v>
      </c>
      <c r="D68" s="35">
        <v>37.11</v>
      </c>
      <c r="E68" s="35">
        <v>98.29</v>
      </c>
      <c r="F68" s="35">
        <v>268.61</v>
      </c>
      <c r="G68" s="36">
        <v>28.55</v>
      </c>
    </row>
    <row r="69" spans="3:7" x14ac:dyDescent="0.2">
      <c r="C69" s="41">
        <v>3200</v>
      </c>
      <c r="D69" s="35">
        <v>37.14</v>
      </c>
      <c r="E69" s="35">
        <v>100.14</v>
      </c>
      <c r="F69" s="35">
        <v>269.19</v>
      </c>
      <c r="G69" s="36">
        <v>28.61</v>
      </c>
    </row>
    <row r="70" spans="3:7" x14ac:dyDescent="0.2">
      <c r="C70" s="41">
        <v>3250</v>
      </c>
      <c r="D70" s="35">
        <v>37.17</v>
      </c>
      <c r="E70" s="38">
        <v>102</v>
      </c>
      <c r="F70" s="35">
        <v>269.77</v>
      </c>
      <c r="G70" s="36">
        <v>28.67</v>
      </c>
    </row>
    <row r="71" spans="3:7" x14ac:dyDescent="0.2">
      <c r="C71" s="41">
        <v>3300</v>
      </c>
      <c r="D71" s="37">
        <v>37.200000000000003</v>
      </c>
      <c r="E71" s="35">
        <v>103.86</v>
      </c>
      <c r="F71" s="35">
        <v>270.33</v>
      </c>
      <c r="G71" s="36">
        <v>28.73</v>
      </c>
    </row>
    <row r="72" spans="3:7" x14ac:dyDescent="0.2">
      <c r="C72" s="41">
        <v>3350</v>
      </c>
      <c r="D72" s="35">
        <v>37.22</v>
      </c>
      <c r="E72" s="35">
        <v>105.72</v>
      </c>
      <c r="F72" s="35">
        <v>270.89</v>
      </c>
      <c r="G72" s="36">
        <v>28.79</v>
      </c>
    </row>
    <row r="73" spans="3:7" x14ac:dyDescent="0.2">
      <c r="C73" s="41">
        <v>3400</v>
      </c>
      <c r="D73" s="35">
        <v>37.25</v>
      </c>
      <c r="E73" s="35">
        <v>107.58</v>
      </c>
      <c r="F73" s="35">
        <v>271.45</v>
      </c>
      <c r="G73" s="36">
        <v>28.84</v>
      </c>
    </row>
    <row r="74" spans="3:7" x14ac:dyDescent="0.2">
      <c r="C74" s="41">
        <v>3450</v>
      </c>
      <c r="D74" s="35">
        <v>37.270000000000003</v>
      </c>
      <c r="E74" s="35">
        <v>109.45</v>
      </c>
      <c r="F74" s="35">
        <v>271.99</v>
      </c>
      <c r="G74" s="40">
        <v>28.9</v>
      </c>
    </row>
    <row r="75" spans="3:7" ht="15.75" thickBot="1" x14ac:dyDescent="0.25">
      <c r="C75" s="42">
        <v>3500</v>
      </c>
      <c r="D75" s="62">
        <v>37.299999999999997</v>
      </c>
      <c r="E75" s="43">
        <v>111.31</v>
      </c>
      <c r="F75" s="43">
        <v>272.52999999999997</v>
      </c>
      <c r="G75" s="44">
        <v>28.95</v>
      </c>
    </row>
  </sheetData>
  <mergeCells count="3">
    <mergeCell ref="C6:G6"/>
    <mergeCell ref="I4:Q4"/>
    <mergeCell ref="A1:E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1"/>
  <sheetViews>
    <sheetView zoomScale="70" zoomScaleNormal="70" workbookViewId="0">
      <selection activeCell="I9" sqref="I9"/>
    </sheetView>
  </sheetViews>
  <sheetFormatPr defaultRowHeight="15" x14ac:dyDescent="0.25"/>
  <cols>
    <col min="1" max="1" width="19.42578125" style="1" customWidth="1"/>
    <col min="2" max="2" width="14.28515625" style="1" customWidth="1"/>
    <col min="3" max="3" width="44.5703125" style="1" bestFit="1" customWidth="1"/>
    <col min="4" max="4" width="24.85546875" style="1" bestFit="1" customWidth="1"/>
    <col min="5" max="5" width="16" style="1" customWidth="1"/>
    <col min="6" max="6" width="44.5703125" style="1" bestFit="1" customWidth="1"/>
    <col min="7" max="7" width="24.85546875" style="1" bestFit="1" customWidth="1"/>
    <col min="8" max="8" width="29" style="1" customWidth="1"/>
    <col min="9" max="9" width="44.5703125" style="1" bestFit="1" customWidth="1"/>
    <col min="10" max="10" width="24.85546875" style="1" bestFit="1" customWidth="1"/>
    <col min="11" max="11" width="33" style="1" customWidth="1"/>
    <col min="12" max="12" width="44.5703125" style="1" bestFit="1" customWidth="1"/>
    <col min="13" max="13" width="24.85546875" style="1" bestFit="1" customWidth="1"/>
    <col min="14" max="14" width="28.7109375" style="1" customWidth="1"/>
    <col min="15" max="15" width="44.5703125" style="1" bestFit="1" customWidth="1"/>
    <col min="16" max="16" width="24.85546875" style="1" bestFit="1" customWidth="1"/>
    <col min="17" max="17" width="44.5703125" style="1" bestFit="1" customWidth="1"/>
    <col min="18" max="18" width="24.28515625" style="1" bestFit="1" customWidth="1"/>
    <col min="19" max="16384" width="9.140625" style="1"/>
  </cols>
  <sheetData>
    <row r="1" spans="1:36" ht="15" customHeight="1" x14ac:dyDescent="0.25">
      <c r="A1" s="314" t="s">
        <v>204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6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</row>
    <row r="2" spans="1:36" ht="15" customHeight="1" x14ac:dyDescent="0.25">
      <c r="A2" s="317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9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</row>
    <row r="3" spans="1:36" ht="15.75" customHeight="1" thickBot="1" x14ac:dyDescent="0.3">
      <c r="A3" s="320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2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</row>
    <row r="4" spans="1:36" ht="15.75" thickBot="1" x14ac:dyDescent="0.3">
      <c r="G4" s="31" t="s">
        <v>68</v>
      </c>
      <c r="H4" s="323" t="s">
        <v>81</v>
      </c>
      <c r="I4" s="324"/>
    </row>
    <row r="5" spans="1:36" ht="15.75" thickBot="1" x14ac:dyDescent="0.3">
      <c r="G5" s="3" t="s">
        <v>121</v>
      </c>
      <c r="H5" s="327" t="str">
        <f>IF(G5='Fuel listing'!D22,'Fuel listing'!C22,IF('Molar Enthalpy'!G5='Fuel listing'!D27,'Fuel listing'!C27))</f>
        <v>C8H18</v>
      </c>
      <c r="I5" s="328"/>
    </row>
    <row r="11" spans="1:36" ht="15.75" thickBot="1" x14ac:dyDescent="0.3"/>
    <row r="12" spans="1:36" ht="18.75" thickBot="1" x14ac:dyDescent="0.3">
      <c r="A12" s="178"/>
      <c r="C12" s="323" t="s">
        <v>13</v>
      </c>
      <c r="D12" s="324"/>
      <c r="F12" s="323" t="s">
        <v>14</v>
      </c>
      <c r="G12" s="324"/>
      <c r="I12" s="323" t="s">
        <v>141</v>
      </c>
      <c r="J12" s="324"/>
      <c r="L12" s="325" t="s">
        <v>147</v>
      </c>
      <c r="M12" s="326"/>
    </row>
    <row r="13" spans="1:36" ht="15.75" thickBot="1" x14ac:dyDescent="0.3">
      <c r="A13" s="178"/>
      <c r="B13" s="84" t="s">
        <v>75</v>
      </c>
      <c r="C13" s="27" t="s">
        <v>164</v>
      </c>
      <c r="D13" s="2" t="s">
        <v>144</v>
      </c>
      <c r="F13" s="104" t="s">
        <v>164</v>
      </c>
      <c r="G13" s="28" t="s">
        <v>144</v>
      </c>
      <c r="I13" s="104" t="s">
        <v>164</v>
      </c>
      <c r="J13" s="28" t="s">
        <v>144</v>
      </c>
      <c r="L13" s="104" t="s">
        <v>164</v>
      </c>
      <c r="M13" s="28" t="s">
        <v>144</v>
      </c>
    </row>
    <row r="14" spans="1:36" x14ac:dyDescent="0.25">
      <c r="A14" s="178"/>
      <c r="B14" s="85">
        <v>200</v>
      </c>
      <c r="C14" s="32">
        <f>((8.5770134353*10^-19)*(B14^6))-((1.0374875556*10^-14)*(B14^5))+((4.9689475953*10^-11)*(B14^4))-((1.2019118054*10^-7)*(B14^3))+((1.5650954893*10^-4)*(B14^2))-((4.8239362033*10^-2)*(B14))+((5.2084519626))</f>
        <v>0.93567016311286633</v>
      </c>
      <c r="D14" s="29">
        <f>C14*Fuels!$C$13</f>
        <v>7.4853613049029306</v>
      </c>
      <c r="F14" s="29">
        <f t="shared" ref="F14:F45" si="0">((6.6506859177*10^-19)*(B14^6))-((7.8984343104*10^-15)*(B14^5))+((3.6879849877*10^-11)*(B14^4))-((8.6386228559*10^-8)*(B14^3))+((1.1074017861*10^-4)*(B14^2))-((3.1241611608*10^-2)*(B14))+(3.3006694533)</f>
        <v>0.84738727284174553</v>
      </c>
      <c r="G14" s="29">
        <f>F14*Fuels!$C$14</f>
        <v>7.6264854555757093</v>
      </c>
      <c r="I14" s="29">
        <f t="shared" ref="I14:I45" si="1">((6.4958291549*10^-19)*(B14^6))-((7.8224528491*10^-15)*(B14^5))+((3.7120417697*10^-11)*(B14^4))-((8.798317617*10^-8)*(B14^3))+((1.0982327235*10^-4)*(B14^2))-((3.2606444641*10^-2)*(B14))+((3.5786489003))</f>
        <v>0.80335651345007886</v>
      </c>
      <c r="J14" s="29">
        <f>I14*(Fuels!$C$16/2)</f>
        <v>10.041956418125986</v>
      </c>
      <c r="L14" s="29">
        <f t="shared" ref="L14:L45" si="2">((5.9376621671*10^-19)*(B14^6))-((7.1020711589*10^-15)*(B14^5))+((3.3460896805*10^-11)*(B14^4))-((7.8909601634*10^-8)*(B14^3))+((9.8599769212*10^-5)*(B14^2))-((2.8172899156*10^-2)*(B14))+(3.05378908)</f>
        <v>0.78322597736302146</v>
      </c>
      <c r="M14" s="29">
        <f>L14*Fuels!$C$15</f>
        <v>36.83026171432325</v>
      </c>
    </row>
    <row r="15" spans="1:36" x14ac:dyDescent="0.25">
      <c r="A15" s="178"/>
      <c r="B15" s="87">
        <v>250</v>
      </c>
      <c r="C15" s="88">
        <f t="shared" ref="C15:C78" si="3">((8.5770134353*10^-19)*(B15^6))-((1.0374875556*10^-14)*(B15^5))+((4.9689475953*10^-11)*(B15^4))-((1.2019118054*10^-7)*(B15^3))+((1.5650954893*10^-4)*(B15^2))-((4.8239362033*10^-2)*(B15))+((5.2084519626))</f>
        <v>1.236648267310823</v>
      </c>
      <c r="D15" s="86">
        <f>C15*Fuels!$C$13</f>
        <v>9.893186138486584</v>
      </c>
      <c r="F15" s="86">
        <f t="shared" si="0"/>
        <v>1.1982538622780692</v>
      </c>
      <c r="G15" s="86">
        <f>F15*Fuels!$C$14</f>
        <v>10.784284760502622</v>
      </c>
      <c r="I15" s="86">
        <f t="shared" si="1"/>
        <v>1.053776241366184</v>
      </c>
      <c r="J15" s="86">
        <f>I15*(Fuels!$C$16/2)</f>
        <v>13.172203017077299</v>
      </c>
      <c r="L15" s="86">
        <f t="shared" si="2"/>
        <v>1.0640033154524198</v>
      </c>
      <c r="M15" s="86">
        <f>L15*Fuels!$C$15</f>
        <v>50.033479105171502</v>
      </c>
    </row>
    <row r="16" spans="1:36" x14ac:dyDescent="0.25">
      <c r="A16" s="178"/>
      <c r="B16" s="87">
        <v>298</v>
      </c>
      <c r="C16" s="88">
        <f t="shared" si="3"/>
        <v>1.919183331362504</v>
      </c>
      <c r="D16" s="86">
        <f>C16*Fuels!$C$13</f>
        <v>15.353466650900032</v>
      </c>
      <c r="F16" s="86">
        <f t="shared" si="0"/>
        <v>1.8114940179869028</v>
      </c>
      <c r="G16" s="86">
        <f>F16*Fuels!$C$14</f>
        <v>16.303446161882125</v>
      </c>
      <c r="I16" s="86">
        <f t="shared" si="1"/>
        <v>1.5611321786429153</v>
      </c>
      <c r="J16" s="86">
        <f>I16*(Fuels!$C$16/2)</f>
        <v>19.514152233036441</v>
      </c>
      <c r="L16" s="86">
        <f t="shared" si="2"/>
        <v>1.5736906422910093</v>
      </c>
      <c r="M16" s="86">
        <f>L16*Fuels!$C$15</f>
        <v>74.000914024963961</v>
      </c>
    </row>
    <row r="17" spans="1:13" x14ac:dyDescent="0.25">
      <c r="A17" s="178"/>
      <c r="B17" s="87">
        <v>300</v>
      </c>
      <c r="C17" s="88">
        <f t="shared" si="3"/>
        <v>1.955239953717653</v>
      </c>
      <c r="D17" s="86">
        <f>C17*Fuels!$C$13</f>
        <v>15.641919629741224</v>
      </c>
      <c r="F17" s="86">
        <f t="shared" si="0"/>
        <v>1.84239229833983</v>
      </c>
      <c r="G17" s="86">
        <f>F17*Fuels!$C$14</f>
        <v>16.581530685058471</v>
      </c>
      <c r="I17" s="86">
        <f t="shared" si="1"/>
        <v>1.5874046317777788</v>
      </c>
      <c r="J17" s="86">
        <f>I17*(Fuels!$C$16/2)</f>
        <v>19.842557897222235</v>
      </c>
      <c r="L17" s="86">
        <f t="shared" si="2"/>
        <v>1.5995474049383547</v>
      </c>
      <c r="M17" s="86">
        <f>L17*Fuels!$C$15</f>
        <v>75.216797260340201</v>
      </c>
    </row>
    <row r="18" spans="1:13" x14ac:dyDescent="0.25">
      <c r="A18" s="178"/>
      <c r="B18" s="87">
        <v>350</v>
      </c>
      <c r="C18" s="88">
        <f t="shared" si="3"/>
        <v>3.0366367190292554</v>
      </c>
      <c r="D18" s="86">
        <f>C18*Fuels!$C$13</f>
        <v>24.293093752234043</v>
      </c>
      <c r="F18" s="86">
        <f t="shared" si="0"/>
        <v>2.7411344827504718</v>
      </c>
      <c r="G18" s="86">
        <f>F18*Fuels!$C$14</f>
        <v>24.670210344754246</v>
      </c>
      <c r="I18" s="86">
        <f t="shared" si="1"/>
        <v>2.3646128454726076</v>
      </c>
      <c r="J18" s="86">
        <f>I18*(Fuels!$C$16/2)</f>
        <v>29.557660568407595</v>
      </c>
      <c r="L18" s="86">
        <f t="shared" si="2"/>
        <v>2.3544096071528604</v>
      </c>
      <c r="M18" s="86">
        <f>L18*Fuels!$C$15</f>
        <v>110.71328648483468</v>
      </c>
    </row>
    <row r="19" spans="1:13" x14ac:dyDescent="0.25">
      <c r="A19" s="178"/>
      <c r="B19" s="87">
        <v>400</v>
      </c>
      <c r="C19" s="88">
        <f t="shared" si="3"/>
        <v>4.4313244270464605</v>
      </c>
      <c r="D19" s="86">
        <f>C19*Fuels!$C$13</f>
        <v>35.450595416371684</v>
      </c>
      <c r="F19" s="86">
        <f t="shared" si="0"/>
        <v>3.8597030703885946</v>
      </c>
      <c r="G19" s="86">
        <f>F19*Fuels!$C$14</f>
        <v>34.737327633497351</v>
      </c>
      <c r="I19" s="86">
        <f t="shared" si="1"/>
        <v>3.3497128125102611</v>
      </c>
      <c r="J19" s="86">
        <f>I19*(Fuels!$C$16/2)</f>
        <v>41.871410156378261</v>
      </c>
      <c r="L19" s="86">
        <f t="shared" si="2"/>
        <v>3.2966838029085079</v>
      </c>
      <c r="M19" s="86">
        <f>L19*Fuels!$C$15</f>
        <v>155.02259981120909</v>
      </c>
    </row>
    <row r="20" spans="1:13" x14ac:dyDescent="0.25">
      <c r="B20" s="87">
        <v>450</v>
      </c>
      <c r="C20" s="88">
        <f t="shared" si="3"/>
        <v>6.0947569702524245</v>
      </c>
      <c r="D20" s="86">
        <f>C20*Fuels!$C$13</f>
        <v>48.758055762019396</v>
      </c>
      <c r="F20" s="86">
        <f t="shared" si="0"/>
        <v>5.1669639111420871</v>
      </c>
      <c r="G20" s="86">
        <f>F20*Fuels!$C$14</f>
        <v>46.502675200278787</v>
      </c>
      <c r="I20" s="86">
        <f t="shared" si="1"/>
        <v>4.5107113909910543</v>
      </c>
      <c r="J20" s="86">
        <f>I20*(Fuels!$C$16/2)</f>
        <v>56.38389238738818</v>
      </c>
      <c r="L20" s="86">
        <f t="shared" si="2"/>
        <v>4.3977834839845453</v>
      </c>
      <c r="M20" s="86">
        <f>L20*Fuels!$C$15</f>
        <v>206.80049099419247</v>
      </c>
    </row>
    <row r="21" spans="1:13" x14ac:dyDescent="0.25">
      <c r="B21" s="87">
        <v>500</v>
      </c>
      <c r="C21" s="88">
        <f t="shared" si="3"/>
        <v>7.9870395805301602</v>
      </c>
      <c r="D21" s="86">
        <f>C21*Fuels!$C$13</f>
        <v>63.896316644241281</v>
      </c>
      <c r="F21" s="86">
        <f t="shared" si="0"/>
        <v>6.6351859737839085</v>
      </c>
      <c r="G21" s="86">
        <f>F21*Fuels!$C$14</f>
        <v>59.716673764055173</v>
      </c>
      <c r="I21" s="86">
        <f t="shared" si="1"/>
        <v>5.8190718336326563</v>
      </c>
      <c r="J21" s="86">
        <f>I21*(Fuels!$C$16/2)</f>
        <v>72.738397920408204</v>
      </c>
      <c r="L21" s="86">
        <f t="shared" si="2"/>
        <v>5.6322255244829673</v>
      </c>
      <c r="M21" s="86">
        <f>L21*Fuels!$C$15</f>
        <v>264.84864661818216</v>
      </c>
    </row>
    <row r="22" spans="1:13" x14ac:dyDescent="0.25">
      <c r="B22" s="87">
        <v>550</v>
      </c>
      <c r="C22" s="88">
        <f t="shared" si="3"/>
        <v>10.072621789020113</v>
      </c>
      <c r="D22" s="86">
        <f>C22*Fuels!$C$13</f>
        <v>80.580974312160905</v>
      </c>
      <c r="F22" s="86">
        <f t="shared" si="0"/>
        <v>8.2398087518695426</v>
      </c>
      <c r="G22" s="86">
        <f>F22*Fuels!$C$14</f>
        <v>74.158278766825887</v>
      </c>
      <c r="I22" s="86">
        <f t="shared" si="1"/>
        <v>7.2494825621545518</v>
      </c>
      <c r="J22" s="86">
        <f>I22*(Fuels!$C$16/2)</f>
        <v>90.618532026931902</v>
      </c>
      <c r="L22" s="86">
        <f t="shared" si="2"/>
        <v>6.9774206320545442</v>
      </c>
      <c r="M22" s="86">
        <f>L22*Fuels!$C$15</f>
        <v>328.10483231760651</v>
      </c>
    </row>
    <row r="23" spans="1:13" x14ac:dyDescent="0.25">
      <c r="B23" s="87">
        <v>600</v>
      </c>
      <c r="C23" s="88">
        <f t="shared" si="3"/>
        <v>12.320000035117973</v>
      </c>
      <c r="D23" s="86">
        <f>C23*Fuels!$C$13</f>
        <v>98.560000280943783</v>
      </c>
      <c r="F23" s="86">
        <f t="shared" si="0"/>
        <v>9.959217151656123</v>
      </c>
      <c r="G23" s="86">
        <f>F23*Fuels!$C$14</f>
        <v>89.632954364905103</v>
      </c>
      <c r="I23" s="86">
        <f t="shared" si="1"/>
        <v>8.7796332494702831</v>
      </c>
      <c r="J23" s="86">
        <f>I23*(Fuels!$C$16/2)</f>
        <v>109.74541561837854</v>
      </c>
      <c r="L23" s="86">
        <f t="shared" si="2"/>
        <v>8.4134704789947587</v>
      </c>
      <c r="M23" s="86">
        <f>L23*Fuels!$C$15</f>
        <v>395.63335311015373</v>
      </c>
    </row>
    <row r="24" spans="1:13" x14ac:dyDescent="0.25">
      <c r="B24" s="87">
        <v>650</v>
      </c>
      <c r="C24" s="88">
        <f t="shared" si="3"/>
        <v>14.701429924612468</v>
      </c>
      <c r="D24" s="86">
        <f>C24*Fuels!$C$13</f>
        <v>117.61143939689974</v>
      </c>
      <c r="F24" s="86">
        <f t="shared" si="0"/>
        <v>11.774523862043139</v>
      </c>
      <c r="G24" s="86">
        <f>F24*Fuels!$C$14</f>
        <v>105.97071475838825</v>
      </c>
      <c r="I24" s="86">
        <f t="shared" si="1"/>
        <v>10.389998209687537</v>
      </c>
      <c r="J24" s="86">
        <f>I24*(Fuels!$C$16/2)</f>
        <v>129.87497762109422</v>
      </c>
      <c r="L24" s="86">
        <f t="shared" si="2"/>
        <v>9.9229715132097009</v>
      </c>
      <c r="M24" s="86">
        <f>L24*Fuels!$C$15</f>
        <v>466.61582784287037</v>
      </c>
    </row>
    <row r="25" spans="1:13" x14ac:dyDescent="0.25">
      <c r="B25" s="87">
        <v>700</v>
      </c>
      <c r="C25" s="88">
        <f t="shared" si="3"/>
        <v>17.192648136963342</v>
      </c>
      <c r="D25" s="86">
        <f>C25*Fuels!$C$13</f>
        <v>137.54118509570674</v>
      </c>
      <c r="F25" s="86">
        <f t="shared" si="0"/>
        <v>13.669359206534931</v>
      </c>
      <c r="G25" s="86">
        <f>F25*Fuels!$C$14</f>
        <v>123.02423285881439</v>
      </c>
      <c r="I25" s="86">
        <f t="shared" si="1"/>
        <v>12.063627095915948</v>
      </c>
      <c r="J25" s="86">
        <f>I25*(Fuels!$C$16/2)</f>
        <v>150.79533869894934</v>
      </c>
      <c r="L25" s="86">
        <f t="shared" si="2"/>
        <v>11.490825449051888</v>
      </c>
      <c r="M25" s="86">
        <f>L25*Fuels!$C$15</f>
        <v>540.34227775112618</v>
      </c>
    </row>
    <row r="26" spans="1:13" x14ac:dyDescent="0.25">
      <c r="B26" s="87">
        <v>750</v>
      </c>
      <c r="C26" s="88">
        <f t="shared" si="3"/>
        <v>19.772603981719477</v>
      </c>
      <c r="D26" s="86">
        <f>C26*Fuels!$C$13</f>
        <v>158.18083185375582</v>
      </c>
      <c r="F26" s="86">
        <f t="shared" si="0"/>
        <v>15.629668477224701</v>
      </c>
      <c r="G26" s="86">
        <f>F26*Fuels!$C$14</f>
        <v>140.66701629502231</v>
      </c>
      <c r="I26" s="86">
        <f t="shared" si="1"/>
        <v>13.78594290588277</v>
      </c>
      <c r="J26" s="86">
        <f>I26*(Fuels!$C$16/2)</f>
        <v>172.32428632353464</v>
      </c>
      <c r="L26" s="86">
        <f t="shared" si="2"/>
        <v>13.104056438026069</v>
      </c>
      <c r="M26" s="86">
        <f>L26*Fuels!$C$15</f>
        <v>616.20252913045022</v>
      </c>
    </row>
    <row r="27" spans="1:13" x14ac:dyDescent="0.25">
      <c r="B27" s="87">
        <v>800</v>
      </c>
      <c r="C27" s="88">
        <f t="shared" si="3"/>
        <v>22.42320060407706</v>
      </c>
      <c r="D27" s="86">
        <f>C27*Fuels!$C$13</f>
        <v>179.38560483261648</v>
      </c>
      <c r="F27" s="86">
        <f t="shared" si="0"/>
        <v>17.643516750800291</v>
      </c>
      <c r="G27" s="86">
        <f>F27*Fuels!$C$14</f>
        <v>158.79165075720263</v>
      </c>
      <c r="I27" s="86">
        <f t="shared" si="1"/>
        <v>15.544547295356313</v>
      </c>
      <c r="J27" s="86">
        <f>I27*(Fuels!$C$16/2)</f>
        <v>194.30684119195391</v>
      </c>
      <c r="L27" s="86">
        <f t="shared" si="2"/>
        <v>14.751634919364873</v>
      </c>
      <c r="M27" s="86">
        <f>L27*Fuels!$C$15</f>
        <v>693.67793012122991</v>
      </c>
    </row>
    <row r="28" spans="1:13" x14ac:dyDescent="0.25">
      <c r="B28" s="87">
        <v>850</v>
      </c>
      <c r="C28" s="88">
        <f t="shared" si="3"/>
        <v>25.12904583957787</v>
      </c>
      <c r="D28" s="86">
        <f>C28*Fuels!$C$13</f>
        <v>201.03236671662296</v>
      </c>
      <c r="F28" s="86">
        <f t="shared" si="0"/>
        <v>19.700901186571574</v>
      </c>
      <c r="G28" s="86">
        <f>F28*Fuels!$C$14</f>
        <v>177.30811067914416</v>
      </c>
      <c r="I28" s="86">
        <f t="shared" si="1"/>
        <v>17.32903319937726</v>
      </c>
      <c r="J28" s="86">
        <f>I28*(Fuels!$C$16/2)</f>
        <v>216.61291499221576</v>
      </c>
      <c r="L28" s="86">
        <f t="shared" si="2"/>
        <v>16.424308150474481</v>
      </c>
      <c r="M28" s="86">
        <f>L28*Fuels!$C$15</f>
        <v>772.33338160628193</v>
      </c>
    </row>
    <row r="29" spans="1:13" x14ac:dyDescent="0.25">
      <c r="B29" s="87">
        <v>900</v>
      </c>
      <c r="C29" s="88">
        <f t="shared" si="3"/>
        <v>27.877212717947806</v>
      </c>
      <c r="D29" s="86">
        <f>C29*Fuels!$C$13</f>
        <v>223.01770174358245</v>
      </c>
      <c r="F29" s="86">
        <f t="shared" si="0"/>
        <v>21.793570806519451</v>
      </c>
      <c r="G29" s="86">
        <f>F29*Fuels!$C$14</f>
        <v>196.14213725867506</v>
      </c>
      <c r="I29" s="86">
        <f t="shared" si="1"/>
        <v>19.130804761297554</v>
      </c>
      <c r="J29" s="86">
        <f>I29*(Fuels!$C$16/2)</f>
        <v>239.13505951621943</v>
      </c>
      <c r="L29" s="86">
        <f t="shared" si="2"/>
        <v>18.114437417250222</v>
      </c>
      <c r="M29" s="86">
        <f>L29*Fuels!$C$15</f>
        <v>851.80968222129104</v>
      </c>
    </row>
    <row r="30" spans="1:13" x14ac:dyDescent="0.25">
      <c r="B30" s="87">
        <v>950</v>
      </c>
      <c r="C30" s="88">
        <f t="shared" si="3"/>
        <v>30.657009616075264</v>
      </c>
      <c r="D30" s="86">
        <f>C30*Fuels!$C$13</f>
        <v>245.25607692860211</v>
      </c>
      <c r="F30" s="86">
        <f t="shared" si="0"/>
        <v>23.914853757366654</v>
      </c>
      <c r="G30" s="86">
        <f>F30*Fuels!$C$14</f>
        <v>215.23368381629987</v>
      </c>
      <c r="I30" s="86">
        <f t="shared" si="1"/>
        <v>20.942904569627466</v>
      </c>
      <c r="J30" s="86">
        <f>I30*(Fuels!$C$16/2)</f>
        <v>261.78630712034334</v>
      </c>
      <c r="L30" s="86">
        <f t="shared" si="2"/>
        <v>19.815841924262031</v>
      </c>
      <c r="M30" s="86">
        <f>L30*Fuels!$C$15</f>
        <v>931.81618747811297</v>
      </c>
    </row>
    <row r="31" spans="1:13" x14ac:dyDescent="0.25">
      <c r="B31" s="89">
        <v>1000</v>
      </c>
      <c r="C31" s="88">
        <f t="shared" si="3"/>
        <v>33.459760060130023</v>
      </c>
      <c r="D31" s="86">
        <f>C31*Fuels!$C$13</f>
        <v>267.67808048104018</v>
      </c>
      <c r="F31" s="86">
        <f t="shared" si="0"/>
        <v>26.059492054670013</v>
      </c>
      <c r="G31" s="86">
        <f>F31*Fuels!$C$14</f>
        <v>234.53542849203012</v>
      </c>
      <c r="I31" s="86">
        <f t="shared" si="1"/>
        <v>22.759848202689998</v>
      </c>
      <c r="J31" s="86">
        <f>I31*(Fuels!$C$16/2)</f>
        <v>284.498102533625</v>
      </c>
      <c r="L31" s="86">
        <f t="shared" si="2"/>
        <v>21.523649364809998</v>
      </c>
      <c r="M31" s="86">
        <f>L31*Fuels!$C$15</f>
        <v>1012.1237830009524</v>
      </c>
    </row>
    <row r="32" spans="1:13" x14ac:dyDescent="0.25">
      <c r="B32" s="89">
        <v>1050</v>
      </c>
      <c r="C32" s="88">
        <f t="shared" si="3"/>
        <v>36.278592176821746</v>
      </c>
      <c r="D32" s="86">
        <f>C32*Fuels!$C$13</f>
        <v>290.22873741457397</v>
      </c>
      <c r="F32" s="86">
        <f t="shared" si="0"/>
        <v>28.223483808934535</v>
      </c>
      <c r="G32" s="86">
        <f>F32*Fuels!$C$14</f>
        <v>254.01135428041081</v>
      </c>
      <c r="I32" s="86">
        <f t="shared" si="1"/>
        <v>24.577466081083561</v>
      </c>
      <c r="J32" s="86">
        <f>I32*(Fuels!$C$16/2)</f>
        <v>307.21832601354453</v>
      </c>
      <c r="L32" s="86">
        <f t="shared" si="2"/>
        <v>23.234153170849673</v>
      </c>
      <c r="M32" s="86">
        <f>L32*Fuels!$C$15</f>
        <v>1092.5581718754008</v>
      </c>
    </row>
    <row r="33" spans="2:13" x14ac:dyDescent="0.25">
      <c r="B33" s="89">
        <v>1100</v>
      </c>
      <c r="C33" s="88">
        <f t="shared" si="3"/>
        <v>39.108237793799084</v>
      </c>
      <c r="D33" s="86">
        <f>C33*Fuels!$C$13</f>
        <v>312.86590235039267</v>
      </c>
      <c r="F33" s="86">
        <f t="shared" si="0"/>
        <v>30.403932933749044</v>
      </c>
      <c r="G33" s="86">
        <f>F33*Fuels!$C$14</f>
        <v>273.63539640374137</v>
      </c>
      <c r="I33" s="86">
        <f t="shared" si="1"/>
        <v>26.392752627952046</v>
      </c>
      <c r="J33" s="86">
        <f>I33*(Fuels!$C$16/2)</f>
        <v>329.90940784940057</v>
      </c>
      <c r="L33" s="86">
        <f t="shared" si="2"/>
        <v>24.94467644278744</v>
      </c>
      <c r="M33" s="86">
        <f>L33*Fuels!$C$15</f>
        <v>1172.993476110348</v>
      </c>
    </row>
    <row r="34" spans="2:13" x14ac:dyDescent="0.25">
      <c r="B34" s="89">
        <v>1150</v>
      </c>
      <c r="C34" s="88">
        <f t="shared" si="3"/>
        <v>41.944841189188665</v>
      </c>
      <c r="D34" s="86">
        <f>C34*Fuels!$C$13</f>
        <v>335.55872951350932</v>
      </c>
      <c r="F34" s="86">
        <f t="shared" si="0"/>
        <v>32.598906335943617</v>
      </c>
      <c r="G34" s="86">
        <f>F34*Fuels!$C$14</f>
        <v>293.39015702349258</v>
      </c>
      <c r="I34" s="86">
        <f t="shared" si="1"/>
        <v>28.203722737062964</v>
      </c>
      <c r="J34" s="86">
        <f>I34*(Fuels!$C$16/2)</f>
        <v>352.54653421328703</v>
      </c>
      <c r="L34" s="86">
        <f t="shared" si="2"/>
        <v>26.653442559145809</v>
      </c>
      <c r="M34" s="86">
        <f>L34*Fuels!$C$15</f>
        <v>1253.3461522127607</v>
      </c>
    </row>
    <row r="35" spans="2:13" x14ac:dyDescent="0.25">
      <c r="B35" s="89">
        <v>1200</v>
      </c>
      <c r="C35" s="88">
        <f t="shared" si="3"/>
        <v>44.785777490273972</v>
      </c>
      <c r="D35" s="86">
        <f>C35*Fuels!$C$13</f>
        <v>358.28621992219178</v>
      </c>
      <c r="F35" s="86">
        <f t="shared" si="0"/>
        <v>34.807298587768443</v>
      </c>
      <c r="G35" s="86">
        <f>F35*Fuels!$C$14</f>
        <v>313.265687289916</v>
      </c>
      <c r="I35" s="86">
        <f t="shared" si="1"/>
        <v>30.009275548693171</v>
      </c>
      <c r="J35" s="86">
        <f>I35*(Fuels!$C$16/2)</f>
        <v>375.11594435866465</v>
      </c>
      <c r="L35" s="86">
        <f t="shared" si="2"/>
        <v>28.359452466098546</v>
      </c>
      <c r="M35" s="86">
        <f>L35*Fuels!$C$15</f>
        <v>1333.5692208753248</v>
      </c>
    </row>
    <row r="36" spans="2:13" x14ac:dyDescent="0.25">
      <c r="B36" s="89">
        <v>1250</v>
      </c>
      <c r="C36" s="88">
        <f t="shared" si="3"/>
        <v>47.629480721314927</v>
      </c>
      <c r="D36" s="86">
        <f>C36*Fuels!$C$13</f>
        <v>381.03584577051942</v>
      </c>
      <c r="F36" s="86">
        <f t="shared" si="0"/>
        <v>37.028704081094538</v>
      </c>
      <c r="G36" s="86">
        <f>F36*Fuels!$C$14</f>
        <v>333.25833672985084</v>
      </c>
      <c r="I36" s="86">
        <f t="shared" si="1"/>
        <v>31.809065533322748</v>
      </c>
      <c r="J36" s="86">
        <f>I36*(Fuels!$C$16/2)</f>
        <v>397.61331916653432</v>
      </c>
      <c r="L36" s="86">
        <f t="shared" si="2"/>
        <v>30.062368646875903</v>
      </c>
      <c r="M36" s="86">
        <f>L36*Fuels!$C$15</f>
        <v>1413.6468107769631</v>
      </c>
    </row>
    <row r="37" spans="2:13" x14ac:dyDescent="0.25">
      <c r="B37" s="89">
        <v>1300</v>
      </c>
      <c r="C37" s="88">
        <f t="shared" si="3"/>
        <v>50.475281500506931</v>
      </c>
      <c r="D37" s="86">
        <f>C37*Fuels!$C$13</f>
        <v>403.80225200405545</v>
      </c>
      <c r="F37" s="86">
        <f t="shared" si="0"/>
        <v>39.263296663636012</v>
      </c>
      <c r="G37" s="86">
        <f>F37*Fuels!$C$14</f>
        <v>353.36966997272413</v>
      </c>
      <c r="I37" s="86">
        <f t="shared" si="1"/>
        <v>33.603380883136204</v>
      </c>
      <c r="J37" s="86">
        <f>I37*(Fuels!$C$16/2)</f>
        <v>420.04226103920257</v>
      </c>
      <c r="L37" s="86">
        <f t="shared" si="2"/>
        <v>31.76240577103971</v>
      </c>
      <c r="M37" s="86">
        <f>L37*Fuels!$C$15</f>
        <v>1493.5890164962173</v>
      </c>
    </row>
    <row r="38" spans="2:13" x14ac:dyDescent="0.25">
      <c r="B38" s="89">
        <v>1350</v>
      </c>
      <c r="C38" s="88">
        <f t="shared" si="3"/>
        <v>53.323254386080542</v>
      </c>
      <c r="D38" s="86">
        <f>C38*Fuels!$C$13</f>
        <v>426.58603508864434</v>
      </c>
      <c r="F38" s="86">
        <f t="shared" si="0"/>
        <v>41.511716757194186</v>
      </c>
      <c r="G38" s="86">
        <f>F38*Fuels!$C$14</f>
        <v>373.60545081474766</v>
      </c>
      <c r="I38" s="86">
        <f t="shared" si="1"/>
        <v>35.393029211331765</v>
      </c>
      <c r="J38" s="86">
        <f>I38*(Fuels!$C$16/2)</f>
        <v>442.41286514164705</v>
      </c>
      <c r="L38" s="86">
        <f t="shared" si="2"/>
        <v>33.460228023628254</v>
      </c>
      <c r="M38" s="86">
        <f>L38*Fuels!$C$15</f>
        <v>1573.4270705374904</v>
      </c>
    </row>
    <row r="39" spans="2:13" x14ac:dyDescent="0.25">
      <c r="B39" s="89">
        <v>1400</v>
      </c>
      <c r="C39" s="88">
        <f t="shared" si="3"/>
        <v>56.174074871540846</v>
      </c>
      <c r="D39" s="86">
        <f>C39*Fuels!$C$13</f>
        <v>449.39259897232677</v>
      </c>
      <c r="F39" s="86">
        <f t="shared" si="0"/>
        <v>43.774965957923058</v>
      </c>
      <c r="G39" s="86">
        <f>F39*Fuels!$C$14</f>
        <v>393.97469362130755</v>
      </c>
      <c r="I39" s="86">
        <f t="shared" si="1"/>
        <v>37.179230559238533</v>
      </c>
      <c r="J39" s="86">
        <f>I39*(Fuels!$C$16/2)</f>
        <v>464.74038199048164</v>
      </c>
      <c r="L39" s="86">
        <f t="shared" si="2"/>
        <v>35.156853114171383</v>
      </c>
      <c r="M39" s="86">
        <f>L39*Fuels!$C$15</f>
        <v>1653.2088294701723</v>
      </c>
    </row>
    <row r="40" spans="2:13" x14ac:dyDescent="0.25">
      <c r="B40" s="89">
        <v>1450</v>
      </c>
      <c r="C40" s="88">
        <f t="shared" si="3"/>
        <v>59.028886030047495</v>
      </c>
      <c r="D40" s="86">
        <f>C40*Fuels!$C$13</f>
        <v>472.23108824037996</v>
      </c>
      <c r="F40" s="86">
        <f t="shared" si="0"/>
        <v>46.054309118616565</v>
      </c>
      <c r="G40" s="86">
        <f>F40*Fuels!$C$14</f>
        <v>414.4887820675491</v>
      </c>
      <c r="I40" s="86">
        <f t="shared" si="1"/>
        <v>38.96351771124116</v>
      </c>
      <c r="J40" s="86">
        <f>I40*(Fuels!$C$16/2)</f>
        <v>487.04397139051451</v>
      </c>
      <c r="L40" s="86">
        <f t="shared" si="2"/>
        <v>36.853562965575485</v>
      </c>
      <c r="M40" s="86">
        <f>L40*Fuels!$C$15</f>
        <v>1732.9945741806284</v>
      </c>
    </row>
    <row r="41" spans="2:13" x14ac:dyDescent="0.25">
      <c r="B41" s="89">
        <v>1500</v>
      </c>
      <c r="C41" s="88">
        <f t="shared" si="3"/>
        <v>61.889174807933919</v>
      </c>
      <c r="D41" s="86">
        <f>C41*Fuels!$C$13</f>
        <v>495.11339846347136</v>
      </c>
      <c r="F41" s="86">
        <f t="shared" si="0"/>
        <v>48.351183913017692</v>
      </c>
      <c r="G41" s="86">
        <f>F41*Fuels!$C$14</f>
        <v>435.16065521715922</v>
      </c>
      <c r="I41" s="86">
        <f t="shared" si="1"/>
        <v>40.747643817512667</v>
      </c>
      <c r="J41" s="86">
        <f>I41*(Fuels!$C$16/2)</f>
        <v>509.34554771890834</v>
      </c>
      <c r="L41" s="86">
        <f t="shared" si="2"/>
        <v>38.551821082877964</v>
      </c>
      <c r="M41" s="86">
        <f>L41*Fuels!$C$15</f>
        <v>1812.8531242370368</v>
      </c>
    </row>
    <row r="42" spans="2:13" x14ac:dyDescent="0.25">
      <c r="B42" s="89">
        <v>1550</v>
      </c>
      <c r="C42" s="88">
        <f t="shared" si="3"/>
        <v>64.756657967367971</v>
      </c>
      <c r="D42" s="86">
        <f>C42*Fuels!$C$13</f>
        <v>518.05326373894377</v>
      </c>
      <c r="F42" s="86">
        <f t="shared" si="0"/>
        <v>50.667117882148865</v>
      </c>
      <c r="G42" s="86">
        <f>F42*Fuels!$C$14</f>
        <v>456.00406093933981</v>
      </c>
      <c r="I42" s="86">
        <f t="shared" si="1"/>
        <v>42.533497324554652</v>
      </c>
      <c r="J42" s="86">
        <f>I42*(Fuels!$C$16/2)</f>
        <v>531.66871655693319</v>
      </c>
      <c r="L42" s="86">
        <f t="shared" si="2"/>
        <v>40.253196601872482</v>
      </c>
      <c r="M42" s="86">
        <f>L42*Fuels!$C$15</f>
        <v>1892.8582663671314</v>
      </c>
    </row>
    <row r="43" spans="2:13" x14ac:dyDescent="0.25">
      <c r="B43" s="89">
        <v>1600</v>
      </c>
      <c r="C43" s="88">
        <f t="shared" si="3"/>
        <v>67.633177678151299</v>
      </c>
      <c r="D43" s="86">
        <f>C43*Fuels!$C$13</f>
        <v>541.06542142521039</v>
      </c>
      <c r="F43" s="86">
        <f t="shared" si="0"/>
        <v>53.003652962664461</v>
      </c>
      <c r="G43" s="86">
        <f>F43*Fuels!$C$14</f>
        <v>477.03287666398012</v>
      </c>
      <c r="I43" s="86">
        <f t="shared" si="1"/>
        <v>44.3230242135458</v>
      </c>
      <c r="J43" s="86">
        <f>I43*(Fuels!$C$16/2)</f>
        <v>554.03780266932245</v>
      </c>
      <c r="L43" s="86">
        <f t="shared" si="2"/>
        <v>41.959295017603182</v>
      </c>
      <c r="M43" s="86">
        <f>L43*Fuels!$C$15</f>
        <v>1973.0854970487685</v>
      </c>
    </row>
    <row r="44" spans="2:13" x14ac:dyDescent="0.25">
      <c r="B44" s="89">
        <v>1650</v>
      </c>
      <c r="C44" s="88">
        <f t="shared" si="3"/>
        <v>70.520606758660065</v>
      </c>
      <c r="D44" s="86">
        <f>C44*Fuels!$C$13</f>
        <v>564.16485406928052</v>
      </c>
      <c r="F44" s="86">
        <f t="shared" si="0"/>
        <v>55.362277497224305</v>
      </c>
      <c r="G44" s="86">
        <f>F44*Fuels!$C$14</f>
        <v>498.26049747501872</v>
      </c>
      <c r="I44" s="86">
        <f t="shared" si="1"/>
        <v>46.118157546497784</v>
      </c>
      <c r="J44" s="86">
        <f>I44*(Fuels!$C$16/2)</f>
        <v>576.47696933122234</v>
      </c>
      <c r="L44" s="86">
        <f t="shared" si="2"/>
        <v>43.671695592729968</v>
      </c>
      <c r="M44" s="86">
        <f>L44*Fuels!$C$15</f>
        <v>2053.6090792134155</v>
      </c>
    </row>
    <row r="45" spans="2:13" x14ac:dyDescent="0.25">
      <c r="B45" s="89">
        <v>1700</v>
      </c>
      <c r="C45" s="88">
        <f t="shared" si="3"/>
        <v>73.420763565924545</v>
      </c>
      <c r="D45" s="86">
        <f>C45*Fuels!$C$13</f>
        <v>587.36610852739636</v>
      </c>
      <c r="F45" s="86">
        <f t="shared" si="0"/>
        <v>57.744365726889797</v>
      </c>
      <c r="G45" s="86">
        <f>F45*Fuels!$C$14</f>
        <v>519.69929154200815</v>
      </c>
      <c r="I45" s="86">
        <f t="shared" si="1"/>
        <v>47.920754320218983</v>
      </c>
      <c r="J45" s="86">
        <f>I45*(Fuels!$C$16/2)</f>
        <v>599.00942900273731</v>
      </c>
      <c r="L45" s="86">
        <f t="shared" si="2"/>
        <v>45.391895445762245</v>
      </c>
      <c r="M45" s="86">
        <f>L45*Fuels!$C$15</f>
        <v>2134.4994130624345</v>
      </c>
    </row>
    <row r="46" spans="2:13" x14ac:dyDescent="0.25">
      <c r="B46" s="89">
        <v>1750</v>
      </c>
      <c r="C46" s="88">
        <f t="shared" si="3"/>
        <v>76.335336534850228</v>
      </c>
      <c r="D46" s="86">
        <f>C46*Fuels!$C$13</f>
        <v>610.68269227880182</v>
      </c>
      <c r="F46" s="86">
        <f t="shared" ref="F46:F81" si="4">((6.6506859177*10^-19)*(B46^6))-((7.8984343104*10^-15)*(B46^5))+((3.6879849877*10^-11)*(B46^4))-((8.6386228559*10^-8)*(B46^3))+((1.1074017861*10^-4)*(B46^2))-((3.1241611608*10^-2)*(B46))+(3.3006694533)</f>
        <v>60.151124765540665</v>
      </c>
      <c r="G46" s="86">
        <f>F46*Fuels!$C$14</f>
        <v>541.36012288986603</v>
      </c>
      <c r="I46" s="86">
        <f t="shared" ref="I46:I81" si="5">((6.4958291549*10^-19)*(B46^6))-((7.8224528491*10^-15)*(B46^5))+((3.7120417697*10^-11)*(B46^4))-((8.798317617*10^-8)*(B46^3))+((1.0982327235*10^-4)*(B46^2))-((3.2606444641*10^-2)*(B46))+((3.5786489003))</f>
        <v>49.732539628086215</v>
      </c>
      <c r="J46" s="86">
        <f>I46*(Fuels!$C$16/2)</f>
        <v>621.65674535107769</v>
      </c>
      <c r="L46" s="86">
        <f t="shared" ref="L46:L81" si="6">((5.9376621671*10^-19)*(B46^6))-((7.1020711589*10^-15)*(B46^5))+((3.3460896805*10^-11)*(B46^4))-((7.8909601634*10^-8)*(B46^3))+((9.8599769212*10^-5)*(B46^2))-((2.8172899156*10^-2)*(B46))+(3.05378908)</f>
        <v>47.121260319164442</v>
      </c>
      <c r="M46" s="86">
        <f>L46*Fuels!$C$15</f>
        <v>2215.8207209963248</v>
      </c>
    </row>
    <row r="47" spans="2:13" x14ac:dyDescent="0.25">
      <c r="B47" s="89">
        <v>1800</v>
      </c>
      <c r="C47" s="88">
        <f t="shared" si="3"/>
        <v>79.265818366578074</v>
      </c>
      <c r="D47" s="86">
        <f>C47*Fuels!$C$13</f>
        <v>634.12654693262459</v>
      </c>
      <c r="F47" s="86">
        <f t="shared" si="4"/>
        <v>62.583549056313927</v>
      </c>
      <c r="G47" s="86">
        <f>F47*Fuels!$C$14</f>
        <v>563.25194150682535</v>
      </c>
      <c r="I47" s="86">
        <f t="shared" si="5"/>
        <v>51.555058129624157</v>
      </c>
      <c r="J47" s="86">
        <f>I47*(Fuels!$C$16/2)</f>
        <v>644.43822662030198</v>
      </c>
      <c r="L47" s="86">
        <f t="shared" si="6"/>
        <v>48.86098202732947</v>
      </c>
      <c r="M47" s="86">
        <f>L47*Fuels!$C$15</f>
        <v>2297.6290466567357</v>
      </c>
    </row>
    <row r="48" spans="2:13" x14ac:dyDescent="0.25">
      <c r="B48" s="89">
        <v>1850</v>
      </c>
      <c r="C48" s="88">
        <f t="shared" si="3"/>
        <v>82.213449865984529</v>
      </c>
      <c r="D48" s="86">
        <f>C48*Fuels!$C$13</f>
        <v>657.70759892787623</v>
      </c>
      <c r="F48" s="86">
        <f t="shared" si="4"/>
        <v>65.042382310064724</v>
      </c>
      <c r="G48" s="86">
        <f>F48*Fuels!$C$14</f>
        <v>585.38144079058247</v>
      </c>
      <c r="I48" s="86">
        <f t="shared" si="5"/>
        <v>53.38963282789306</v>
      </c>
      <c r="J48" s="86">
        <f>I48*(Fuels!$C$16/2)</f>
        <v>667.3704103486632</v>
      </c>
      <c r="L48" s="86">
        <f t="shared" si="6"/>
        <v>50.612042584423953</v>
      </c>
      <c r="M48" s="86">
        <f>L48*Fuels!$C$15</f>
        <v>2379.970568081435</v>
      </c>
    </row>
    <row r="49" spans="2:13" x14ac:dyDescent="0.25">
      <c r="B49" s="89">
        <v>1900</v>
      </c>
      <c r="C49" s="88">
        <f t="shared" si="3"/>
        <v>85.179173428323381</v>
      </c>
      <c r="D49" s="86">
        <f>C49*Fuels!$C$13</f>
        <v>681.43338742658705</v>
      </c>
      <c r="F49" s="86">
        <f t="shared" si="4"/>
        <v>67.528086925848399</v>
      </c>
      <c r="G49" s="86">
        <f>F49*Fuels!$C$14</f>
        <v>607.75278233263555</v>
      </c>
      <c r="I49" s="86">
        <f t="shared" si="5"/>
        <v>55.237331154682664</v>
      </c>
      <c r="J49" s="86">
        <f>I49*(Fuels!$C$16/2)</f>
        <v>690.46663943353326</v>
      </c>
      <c r="L49" s="86">
        <f t="shared" si="6"/>
        <v>52.375185012101966</v>
      </c>
      <c r="M49" s="86">
        <f>L49*Fuels!$C$15</f>
        <v>2462.8802249720807</v>
      </c>
    </row>
    <row r="50" spans="2:13" x14ac:dyDescent="0.25">
      <c r="B50" s="89">
        <v>1950</v>
      </c>
      <c r="C50" s="88">
        <f t="shared" si="3"/>
        <v>88.163596175005367</v>
      </c>
      <c r="D50" s="86">
        <f>C50*Fuels!$C$13</f>
        <v>705.30876940004293</v>
      </c>
      <c r="F50" s="86">
        <f t="shared" si="4"/>
        <v>70.040820893424012</v>
      </c>
      <c r="G50" s="86">
        <f>F50*Fuels!$C$14</f>
        <v>630.36738804081608</v>
      </c>
      <c r="I50" s="86">
        <f t="shared" si="5"/>
        <v>57.098938363516105</v>
      </c>
      <c r="J50" s="86">
        <f>I50*(Fuels!$C$16/2)</f>
        <v>713.73672954395136</v>
      </c>
      <c r="L50" s="86">
        <f t="shared" si="6"/>
        <v>54.150890827089832</v>
      </c>
      <c r="M50" s="86">
        <f>L50*Fuels!$C$15</f>
        <v>2546.3806600749067</v>
      </c>
    </row>
    <row r="51" spans="2:13" x14ac:dyDescent="0.25">
      <c r="B51" s="89">
        <v>2000</v>
      </c>
      <c r="C51" s="88">
        <f t="shared" si="3"/>
        <v>91.166962738520141</v>
      </c>
      <c r="D51" s="86">
        <f>C51*Fuels!$C$13</f>
        <v>729.33570190816113</v>
      </c>
      <c r="F51" s="86">
        <f t="shared" si="4"/>
        <v>72.58042217777998</v>
      </c>
      <c r="G51" s="86">
        <f>F51*Fuels!$C$14</f>
        <v>653.22379960001979</v>
      </c>
      <c r="I51" s="86">
        <f t="shared" si="5"/>
        <v>58.974938230459948</v>
      </c>
      <c r="J51" s="86">
        <f>I51*(Fuels!$C$16/2)</f>
        <v>737.18672788074934</v>
      </c>
      <c r="L51" s="86">
        <f t="shared" si="6"/>
        <v>55.939364208639915</v>
      </c>
      <c r="M51" s="86">
        <f>L51*Fuels!$C$15</f>
        <v>2630.4814746742418</v>
      </c>
    </row>
    <row r="52" spans="2:13" x14ac:dyDescent="0.25">
      <c r="B52" s="89">
        <v>2050</v>
      </c>
      <c r="C52" s="88">
        <f t="shared" si="3"/>
        <v>94.189137696496445</v>
      </c>
      <c r="D52" s="86">
        <f>C52*Fuels!$C$13</f>
        <v>753.51310157197156</v>
      </c>
      <c r="F52" s="86">
        <f t="shared" si="4"/>
        <v>75.146400585681832</v>
      </c>
      <c r="G52" s="86">
        <f>F52*Fuels!$C$14</f>
        <v>676.31760527113647</v>
      </c>
      <c r="I52" s="86">
        <f t="shared" si="5"/>
        <v>60.865501062742915</v>
      </c>
      <c r="J52" s="86">
        <f>I52*(Fuels!$C$16/2)</f>
        <v>760.81876328428643</v>
      </c>
      <c r="L52" s="86">
        <f t="shared" si="6"/>
        <v>57.740522845854905</v>
      </c>
      <c r="M52" s="86">
        <f>L52*Fuels!$C$15</f>
        <v>2715.1787981989119</v>
      </c>
    </row>
    <row r="53" spans="2:13" x14ac:dyDescent="0.25">
      <c r="B53" s="89">
        <v>2100</v>
      </c>
      <c r="C53" s="88">
        <f t="shared" si="3"/>
        <v>97.229597654904296</v>
      </c>
      <c r="D53" s="86">
        <f>C53*Fuels!$C$13</f>
        <v>777.83678123923437</v>
      </c>
      <c r="F53" s="86">
        <f t="shared" si="4"/>
        <v>77.737937114240665</v>
      </c>
      <c r="G53" s="86">
        <f>F53*Fuels!$C$14</f>
        <v>699.64143402816603</v>
      </c>
      <c r="I53" s="86">
        <f t="shared" si="5"/>
        <v>62.770479015182097</v>
      </c>
      <c r="J53" s="86">
        <f>I53*(Fuels!$C$16/2)</f>
        <v>784.63098768977625</v>
      </c>
      <c r="L53" s="86">
        <f t="shared" si="6"/>
        <v>59.553995464881993</v>
      </c>
      <c r="M53" s="86">
        <f>L53*Fuels!$C$15</f>
        <v>2800.4551719415181</v>
      </c>
    </row>
    <row r="54" spans="2:13" x14ac:dyDescent="0.25">
      <c r="B54" s="89">
        <v>2150</v>
      </c>
      <c r="C54" s="88">
        <f t="shared" si="3"/>
        <v>100.28743298039561</v>
      </c>
      <c r="D54" s="86">
        <f>C54*Fuels!$C$13</f>
        <v>802.29946384316486</v>
      </c>
      <c r="F54" s="86">
        <f t="shared" si="4"/>
        <v>80.353890781502628</v>
      </c>
      <c r="G54" s="86">
        <f>F54*Fuels!$C$14</f>
        <v>723.18501703352365</v>
      </c>
      <c r="I54" s="86">
        <f t="shared" si="5"/>
        <v>64.689408714416658</v>
      </c>
      <c r="J54" s="86">
        <f>I54*(Fuels!$C$16/2)</f>
        <v>808.61760893020823</v>
      </c>
      <c r="L54" s="86">
        <f t="shared" si="6"/>
        <v>61.379126035976959</v>
      </c>
      <c r="M54" s="86">
        <f>L54*Fuels!$C$15</f>
        <v>2886.2797468905733</v>
      </c>
    </row>
    <row r="55" spans="2:13" x14ac:dyDescent="0.25">
      <c r="B55" s="89">
        <v>2200</v>
      </c>
      <c r="C55" s="88">
        <f t="shared" si="3"/>
        <v>103.36135918178518</v>
      </c>
      <c r="D55" s="86">
        <f>C55*Fuels!$C$13</f>
        <v>826.8908734542814</v>
      </c>
      <c r="F55" s="86">
        <f t="shared" si="4"/>
        <v>82.992812939063185</v>
      </c>
      <c r="G55" s="86">
        <f>F55*Fuels!$C$14</f>
        <v>746.93531645156872</v>
      </c>
      <c r="I55" s="86">
        <f t="shared" si="5"/>
        <v>66.621521190950119</v>
      </c>
      <c r="J55" s="86">
        <f>I55*(Fuels!$C$16/2)</f>
        <v>832.76901488687645</v>
      </c>
      <c r="L55" s="86">
        <f t="shared" si="6"/>
        <v>63.214984660437636</v>
      </c>
      <c r="M55" s="86">
        <f>L55*Fuels!$C$15</f>
        <v>2972.6087956754873</v>
      </c>
    </row>
    <row r="56" spans="2:13" x14ac:dyDescent="0.25">
      <c r="B56" s="89">
        <v>2250</v>
      </c>
      <c r="C56" s="88">
        <f t="shared" si="3"/>
        <v>106.44973794067397</v>
      </c>
      <c r="D56" s="86">
        <f>C56*Fuels!$C$13</f>
        <v>851.59790352539176</v>
      </c>
      <c r="F56" s="86">
        <f t="shared" si="4"/>
        <v>85.652969066698958</v>
      </c>
      <c r="G56" s="86">
        <f>F56*Fuels!$C$14</f>
        <v>770.87672160029058</v>
      </c>
      <c r="I56" s="86">
        <f t="shared" si="5"/>
        <v>68.565759118999395</v>
      </c>
      <c r="J56" s="86">
        <f>I56*(Fuels!$C$16/2)</f>
        <v>857.07198898749243</v>
      </c>
      <c r="L56" s="86">
        <f t="shared" si="6"/>
        <v>65.060385137408744</v>
      </c>
      <c r="M56" s="86">
        <f>L56*Fuels!$C$15</f>
        <v>3059.3865386244815</v>
      </c>
    </row>
    <row r="57" spans="2:13" x14ac:dyDescent="0.25">
      <c r="B57" s="89">
        <v>2300</v>
      </c>
      <c r="C57" s="119">
        <f t="shared" si="3"/>
        <v>109.55060779120831</v>
      </c>
      <c r="D57" s="86">
        <f>C57*Fuels!$C$13</f>
        <v>876.40486232966646</v>
      </c>
      <c r="F57" s="86">
        <f t="shared" si="4"/>
        <v>88.332368049023941</v>
      </c>
      <c r="G57" s="86">
        <f>F57*Fuels!$C$14</f>
        <v>794.99131244121543</v>
      </c>
      <c r="I57" s="86">
        <f t="shared" si="5"/>
        <v>70.520801364153343</v>
      </c>
      <c r="J57" s="86">
        <f>I57*(Fuels!$C$16/2)</f>
        <v>881.51001705191675</v>
      </c>
      <c r="L57" s="86">
        <f t="shared" si="6"/>
        <v>66.913909210554849</v>
      </c>
      <c r="M57" s="86">
        <f>L57*Fuels!$C$15</f>
        <v>3146.546283935289</v>
      </c>
    </row>
    <row r="58" spans="2:13" x14ac:dyDescent="0.25">
      <c r="B58" s="89">
        <v>2350</v>
      </c>
      <c r="C58" s="88">
        <f t="shared" si="3"/>
        <v>112.66172444898358</v>
      </c>
      <c r="D58" s="86">
        <f>C58*Fuels!$C$13</f>
        <v>901.29379559186862</v>
      </c>
      <c r="F58" s="86">
        <f t="shared" si="4"/>
        <v>91.028798934167213</v>
      </c>
      <c r="G58" s="86">
        <f>F58*Fuels!$C$14</f>
        <v>819.25919040750489</v>
      </c>
      <c r="I58" s="86">
        <f t="shared" si="5"/>
        <v>72.485094838835948</v>
      </c>
      <c r="J58" s="86">
        <f>I58*(Fuels!$C$16/2)</f>
        <v>906.06368548544935</v>
      </c>
      <c r="L58" s="86">
        <f t="shared" si="6"/>
        <v>68.773937494604539</v>
      </c>
      <c r="M58" s="86">
        <f>L58*Fuels!$C$15</f>
        <v>3234.0118819587851</v>
      </c>
    </row>
    <row r="59" spans="2:13" x14ac:dyDescent="0.25">
      <c r="B59" s="89">
        <v>2400</v>
      </c>
      <c r="C59" s="88">
        <f t="shared" si="3"/>
        <v>115.78061078908479</v>
      </c>
      <c r="D59" s="86">
        <f>C59*Fuels!$C$13</f>
        <v>926.24488631267832</v>
      </c>
      <c r="F59" s="86">
        <f t="shared" si="4"/>
        <v>93.739875174470541</v>
      </c>
      <c r="G59" s="86">
        <f>F59*Fuels!$C$14</f>
        <v>843.65887657023484</v>
      </c>
      <c r="I59" s="86">
        <f t="shared" si="5"/>
        <v>74.456893665582058</v>
      </c>
      <c r="J59" s="86">
        <f>I59*(Fuels!$C$16/2)</f>
        <v>930.7111708197757</v>
      </c>
      <c r="L59" s="86">
        <f t="shared" si="6"/>
        <v>70.63868708176426</v>
      </c>
      <c r="M59" s="86">
        <f>L59*Fuels!$C$15</f>
        <v>3321.6994935954663</v>
      </c>
    </row>
    <row r="60" spans="2:13" x14ac:dyDescent="0.25">
      <c r="B60" s="89">
        <v>2450</v>
      </c>
      <c r="C60" s="88">
        <f t="shared" si="3"/>
        <v>118.90461647327017</v>
      </c>
      <c r="D60" s="86">
        <f>C60*Fuels!$C$13</f>
        <v>951.23693178616134</v>
      </c>
      <c r="F60" s="86">
        <f t="shared" si="4"/>
        <v>96.463086349209235</v>
      </c>
      <c r="G60" s="86">
        <f>F60*Fuels!$C$14</f>
        <v>868.1677771428831</v>
      </c>
      <c r="I60" s="86">
        <f t="shared" si="5"/>
        <v>76.434305648116137</v>
      </c>
      <c r="J60" s="86">
        <f>I60*(Fuels!$C$16/2)</f>
        <v>955.42882060145166</v>
      </c>
      <c r="L60" s="86">
        <f t="shared" si="6"/>
        <v>72.506255828001485</v>
      </c>
      <c r="M60" s="86">
        <f>L60*Fuels!$C$15</f>
        <v>3409.5196728047763</v>
      </c>
    </row>
    <row r="61" spans="2:13" x14ac:dyDescent="0.25">
      <c r="B61" s="89">
        <v>2500</v>
      </c>
      <c r="C61" s="88">
        <f t="shared" si="3"/>
        <v>122.03098722629151</v>
      </c>
      <c r="D61" s="86">
        <f>C61*Fuels!$C$13</f>
        <v>976.24789781033212</v>
      </c>
      <c r="F61" s="86">
        <f t="shared" si="4"/>
        <v>99.195857369335286</v>
      </c>
      <c r="G61" s="86">
        <f>F61*Fuels!$C$14</f>
        <v>892.76271632401756</v>
      </c>
      <c r="I61" s="86">
        <f t="shared" si="5"/>
        <v>78.415346050241084</v>
      </c>
      <c r="J61" s="86">
        <f>I61*(Fuels!$C$16/2)</f>
        <v>980.19182562801359</v>
      </c>
      <c r="L61" s="86">
        <f t="shared" si="6"/>
        <v>74.374673319199005</v>
      </c>
      <c r="M61" s="86">
        <f>L61*Fuels!$C$15</f>
        <v>3497.3797632273504</v>
      </c>
    </row>
    <row r="62" spans="2:13" x14ac:dyDescent="0.25">
      <c r="B62" s="89">
        <v>2550</v>
      </c>
      <c r="C62" s="88">
        <f t="shared" si="3"/>
        <v>125.15694376135735</v>
      </c>
      <c r="D62" s="86">
        <f>C62*Fuels!$C$13</f>
        <v>1001.2555500908588</v>
      </c>
      <c r="F62" s="86">
        <f t="shared" si="4"/>
        <v>101.93561516423927</v>
      </c>
      <c r="G62" s="86">
        <f>F62*Fuels!$C$14</f>
        <v>917.42053647815339</v>
      </c>
      <c r="I62" s="86">
        <f t="shared" si="5"/>
        <v>80.397998682536198</v>
      </c>
      <c r="J62" s="86">
        <f>I62*(Fuels!$C$16/2)</f>
        <v>1004.9749835317025</v>
      </c>
      <c r="L62" s="86">
        <f t="shared" si="6"/>
        <v>76.241958517178077</v>
      </c>
      <c r="M62" s="86">
        <f>L62*Fuels!$C$15</f>
        <v>3585.1866089200785</v>
      </c>
    </row>
    <row r="63" spans="2:13" x14ac:dyDescent="0.25">
      <c r="B63" s="89">
        <v>2600</v>
      </c>
      <c r="C63" s="88">
        <f t="shared" si="3"/>
        <v>128.27977035473506</v>
      </c>
      <c r="D63" s="86">
        <f>C63*Fuels!$C$13</f>
        <v>1026.2381628378805</v>
      </c>
      <c r="F63" s="86">
        <f t="shared" si="4"/>
        <v>104.67986285053678</v>
      </c>
      <c r="G63" s="86">
        <f>F63*Fuels!$C$14</f>
        <v>942.11876565483101</v>
      </c>
      <c r="I63" s="86">
        <f t="shared" si="5"/>
        <v>82.380284296859045</v>
      </c>
      <c r="J63" s="86">
        <f>I63*(Fuels!$C$16/2)</f>
        <v>1029.7535537107381</v>
      </c>
      <c r="L63" s="86">
        <f t="shared" si="6"/>
        <v>78.106184085591252</v>
      </c>
      <c r="M63" s="86">
        <f>L63*Fuels!$C$15</f>
        <v>3672.8495792040262</v>
      </c>
    </row>
    <row r="64" spans="2:13" x14ac:dyDescent="0.25">
      <c r="B64" s="89">
        <v>2650</v>
      </c>
      <c r="C64" s="88">
        <f t="shared" si="3"/>
        <v>131.39691306949291</v>
      </c>
      <c r="D64" s="86">
        <f>C64*Fuels!$C$13</f>
        <v>1051.1753045559433</v>
      </c>
      <c r="F64" s="86">
        <f t="shared" si="4"/>
        <v>107.4262613828764</v>
      </c>
      <c r="G64" s="86">
        <f>F64*Fuels!$C$14</f>
        <v>966.83635244588766</v>
      </c>
      <c r="I64" s="86">
        <f t="shared" si="5"/>
        <v>84.360336288659994</v>
      </c>
      <c r="J64" s="86">
        <f>I64*(Fuels!$C$16/2)</f>
        <v>1054.50420360825</v>
      </c>
      <c r="L64" s="86">
        <f t="shared" si="6"/>
        <v>79.965547395687253</v>
      </c>
      <c r="M64" s="86">
        <f>L64*Fuels!$C$15</f>
        <v>3760.2839076253185</v>
      </c>
    </row>
    <row r="65" spans="2:13" x14ac:dyDescent="0.25">
      <c r="B65" s="89">
        <v>2700</v>
      </c>
      <c r="C65" s="88">
        <f t="shared" si="3"/>
        <v>134.50608762838419</v>
      </c>
      <c r="D65" s="86">
        <f>C65*Fuels!$C$13</f>
        <v>1076.0487010270735</v>
      </c>
      <c r="F65" s="86">
        <f t="shared" si="4"/>
        <v>110.17271868676595</v>
      </c>
      <c r="G65" s="86">
        <f>F65*Fuels!$C$14</f>
        <v>991.55446818089354</v>
      </c>
      <c r="I65" s="86">
        <f t="shared" si="5"/>
        <v>86.336483707099546</v>
      </c>
      <c r="J65" s="86">
        <f>I65*(Fuels!$C$16/2)</f>
        <v>1079.2060463387443</v>
      </c>
      <c r="L65" s="86">
        <f t="shared" si="6"/>
        <v>81.818448211943362</v>
      </c>
      <c r="M65" s="86">
        <f>L65*Fuels!$C$15</f>
        <v>3847.4143450287825</v>
      </c>
    </row>
    <row r="66" spans="2:13" x14ac:dyDescent="0.25">
      <c r="B66" s="89">
        <v>2750</v>
      </c>
      <c r="C66" s="88">
        <f t="shared" si="3"/>
        <v>137.60539693586728</v>
      </c>
      <c r="D66" s="86">
        <f>C66*Fuels!$C$13</f>
        <v>1100.8431754869382</v>
      </c>
      <c r="F66" s="86">
        <f t="shared" si="4"/>
        <v>112.91748627342574</v>
      </c>
      <c r="G66" s="86">
        <f>F66*Fuels!$C$14</f>
        <v>1016.2573764608317</v>
      </c>
      <c r="I66" s="86">
        <f t="shared" si="5"/>
        <v>88.307341572978132</v>
      </c>
      <c r="J66" s="86">
        <f>I66*(Fuels!$C$16/2)</f>
        <v>1103.8417696622266</v>
      </c>
      <c r="L66" s="86">
        <f t="shared" si="6"/>
        <v>83.663573057568286</v>
      </c>
      <c r="M66" s="86">
        <f>L66*Fuels!$C$15</f>
        <v>3934.1791267444796</v>
      </c>
    </row>
    <row r="67" spans="2:13" x14ac:dyDescent="0.25">
      <c r="B67" s="89">
        <v>2800</v>
      </c>
      <c r="C67" s="88">
        <f t="shared" si="3"/>
        <v>140.69345824927069</v>
      </c>
      <c r="D67" s="86">
        <f>C67*Fuels!$C$13</f>
        <v>1125.5476659941655</v>
      </c>
      <c r="F67" s="86">
        <f t="shared" si="4"/>
        <v>115.65926333665809</v>
      </c>
      <c r="G67" s="86">
        <f>F67*Fuels!$C$14</f>
        <v>1040.9333700299228</v>
      </c>
      <c r="I67" s="86">
        <f t="shared" si="5"/>
        <v>90.271908504470588</v>
      </c>
      <c r="J67" s="86">
        <f>I67*(Fuels!$C$16/2)</f>
        <v>1128.3988563058824</v>
      </c>
      <c r="L67" s="86">
        <f t="shared" si="6"/>
        <v>85.499986259876493</v>
      </c>
      <c r="M67" s="86">
        <f>L67*Fuels!$C$15</f>
        <v>4020.5342538871805</v>
      </c>
    </row>
    <row r="68" spans="2:13" x14ac:dyDescent="0.25">
      <c r="B68" s="89">
        <v>2850</v>
      </c>
      <c r="C68" s="88">
        <f t="shared" si="3"/>
        <v>143.7695399990958</v>
      </c>
      <c r="D68" s="86">
        <f>C68*Fuels!$C$13</f>
        <v>1150.1563199927664</v>
      </c>
      <c r="F68" s="86">
        <f t="shared" si="4"/>
        <v>118.39730833174197</v>
      </c>
      <c r="G68" s="86">
        <f>F68*Fuels!$C$14</f>
        <v>1065.5757749856778</v>
      </c>
      <c r="I68" s="86">
        <f t="shared" si="5"/>
        <v>92.229671650668394</v>
      </c>
      <c r="J68" s="86">
        <f>I68*(Fuels!$C$16/2)</f>
        <v>1152.8708956333548</v>
      </c>
      <c r="L68" s="86">
        <f t="shared" si="6"/>
        <v>87.327227675531674</v>
      </c>
      <c r="M68" s="86">
        <f>L68*Fuels!$C$15</f>
        <v>4106.4580887686661</v>
      </c>
    </row>
    <row r="69" spans="2:13" x14ac:dyDescent="0.25">
      <c r="B69" s="89">
        <v>2900</v>
      </c>
      <c r="C69" s="88">
        <f t="shared" si="3"/>
        <v>146.8337082584579</v>
      </c>
      <c r="D69" s="86">
        <f>C69*Fuels!$C$13</f>
        <v>1174.6696660676632</v>
      </c>
      <c r="F69" s="86">
        <f t="shared" si="4"/>
        <v>121.13155803635068</v>
      </c>
      <c r="G69" s="86">
        <f>F69*Fuels!$C$14</f>
        <v>1090.1840223271561</v>
      </c>
      <c r="I69" s="86">
        <f t="shared" si="5"/>
        <v>94.180718932933203</v>
      </c>
      <c r="J69" s="86">
        <f>I69*(Fuels!$C$16/2)</f>
        <v>1177.2589866616649</v>
      </c>
      <c r="L69" s="86">
        <f t="shared" si="6"/>
        <v>89.145417095656441</v>
      </c>
      <c r="M69" s="86">
        <f>L69*Fuels!$C$15</f>
        <v>4191.9562644227299</v>
      </c>
    </row>
    <row r="70" spans="2:13" x14ac:dyDescent="0.25">
      <c r="B70" s="89">
        <v>2950</v>
      </c>
      <c r="C70" s="88">
        <f t="shared" si="3"/>
        <v>149.88698286167016</v>
      </c>
      <c r="D70" s="86">
        <f>C70*Fuels!$C$13</f>
        <v>1199.0958628933613</v>
      </c>
      <c r="F70" s="86">
        <f t="shared" si="4"/>
        <v>123.86275409348337</v>
      </c>
      <c r="G70" s="86">
        <f>F70*Fuels!$C$14</f>
        <v>1114.7647868413503</v>
      </c>
      <c r="I70" s="86">
        <f t="shared" si="5"/>
        <v>96.125858594052715</v>
      </c>
      <c r="J70" s="86">
        <f>I70*(Fuels!$C$16/2)</f>
        <v>1201.5732324256589</v>
      </c>
      <c r="L70" s="86">
        <f t="shared" si="6"/>
        <v>90.955365330820129</v>
      </c>
      <c r="M70" s="86">
        <f>L70*Fuels!$C$15</f>
        <v>4277.0669082434197</v>
      </c>
    </row>
    <row r="71" spans="2:13" x14ac:dyDescent="0.25">
      <c r="B71" s="89">
        <v>3000</v>
      </c>
      <c r="C71" s="88">
        <f t="shared" si="3"/>
        <v>152.93150317196967</v>
      </c>
      <c r="D71" s="86">
        <f>C71*Fuels!$C$13</f>
        <v>1223.4520253757573</v>
      </c>
      <c r="F71" s="86">
        <f t="shared" si="4"/>
        <v>126.59257703642953</v>
      </c>
      <c r="G71" s="86">
        <f>F71*Fuels!$C$14</f>
        <v>1139.3331933278657</v>
      </c>
      <c r="I71" s="86">
        <f t="shared" si="5"/>
        <v>98.066746055209649</v>
      </c>
      <c r="J71" s="86">
        <f>I71*(Fuels!$C$16/2)</f>
        <v>1225.8343256901205</v>
      </c>
      <c r="L71" s="86">
        <f t="shared" si="6"/>
        <v>92.758691975889661</v>
      </c>
      <c r="M71" s="86">
        <f>L71*Fuels!$C$15</f>
        <v>4361.86617973584</v>
      </c>
    </row>
    <row r="72" spans="2:13" x14ac:dyDescent="0.25">
      <c r="B72" s="89">
        <v>3050</v>
      </c>
      <c r="C72" s="88">
        <f t="shared" si="3"/>
        <v>155.9707034983775</v>
      </c>
      <c r="D72" s="86">
        <f>C72*Fuels!$C$13</f>
        <v>1247.76562798702</v>
      </c>
      <c r="F72" s="86">
        <f t="shared" si="4"/>
        <v>129.32378779574563</v>
      </c>
      <c r="G72" s="86">
        <f>F72*Fuels!$C$14</f>
        <v>1163.9140901617106</v>
      </c>
      <c r="I72" s="86">
        <f t="shared" si="5"/>
        <v>100.00601808075474</v>
      </c>
      <c r="J72" s="86">
        <f>I72*(Fuels!$C$16/2)</f>
        <v>1250.0752260094343</v>
      </c>
      <c r="L72" s="86">
        <f t="shared" si="6"/>
        <v>94.557949854750888</v>
      </c>
      <c r="M72" s="86">
        <f>L72*Fuels!$C$15</f>
        <v>4446.4741223798346</v>
      </c>
    </row>
    <row r="73" spans="2:13" x14ac:dyDescent="0.25">
      <c r="B73" s="89">
        <v>3100</v>
      </c>
      <c r="C73" s="88">
        <f t="shared" si="3"/>
        <v>159.00949816170274</v>
      </c>
      <c r="D73" s="86">
        <f>C73*Fuels!$C$13</f>
        <v>1272.0759852936219</v>
      </c>
      <c r="F73" s="86">
        <f t="shared" si="4"/>
        <v>132.06037668825903</v>
      </c>
      <c r="G73" s="86">
        <f>F73*Fuels!$C$14</f>
        <v>1188.5433901943313</v>
      </c>
      <c r="I73" s="86">
        <f t="shared" si="5"/>
        <v>101.94743425078893</v>
      </c>
      <c r="J73" s="86">
        <f>I73*(Fuels!$C$16/2)</f>
        <v>1274.3429281348617</v>
      </c>
      <c r="L73" s="86">
        <f t="shared" si="6"/>
        <v>96.356756144904253</v>
      </c>
      <c r="M73" s="86">
        <f>L73*Fuels!$C$15</f>
        <v>4531.0608296067485</v>
      </c>
    </row>
    <row r="74" spans="2:13" x14ac:dyDescent="0.25">
      <c r="B74" s="89">
        <v>3150</v>
      </c>
      <c r="C74" s="88">
        <f t="shared" si="3"/>
        <v>162.05447620968533</v>
      </c>
      <c r="D74" s="86">
        <f>C74*Fuels!$C$13</f>
        <v>1296.4358096774827</v>
      </c>
      <c r="F74" s="86">
        <f t="shared" si="4"/>
        <v>134.80771988808945</v>
      </c>
      <c r="G74" s="86">
        <f>F74*Fuels!$C$14</f>
        <v>1213.269478992805</v>
      </c>
      <c r="I74" s="86">
        <f t="shared" si="5"/>
        <v>103.89602574155512</v>
      </c>
      <c r="J74" s="86">
        <f>I74*(Fuels!$C$16/2)</f>
        <v>1298.7003217694389</v>
      </c>
      <c r="L74" s="86">
        <f t="shared" si="6"/>
        <v>98.159930181923883</v>
      </c>
      <c r="M74" s="86">
        <f>L74*Fuels!$C$15</f>
        <v>4615.8529248887526</v>
      </c>
    </row>
    <row r="75" spans="2:13" x14ac:dyDescent="0.25">
      <c r="B75" s="89">
        <v>3200</v>
      </c>
      <c r="C75" s="88">
        <f t="shared" si="3"/>
        <v>165.114105781284</v>
      </c>
      <c r="D75" s="86">
        <f>C75*Fuels!$C$13</f>
        <v>1320.912846250272</v>
      </c>
      <c r="F75" s="86">
        <f t="shared" si="4"/>
        <v>137.5727433796973</v>
      </c>
      <c r="G75" s="86">
        <f>F75*Fuels!$C$14</f>
        <v>1238.1546904172758</v>
      </c>
      <c r="I75" s="86">
        <f t="shared" si="5"/>
        <v>105.8582514136349</v>
      </c>
      <c r="J75" s="86">
        <f>I75*(Fuels!$C$16/2)</f>
        <v>1323.2281426704362</v>
      </c>
      <c r="L75" s="86">
        <f t="shared" si="6"/>
        <v>99.973637943797371</v>
      </c>
      <c r="M75" s="86">
        <f>L75*Fuels!$C$15</f>
        <v>4701.1403559415394</v>
      </c>
    </row>
    <row r="76" spans="2:13" x14ac:dyDescent="0.25">
      <c r="B76" s="89">
        <v>3250</v>
      </c>
      <c r="C76" s="88">
        <f t="shared" si="3"/>
        <v>168.19894812009508</v>
      </c>
      <c r="D76" s="86">
        <f>C76*Fuels!$C$13</f>
        <v>1345.5915849607607</v>
      </c>
      <c r="F76" s="86">
        <f t="shared" si="4"/>
        <v>140.36409439294746</v>
      </c>
      <c r="G76" s="86">
        <f>F76*Fuels!$C$14</f>
        <v>1263.2768495365272</v>
      </c>
      <c r="I76" s="86">
        <f t="shared" si="5"/>
        <v>107.84216120795243</v>
      </c>
      <c r="J76" s="86">
        <f>I76*(Fuels!$C$16/2)</f>
        <v>1348.0270150994054</v>
      </c>
      <c r="L76" s="86">
        <f t="shared" si="6"/>
        <v>101.80554321511954</v>
      </c>
      <c r="M76" s="86">
        <f>L76*Fuels!$C$15</f>
        <v>4787.2835030391388</v>
      </c>
    </row>
    <row r="77" spans="2:13" x14ac:dyDescent="0.25">
      <c r="B77" s="89">
        <v>3300</v>
      </c>
      <c r="C77" s="88">
        <f t="shared" si="3"/>
        <v>171.32188123691731</v>
      </c>
      <c r="D77" s="86">
        <f>C77*Fuels!$C$13</f>
        <v>1370.5750498953385</v>
      </c>
      <c r="F77" s="86">
        <f t="shared" si="4"/>
        <v>143.19232032020014</v>
      </c>
      <c r="G77" s="86">
        <f>F77*Fuels!$C$14</f>
        <v>1288.7308828818013</v>
      </c>
      <c r="I77" s="86">
        <f t="shared" si="5"/>
        <v>109.85756684958972</v>
      </c>
      <c r="J77" s="86">
        <f>I77*(Fuels!$C$16/2)</f>
        <v>1373.2195856198714</v>
      </c>
      <c r="L77" s="86">
        <f t="shared" si="6"/>
        <v>103.6649654311701</v>
      </c>
      <c r="M77" s="86">
        <f>L77*Fuels!$C$15</f>
        <v>4874.7206014422572</v>
      </c>
    </row>
    <row r="78" spans="2:13" x14ac:dyDescent="0.25">
      <c r="B78" s="89">
        <v>3350</v>
      </c>
      <c r="C78" s="88">
        <f t="shared" si="3"/>
        <v>174.49833322145835</v>
      </c>
      <c r="D78" s="86">
        <f>C78*Fuels!$C$13</f>
        <v>1395.9866657716668</v>
      </c>
      <c r="F78" s="86">
        <f t="shared" si="4"/>
        <v>146.07005511542093</v>
      </c>
      <c r="G78" s="86">
        <f>F78*Fuels!$C$14</f>
        <v>1314.6304960387884</v>
      </c>
      <c r="I78" s="86">
        <f t="shared" si="5"/>
        <v>111.91621985940873</v>
      </c>
      <c r="J78" s="86">
        <f>I78*(Fuels!$C$16/2)</f>
        <v>1398.952748242609</v>
      </c>
      <c r="L78" s="86">
        <f t="shared" si="6"/>
        <v>105.56304420185596</v>
      </c>
      <c r="M78" s="86">
        <f>L78*Fuels!$C$15</f>
        <v>4963.9754779392342</v>
      </c>
    </row>
    <row r="79" spans="2:13" x14ac:dyDescent="0.25">
      <c r="B79" s="89">
        <v>3400</v>
      </c>
      <c r="C79" s="88">
        <f>((8.5770134353*10^-19)*(B79^6))-((1.0374875556*10^-14)*(B79^5))+((4.9689475953*10^-11)*(B79^4))-((1.2019118054*10^-7)*(B79^3))+((1.5650954893*10^-4)*(B79^2))-((4.8239362033*10^-2)*(B79))+((5.2084519626))</f>
        <v>177.74652520318094</v>
      </c>
      <c r="D79" s="86">
        <f>C79*Fuels!$C$13</f>
        <v>1421.9722016254475</v>
      </c>
      <c r="F79" s="86">
        <f t="shared" si="4"/>
        <v>149.01221317531201</v>
      </c>
      <c r="G79" s="86">
        <f>F79*Fuels!$C$14</f>
        <v>1341.109918577808</v>
      </c>
      <c r="I79" s="86">
        <f t="shared" si="5"/>
        <v>114.03199687348022</v>
      </c>
      <c r="J79" s="86">
        <f>I79*(Fuels!$C$16/2)</f>
        <v>1425.3999609185028</v>
      </c>
      <c r="L79" s="86">
        <f t="shared" si="6"/>
        <v>107.51291051552275</v>
      </c>
      <c r="M79" s="86">
        <f>L79*Fuels!$C$15</f>
        <v>5055.6656014998389</v>
      </c>
    </row>
    <row r="80" spans="2:13" x14ac:dyDescent="0.25">
      <c r="B80" s="89">
        <v>3450</v>
      </c>
      <c r="C80" s="88">
        <f>((8.5770134353*10^-19)*(B80^6))-((1.0374875556*10^-14)*(B80^5))+((4.9689475953*10^-11)*(B80^4))-((1.2019118054*10^-7)*(B80^3))+((1.5650954893*10^-4)*(B80^2))-((4.8239362033*10^-2)*(B80))+((5.2084519626))</f>
        <v>181.08772396127694</v>
      </c>
      <c r="D80" s="86">
        <f>C80*Fuels!$C$13</f>
        <v>1448.7017916902155</v>
      </c>
      <c r="F80" s="86">
        <f t="shared" si="4"/>
        <v>152.03619070246461</v>
      </c>
      <c r="G80" s="86">
        <f>F80*Fuels!$C$14</f>
        <v>1368.3257163221815</v>
      </c>
      <c r="I80" s="86">
        <f t="shared" si="5"/>
        <v>116.22109227031549</v>
      </c>
      <c r="J80" s="86">
        <f>I80*(Fuels!$C$16/2)</f>
        <v>1452.7636533789437</v>
      </c>
      <c r="L80" s="86">
        <f t="shared" si="6"/>
        <v>109.52986462263968</v>
      </c>
      <c r="M80" s="86">
        <f>L80*Fuels!$C$15</f>
        <v>5150.5104480420841</v>
      </c>
    </row>
    <row r="81" spans="2:13" ht="15.75" thickBot="1" x14ac:dyDescent="0.3">
      <c r="B81" s="90">
        <v>3500</v>
      </c>
      <c r="C81" s="33">
        <f>((8.5770134353*10^-19)*(B81^6))-((1.0374875556*10^-14)*(B81^5))+((4.9689475953*10^-11)*(B81^4))-((1.2019118054*10^-7)*(B81^3))+((1.5650954893*10^-4)*(B81^2))-((4.8239362033*10^-2)*(B81))+((5.2084519626))</f>
        <v>184.54650418380206</v>
      </c>
      <c r="D81" s="30">
        <f>C81*Fuels!$C$13</f>
        <v>1476.3720334704165</v>
      </c>
      <c r="F81" s="30">
        <f t="shared" si="4"/>
        <v>155.1620745505364</v>
      </c>
      <c r="G81" s="30">
        <f>F81*Fuels!$C$14</f>
        <v>1396.4586709548275</v>
      </c>
      <c r="I81" s="30">
        <f t="shared" si="5"/>
        <v>118.50221810591856</v>
      </c>
      <c r="J81" s="30">
        <f>I81*(Fuels!$C$16/2)</f>
        <v>1481.2777263239821</v>
      </c>
      <c r="L81" s="30">
        <f t="shared" si="6"/>
        <v>111.63156059934643</v>
      </c>
      <c r="M81" s="30">
        <f>L81*Fuels!$C$15</f>
        <v>5249.3401793115463</v>
      </c>
    </row>
  </sheetData>
  <mergeCells count="7">
    <mergeCell ref="A1:R3"/>
    <mergeCell ref="C12:D12"/>
    <mergeCell ref="F12:G12"/>
    <mergeCell ref="I12:J12"/>
    <mergeCell ref="L12:M12"/>
    <mergeCell ref="H5:I5"/>
    <mergeCell ref="H4:I4"/>
  </mergeCell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'Fuel listing'!$D$9:$D$29</xm:f>
          </x14:formula1>
          <xm:sqref>G5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46"/>
  <sheetViews>
    <sheetView zoomScale="80" zoomScaleNormal="80" workbookViewId="0">
      <selection activeCell="B11" sqref="B11:C16"/>
    </sheetView>
  </sheetViews>
  <sheetFormatPr defaultRowHeight="15" x14ac:dyDescent="0.25"/>
  <cols>
    <col min="1" max="1" width="9.140625" style="1"/>
    <col min="2" max="2" width="30.42578125" style="1" bestFit="1" customWidth="1"/>
    <col min="3" max="3" width="17.7109375" style="1" bestFit="1" customWidth="1"/>
    <col min="4" max="4" width="10.42578125" style="1" customWidth="1"/>
    <col min="5" max="5" width="35.7109375" style="1" bestFit="1" customWidth="1"/>
    <col min="6" max="6" width="24.42578125" style="1" bestFit="1" customWidth="1"/>
    <col min="7" max="7" width="40.7109375" style="1" customWidth="1"/>
    <col min="8" max="8" width="53.140625" style="1" bestFit="1" customWidth="1"/>
    <col min="9" max="9" width="35.7109375" style="1" bestFit="1" customWidth="1"/>
    <col min="10" max="10" width="23.42578125" style="1" bestFit="1" customWidth="1"/>
    <col min="11" max="11" width="23.140625" style="1" bestFit="1" customWidth="1"/>
    <col min="12" max="12" width="9.140625" style="1"/>
    <col min="13" max="13" width="9.5703125" style="1" bestFit="1" customWidth="1"/>
    <col min="14" max="14" width="34.7109375" style="1" bestFit="1" customWidth="1"/>
    <col min="15" max="15" width="16.5703125" style="1" bestFit="1" customWidth="1"/>
    <col min="16" max="17" width="15" style="1" bestFit="1" customWidth="1"/>
    <col min="18" max="16384" width="9.140625" style="1"/>
  </cols>
  <sheetData>
    <row r="1" spans="2:15" ht="15.75" thickBot="1" x14ac:dyDescent="0.3"/>
    <row r="2" spans="2:15" x14ac:dyDescent="0.25">
      <c r="B2" s="293" t="s">
        <v>10</v>
      </c>
      <c r="C2" s="294"/>
      <c r="D2" s="294"/>
      <c r="E2" s="294"/>
      <c r="F2" s="294"/>
      <c r="G2" s="329" t="s">
        <v>6</v>
      </c>
      <c r="H2" s="329" t="s">
        <v>7</v>
      </c>
      <c r="I2" s="293" t="s">
        <v>19</v>
      </c>
      <c r="J2" s="294"/>
      <c r="K2" s="294"/>
      <c r="L2" s="294"/>
      <c r="M2" s="294"/>
      <c r="N2" s="294"/>
      <c r="O2" s="295"/>
    </row>
    <row r="3" spans="2:15" ht="15.75" thickBot="1" x14ac:dyDescent="0.3">
      <c r="B3" s="296"/>
      <c r="C3" s="297"/>
      <c r="D3" s="297"/>
      <c r="E3" s="297"/>
      <c r="F3" s="297"/>
      <c r="G3" s="330"/>
      <c r="H3" s="330"/>
      <c r="I3" s="296"/>
      <c r="J3" s="297"/>
      <c r="K3" s="297"/>
      <c r="L3" s="297"/>
      <c r="M3" s="297"/>
      <c r="N3" s="297"/>
      <c r="O3" s="298"/>
    </row>
    <row r="4" spans="2:15" ht="21" thickBot="1" x14ac:dyDescent="0.3">
      <c r="B4" s="337" t="s">
        <v>189</v>
      </c>
      <c r="C4" s="338"/>
      <c r="D4" s="338"/>
      <c r="E4" s="338"/>
      <c r="F4" s="338"/>
      <c r="G4" s="4" t="s">
        <v>2</v>
      </c>
      <c r="H4" s="4">
        <v>12.010999999999999</v>
      </c>
      <c r="I4" s="337" t="s">
        <v>190</v>
      </c>
      <c r="J4" s="338"/>
      <c r="K4" s="338"/>
      <c r="L4" s="338"/>
      <c r="M4" s="338"/>
      <c r="N4" s="338"/>
      <c r="O4" s="338"/>
    </row>
    <row r="5" spans="2:15" ht="15.75" thickBot="1" x14ac:dyDescent="0.3">
      <c r="G5" s="5" t="s">
        <v>3</v>
      </c>
      <c r="H5" s="5">
        <v>1.008</v>
      </c>
    </row>
    <row r="6" spans="2:15" ht="15.75" thickBot="1" x14ac:dyDescent="0.3">
      <c r="B6" s="2" t="s">
        <v>9</v>
      </c>
      <c r="C6" s="2" t="s">
        <v>8</v>
      </c>
      <c r="G6" s="5" t="s">
        <v>4</v>
      </c>
      <c r="H6" s="5">
        <v>15.999000000000001</v>
      </c>
      <c r="N6" s="3" t="s">
        <v>9</v>
      </c>
      <c r="O6" s="3" t="s">
        <v>8</v>
      </c>
    </row>
    <row r="7" spans="2:15" ht="15.75" thickBot="1" x14ac:dyDescent="0.3">
      <c r="B7" s="3" t="s">
        <v>0</v>
      </c>
      <c r="C7" s="3">
        <v>8</v>
      </c>
      <c r="G7" s="5" t="s">
        <v>5</v>
      </c>
      <c r="H7" s="5">
        <v>14.007</v>
      </c>
      <c r="N7" s="3" t="s">
        <v>0</v>
      </c>
      <c r="O7" s="3">
        <v>1</v>
      </c>
    </row>
    <row r="8" spans="2:15" ht="18.75" thickBot="1" x14ac:dyDescent="0.3">
      <c r="B8" s="156" t="s">
        <v>1</v>
      </c>
      <c r="C8" s="156">
        <v>18</v>
      </c>
      <c r="G8" s="7" t="s">
        <v>18</v>
      </c>
      <c r="H8" s="6">
        <v>3.7619039999999999</v>
      </c>
      <c r="N8" s="176" t="s">
        <v>28</v>
      </c>
      <c r="O8" s="176">
        <v>4</v>
      </c>
    </row>
    <row r="9" spans="2:15" ht="15.75" thickBot="1" x14ac:dyDescent="0.3">
      <c r="B9" s="156" t="s">
        <v>24</v>
      </c>
      <c r="C9" s="3">
        <v>0</v>
      </c>
      <c r="G9" s="6" t="s">
        <v>32</v>
      </c>
      <c r="H9" s="6">
        <v>32</v>
      </c>
      <c r="N9" s="176" t="s">
        <v>24</v>
      </c>
      <c r="O9" s="3">
        <v>1</v>
      </c>
    </row>
    <row r="10" spans="2:15" ht="15.75" thickBot="1" x14ac:dyDescent="0.3"/>
    <row r="11" spans="2:15" ht="18.75" thickBot="1" x14ac:dyDescent="0.3">
      <c r="B11" s="327" t="s">
        <v>11</v>
      </c>
      <c r="C11" s="328"/>
      <c r="G11" s="3" t="s">
        <v>39</v>
      </c>
      <c r="H11" s="197" t="s">
        <v>208</v>
      </c>
      <c r="J11" s="1" t="s">
        <v>207</v>
      </c>
      <c r="N11" s="293" t="s">
        <v>11</v>
      </c>
      <c r="O11" s="295"/>
    </row>
    <row r="12" spans="2:15" x14ac:dyDescent="0.25">
      <c r="B12" s="4" t="s">
        <v>17</v>
      </c>
      <c r="C12" s="4">
        <f>$C$16/2</f>
        <v>12.5</v>
      </c>
      <c r="G12" s="19" t="s">
        <v>40</v>
      </c>
      <c r="H12" s="16">
        <v>259.2</v>
      </c>
      <c r="N12" s="8" t="s">
        <v>17</v>
      </c>
      <c r="O12" s="4">
        <f>O16/2</f>
        <v>1.5</v>
      </c>
    </row>
    <row r="13" spans="2:15" ht="18" x14ac:dyDescent="0.25">
      <c r="B13" s="5" t="s">
        <v>13</v>
      </c>
      <c r="C13" s="5">
        <f>C7</f>
        <v>8</v>
      </c>
      <c r="G13" s="20" t="s">
        <v>41</v>
      </c>
      <c r="H13" s="17">
        <v>201.5</v>
      </c>
      <c r="N13" s="9" t="s">
        <v>13</v>
      </c>
      <c r="O13" s="5">
        <f>O7</f>
        <v>1</v>
      </c>
    </row>
    <row r="14" spans="2:15" ht="18" x14ac:dyDescent="0.25">
      <c r="B14" s="5" t="s">
        <v>14</v>
      </c>
      <c r="C14" s="5">
        <f>C8/2</f>
        <v>9</v>
      </c>
      <c r="G14" s="20" t="s">
        <v>42</v>
      </c>
      <c r="H14" s="17">
        <v>393.5</v>
      </c>
      <c r="N14" s="9" t="s">
        <v>14</v>
      </c>
      <c r="O14" s="5">
        <f>$O$8/2</f>
        <v>2</v>
      </c>
    </row>
    <row r="15" spans="2:15" ht="18" x14ac:dyDescent="0.25">
      <c r="B15" s="7" t="s">
        <v>15</v>
      </c>
      <c r="C15" s="7">
        <f>C12*H8</f>
        <v>47.023800000000001</v>
      </c>
      <c r="G15" s="21" t="s">
        <v>52</v>
      </c>
      <c r="H15" s="18">
        <v>241.8</v>
      </c>
      <c r="N15" s="9" t="s">
        <v>15</v>
      </c>
      <c r="O15" s="5">
        <f>$O$12*$H$8</f>
        <v>5.6428560000000001</v>
      </c>
    </row>
    <row r="16" spans="2:15" ht="15.75" thickBot="1" x14ac:dyDescent="0.3">
      <c r="B16" s="6" t="s">
        <v>25</v>
      </c>
      <c r="C16" s="6">
        <f>(2*C13)+C14</f>
        <v>25</v>
      </c>
      <c r="G16" s="22" t="s">
        <v>53</v>
      </c>
      <c r="H16" s="6">
        <v>285.8</v>
      </c>
      <c r="N16" s="10" t="s">
        <v>25</v>
      </c>
      <c r="O16" s="6">
        <f>(2*O13)+O14-1</f>
        <v>3</v>
      </c>
    </row>
    <row r="17" spans="2:15" ht="15.75" thickBot="1" x14ac:dyDescent="0.3"/>
    <row r="18" spans="2:15" ht="15.75" thickBot="1" x14ac:dyDescent="0.3">
      <c r="B18" s="323" t="s">
        <v>22</v>
      </c>
      <c r="C18" s="324"/>
      <c r="G18" s="323" t="s">
        <v>35</v>
      </c>
      <c r="H18" s="324"/>
      <c r="N18" s="323" t="s">
        <v>22</v>
      </c>
      <c r="O18" s="324"/>
    </row>
    <row r="19" spans="2:15" ht="15.75" thickBot="1" x14ac:dyDescent="0.3">
      <c r="B19" s="2" t="s">
        <v>21</v>
      </c>
      <c r="C19" s="3">
        <f>$C$12*((2*$H$6)+($H$8*2*$H$7))</f>
        <v>1717.2997331999998</v>
      </c>
      <c r="G19" s="327">
        <f>$C$20+$O$20</f>
        <v>146.274</v>
      </c>
      <c r="H19" s="328"/>
      <c r="N19" s="2" t="s">
        <v>21</v>
      </c>
      <c r="O19" s="3">
        <f>O12*((2*$H$6)+($H$8*2*$H$7))</f>
        <v>206.07596798399999</v>
      </c>
    </row>
    <row r="20" spans="2:15" ht="15.75" thickBot="1" x14ac:dyDescent="0.3">
      <c r="B20" s="3" t="s">
        <v>191</v>
      </c>
      <c r="C20" s="3">
        <f>($C$7*$H$4)+($C$8*$H$5)</f>
        <v>114.232</v>
      </c>
      <c r="G20" s="2" t="s">
        <v>34</v>
      </c>
      <c r="H20" s="2" t="s">
        <v>33</v>
      </c>
      <c r="N20" s="3" t="s">
        <v>197</v>
      </c>
      <c r="O20" s="3">
        <f>($H$4+$H$6)+(H5*O8)</f>
        <v>32.042000000000002</v>
      </c>
    </row>
    <row r="21" spans="2:15" ht="15.75" thickBot="1" x14ac:dyDescent="0.3">
      <c r="G21" s="192">
        <f>($C$20/$G$19)*100</f>
        <v>78.094534913928655</v>
      </c>
      <c r="H21" s="185">
        <f>($O$20/$G$19)*100</f>
        <v>21.905465086071345</v>
      </c>
    </row>
    <row r="22" spans="2:15" ht="15.75" thickBot="1" x14ac:dyDescent="0.3">
      <c r="B22" s="329" t="s">
        <v>66</v>
      </c>
      <c r="C22" s="303">
        <f>C19/C20</f>
        <v>15.033438381539321</v>
      </c>
      <c r="N22" s="329" t="s">
        <v>66</v>
      </c>
      <c r="O22" s="303">
        <f>O19/O20</f>
        <v>6.4314327440234687</v>
      </c>
    </row>
    <row r="23" spans="2:15" ht="15.75" thickBot="1" x14ac:dyDescent="0.3">
      <c r="B23" s="330"/>
      <c r="C23" s="304"/>
      <c r="E23" s="293" t="s">
        <v>206</v>
      </c>
      <c r="F23" s="294"/>
      <c r="G23" s="295"/>
      <c r="H23" s="15"/>
      <c r="I23" s="293" t="s">
        <v>205</v>
      </c>
      <c r="J23" s="294"/>
      <c r="K23" s="295"/>
      <c r="N23" s="330"/>
      <c r="O23" s="304"/>
    </row>
    <row r="24" spans="2:15" ht="15.75" thickBot="1" x14ac:dyDescent="0.3">
      <c r="E24" s="296"/>
      <c r="F24" s="297"/>
      <c r="G24" s="298"/>
      <c r="H24" s="14"/>
      <c r="I24" s="296"/>
      <c r="J24" s="297"/>
      <c r="K24" s="298"/>
    </row>
    <row r="25" spans="2:15" x14ac:dyDescent="0.25">
      <c r="B25" s="329" t="s">
        <v>46</v>
      </c>
      <c r="C25" s="303">
        <f>F27-E27</f>
        <v>5065.0000000000009</v>
      </c>
      <c r="E25" s="329" t="s">
        <v>198</v>
      </c>
      <c r="F25" s="329" t="s">
        <v>45</v>
      </c>
      <c r="G25" s="329" t="s">
        <v>199</v>
      </c>
      <c r="H25" s="14"/>
      <c r="I25" s="329" t="s">
        <v>198</v>
      </c>
      <c r="J25" s="329" t="s">
        <v>45</v>
      </c>
      <c r="K25" s="329" t="s">
        <v>199</v>
      </c>
      <c r="N25" s="329" t="s">
        <v>49</v>
      </c>
      <c r="O25" s="303">
        <f>J27-I27</f>
        <v>675.6</v>
      </c>
    </row>
    <row r="26" spans="2:15" ht="15.75" thickBot="1" x14ac:dyDescent="0.3">
      <c r="B26" s="330"/>
      <c r="C26" s="304"/>
      <c r="E26" s="330"/>
      <c r="F26" s="330"/>
      <c r="G26" s="330"/>
      <c r="I26" s="330"/>
      <c r="J26" s="330"/>
      <c r="K26" s="330"/>
      <c r="N26" s="330"/>
      <c r="O26" s="304"/>
    </row>
    <row r="27" spans="2:15" ht="15.75" thickBot="1" x14ac:dyDescent="0.3">
      <c r="E27" s="303">
        <f>H12</f>
        <v>259.2</v>
      </c>
      <c r="F27" s="303">
        <f>(((C13*H14)+(C14*$H$15)+($C$15*0)))</f>
        <v>5324.2000000000007</v>
      </c>
      <c r="G27" s="303">
        <f>F27-E27</f>
        <v>5065.0000000000009</v>
      </c>
      <c r="I27" s="303">
        <f>H13</f>
        <v>201.5</v>
      </c>
      <c r="J27" s="303">
        <f>(((O13*Fuels!H14)+(O14*H15)+(O15*0)))</f>
        <v>877.1</v>
      </c>
      <c r="K27" s="303">
        <f>J27-I27</f>
        <v>675.6</v>
      </c>
    </row>
    <row r="28" spans="2:15" ht="15.75" thickBot="1" x14ac:dyDescent="0.3">
      <c r="B28" s="329" t="s">
        <v>64</v>
      </c>
      <c r="C28" s="331">
        <f>C22/13.7</f>
        <v>1.0973312687254979</v>
      </c>
      <c r="E28" s="304"/>
      <c r="F28" s="304"/>
      <c r="G28" s="304"/>
      <c r="I28" s="304"/>
      <c r="J28" s="304"/>
      <c r="K28" s="304"/>
      <c r="N28" s="329" t="s">
        <v>50</v>
      </c>
      <c r="O28" s="303">
        <f>((O7*H4)+(O8*H5)+(O9*H6))</f>
        <v>32.042000000000002</v>
      </c>
    </row>
    <row r="29" spans="2:15" ht="15.75" thickBot="1" x14ac:dyDescent="0.3">
      <c r="B29" s="330"/>
      <c r="C29" s="332"/>
      <c r="N29" s="330"/>
      <c r="O29" s="304"/>
    </row>
    <row r="30" spans="2:15" ht="15.75" thickBot="1" x14ac:dyDescent="0.3">
      <c r="B30" s="329" t="s">
        <v>65</v>
      </c>
      <c r="C30" s="331">
        <f>C22*C28</f>
        <v>16.496662012521139</v>
      </c>
    </row>
    <row r="31" spans="2:15" ht="15.75" thickBot="1" x14ac:dyDescent="0.3">
      <c r="B31" s="330"/>
      <c r="C31" s="332"/>
      <c r="N31" s="329" t="s">
        <v>43</v>
      </c>
      <c r="O31" s="303">
        <f>O25/O28</f>
        <v>21.084826165657574</v>
      </c>
    </row>
    <row r="32" spans="2:15" ht="15.75" thickBot="1" x14ac:dyDescent="0.3">
      <c r="B32" s="204"/>
      <c r="C32" s="205"/>
      <c r="N32" s="330"/>
      <c r="O32" s="304"/>
    </row>
    <row r="33" spans="4:15" ht="15.75" thickBot="1" x14ac:dyDescent="0.3">
      <c r="F33" s="323" t="s">
        <v>48</v>
      </c>
      <c r="G33" s="333"/>
      <c r="H33" s="333"/>
      <c r="I33" s="324"/>
    </row>
    <row r="34" spans="4:15" ht="15.75" thickBot="1" x14ac:dyDescent="0.3">
      <c r="F34" s="334" t="s">
        <v>47</v>
      </c>
      <c r="G34" s="335"/>
      <c r="H34" s="335"/>
      <c r="I34" s="336"/>
    </row>
    <row r="35" spans="4:15" x14ac:dyDescent="0.25">
      <c r="N35" s="329" t="s">
        <v>64</v>
      </c>
      <c r="O35" s="303">
        <f>O22/13.7</f>
        <v>0.4694476455491583</v>
      </c>
    </row>
    <row r="36" spans="4:15" ht="15.75" thickBot="1" x14ac:dyDescent="0.3">
      <c r="N36" s="330"/>
      <c r="O36" s="304"/>
    </row>
    <row r="37" spans="4:15" x14ac:dyDescent="0.25">
      <c r="N37" s="329" t="s">
        <v>65</v>
      </c>
      <c r="O37" s="303">
        <f>O22*O35</f>
        <v>3.01922095918958</v>
      </c>
    </row>
    <row r="38" spans="4:15" ht="15.75" thickBot="1" x14ac:dyDescent="0.3">
      <c r="N38" s="330"/>
      <c r="O38" s="304"/>
    </row>
    <row r="44" spans="4:15" x14ac:dyDescent="0.25">
      <c r="D44" s="178"/>
      <c r="E44" s="178"/>
      <c r="F44" s="178"/>
      <c r="G44" s="178"/>
    </row>
    <row r="45" spans="4:15" x14ac:dyDescent="0.25">
      <c r="D45" s="178"/>
      <c r="E45" s="178"/>
      <c r="F45" s="178"/>
      <c r="G45" s="178"/>
    </row>
    <row r="46" spans="4:15" x14ac:dyDescent="0.25">
      <c r="D46" s="178"/>
      <c r="E46" s="178"/>
      <c r="F46" s="178"/>
      <c r="G46" s="178"/>
    </row>
  </sheetData>
  <mergeCells count="48">
    <mergeCell ref="B18:C18"/>
    <mergeCell ref="N11:O11"/>
    <mergeCell ref="N18:O18"/>
    <mergeCell ref="B2:F3"/>
    <mergeCell ref="B4:F4"/>
    <mergeCell ref="G18:H18"/>
    <mergeCell ref="G2:G3"/>
    <mergeCell ref="H2:H3"/>
    <mergeCell ref="B11:C11"/>
    <mergeCell ref="I2:O3"/>
    <mergeCell ref="I4:O4"/>
    <mergeCell ref="B22:B23"/>
    <mergeCell ref="C22:C23"/>
    <mergeCell ref="B25:B26"/>
    <mergeCell ref="C25:C26"/>
    <mergeCell ref="G19:H19"/>
    <mergeCell ref="E23:G24"/>
    <mergeCell ref="N37:N38"/>
    <mergeCell ref="O37:O38"/>
    <mergeCell ref="B28:B29"/>
    <mergeCell ref="C28:C29"/>
    <mergeCell ref="B30:B31"/>
    <mergeCell ref="C30:C31"/>
    <mergeCell ref="N35:N36"/>
    <mergeCell ref="F33:I33"/>
    <mergeCell ref="F34:I34"/>
    <mergeCell ref="N31:N32"/>
    <mergeCell ref="O31:O32"/>
    <mergeCell ref="E27:E28"/>
    <mergeCell ref="F27:F28"/>
    <mergeCell ref="I27:I28"/>
    <mergeCell ref="J27:J28"/>
    <mergeCell ref="G27:G28"/>
    <mergeCell ref="I23:K24"/>
    <mergeCell ref="K25:K26"/>
    <mergeCell ref="K27:K28"/>
    <mergeCell ref="O35:O36"/>
    <mergeCell ref="E25:E26"/>
    <mergeCell ref="F25:F26"/>
    <mergeCell ref="I25:I26"/>
    <mergeCell ref="J25:J26"/>
    <mergeCell ref="G25:G26"/>
    <mergeCell ref="N22:N23"/>
    <mergeCell ref="O22:O23"/>
    <mergeCell ref="N25:N26"/>
    <mergeCell ref="O25:O26"/>
    <mergeCell ref="N28:N29"/>
    <mergeCell ref="O28:O29"/>
  </mergeCells>
  <hyperlinks>
    <hyperlink ref="F34" r:id="rId1"/>
  </hyperlinks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0"/>
  <sheetViews>
    <sheetView zoomScale="70" zoomScaleNormal="70" workbookViewId="0">
      <selection activeCell="B35" sqref="B35:C36"/>
    </sheetView>
  </sheetViews>
  <sheetFormatPr defaultRowHeight="15" x14ac:dyDescent="0.25"/>
  <cols>
    <col min="1" max="1" width="9.140625" style="1"/>
    <col min="2" max="2" width="51.140625" style="1" bestFit="1" customWidth="1"/>
    <col min="3" max="3" width="26.85546875" style="1" customWidth="1"/>
    <col min="4" max="8" width="9.140625" style="1"/>
    <col min="9" max="9" width="33.85546875" style="1" bestFit="1" customWidth="1"/>
    <col min="10" max="10" width="50.28515625" style="1" bestFit="1" customWidth="1"/>
    <col min="11" max="11" width="34.42578125" style="1" bestFit="1" customWidth="1"/>
    <col min="12" max="16384" width="9.140625" style="1"/>
  </cols>
  <sheetData>
    <row r="1" spans="2:13" ht="15.75" thickBot="1" x14ac:dyDescent="0.3"/>
    <row r="2" spans="2:13" x14ac:dyDescent="0.25">
      <c r="B2" s="343" t="s">
        <v>27</v>
      </c>
      <c r="C2" s="344"/>
      <c r="D2" s="344"/>
      <c r="E2" s="344"/>
      <c r="F2" s="344"/>
      <c r="G2" s="344"/>
      <c r="H2" s="345"/>
      <c r="I2" s="341" t="s">
        <v>6</v>
      </c>
      <c r="J2" s="341" t="s">
        <v>7</v>
      </c>
    </row>
    <row r="3" spans="2:13" ht="15.75" thickBot="1" x14ac:dyDescent="0.3">
      <c r="B3" s="346"/>
      <c r="C3" s="347"/>
      <c r="D3" s="347"/>
      <c r="E3" s="347"/>
      <c r="F3" s="347"/>
      <c r="G3" s="347"/>
      <c r="H3" s="348"/>
      <c r="I3" s="342"/>
      <c r="J3" s="342"/>
    </row>
    <row r="4" spans="2:13" ht="27" thickBot="1" x14ac:dyDescent="0.3">
      <c r="B4" s="349" t="s">
        <v>194</v>
      </c>
      <c r="C4" s="350"/>
      <c r="D4" s="350"/>
      <c r="E4" s="350"/>
      <c r="F4" s="350"/>
      <c r="G4" s="350"/>
      <c r="H4" s="351"/>
      <c r="I4" s="4" t="s">
        <v>2</v>
      </c>
      <c r="J4" s="4">
        <v>12.010999999999999</v>
      </c>
    </row>
    <row r="5" spans="2:13" ht="15.75" thickBot="1" x14ac:dyDescent="0.3">
      <c r="I5" s="5" t="s">
        <v>3</v>
      </c>
      <c r="J5" s="5">
        <v>1.008</v>
      </c>
    </row>
    <row r="6" spans="2:13" ht="21.75" thickBot="1" x14ac:dyDescent="0.3">
      <c r="B6" s="352" t="s">
        <v>196</v>
      </c>
      <c r="C6" s="353"/>
      <c r="I6" s="5" t="s">
        <v>4</v>
      </c>
      <c r="J6" s="5">
        <v>15.999000000000001</v>
      </c>
    </row>
    <row r="7" spans="2:13" ht="19.5" thickBot="1" x14ac:dyDescent="0.3">
      <c r="B7" s="203" t="s">
        <v>6</v>
      </c>
      <c r="C7" s="203" t="s">
        <v>26</v>
      </c>
      <c r="I7" s="5" t="s">
        <v>5</v>
      </c>
      <c r="J7" s="5">
        <v>14.007</v>
      </c>
    </row>
    <row r="8" spans="2:13" ht="18.75" thickBot="1" x14ac:dyDescent="0.3">
      <c r="B8" s="3" t="s">
        <v>0</v>
      </c>
      <c r="C8" s="3">
        <f>Fuels!C7+Fuels!O7</f>
        <v>9</v>
      </c>
      <c r="I8" s="6" t="s">
        <v>18</v>
      </c>
      <c r="J8" s="6">
        <v>3.7619039999999999</v>
      </c>
    </row>
    <row r="9" spans="2:13" ht="15.75" thickBot="1" x14ac:dyDescent="0.3">
      <c r="B9" s="184" t="s">
        <v>28</v>
      </c>
      <c r="C9" s="184">
        <f>Fuels!C8+Fuels!O8</f>
        <v>22</v>
      </c>
    </row>
    <row r="10" spans="2:13" ht="15.75" customHeight="1" thickBot="1" x14ac:dyDescent="0.3">
      <c r="B10" s="184" t="s">
        <v>24</v>
      </c>
      <c r="C10" s="3">
        <f>Fuels!O9+Fuels!C9</f>
        <v>1</v>
      </c>
    </row>
    <row r="11" spans="2:13" ht="15.75" customHeight="1" thickBot="1" x14ac:dyDescent="0.3">
      <c r="I11" s="3" t="s">
        <v>39</v>
      </c>
      <c r="J11" s="197" t="s">
        <v>208</v>
      </c>
    </row>
    <row r="12" spans="2:13" ht="19.5" thickBot="1" x14ac:dyDescent="0.3">
      <c r="B12" s="354" t="s">
        <v>193</v>
      </c>
      <c r="C12" s="355"/>
      <c r="I12" s="19" t="s">
        <v>40</v>
      </c>
      <c r="J12" s="16">
        <v>259.2</v>
      </c>
      <c r="L12" s="208"/>
    </row>
    <row r="13" spans="2:13" ht="15.75" customHeight="1" x14ac:dyDescent="0.25">
      <c r="B13" s="4" t="s">
        <v>17</v>
      </c>
      <c r="C13" s="4">
        <f>C17/2</f>
        <v>14</v>
      </c>
      <c r="I13" s="20" t="s">
        <v>41</v>
      </c>
      <c r="J13" s="17">
        <v>201.5</v>
      </c>
      <c r="L13" s="208"/>
    </row>
    <row r="14" spans="2:13" ht="18" customHeight="1" x14ac:dyDescent="0.25">
      <c r="B14" s="5" t="s">
        <v>155</v>
      </c>
      <c r="C14" s="5">
        <f>C8</f>
        <v>9</v>
      </c>
      <c r="I14" s="20" t="s">
        <v>42</v>
      </c>
      <c r="J14" s="17">
        <v>393.5</v>
      </c>
      <c r="L14" s="178"/>
      <c r="M14" s="178"/>
    </row>
    <row r="15" spans="2:13" ht="18.75" customHeight="1" x14ac:dyDescent="0.25">
      <c r="B15" s="5" t="s">
        <v>156</v>
      </c>
      <c r="C15" s="5">
        <f>C9/2</f>
        <v>11</v>
      </c>
      <c r="I15" s="21" t="s">
        <v>52</v>
      </c>
      <c r="J15" s="18">
        <v>241.8</v>
      </c>
      <c r="L15" s="178"/>
      <c r="M15" s="178"/>
    </row>
    <row r="16" spans="2:13" ht="18.75" thickBot="1" x14ac:dyDescent="0.3">
      <c r="B16" s="7" t="s">
        <v>195</v>
      </c>
      <c r="C16" s="7">
        <f>C13*J8</f>
        <v>52.666655999999996</v>
      </c>
      <c r="I16" s="22" t="s">
        <v>53</v>
      </c>
      <c r="J16" s="6">
        <v>285.8</v>
      </c>
      <c r="L16" s="178"/>
      <c r="M16" s="178"/>
    </row>
    <row r="17" spans="2:13" ht="15.75" thickBot="1" x14ac:dyDescent="0.3">
      <c r="B17" s="6" t="s">
        <v>25</v>
      </c>
      <c r="C17" s="6">
        <f>(2*C14)+C15-C10</f>
        <v>28</v>
      </c>
      <c r="L17" s="178"/>
      <c r="M17" s="178"/>
    </row>
    <row r="18" spans="2:13" x14ac:dyDescent="0.25">
      <c r="L18" s="178"/>
      <c r="M18" s="178"/>
    </row>
    <row r="19" spans="2:13" ht="15.75" customHeight="1" thickBot="1" x14ac:dyDescent="0.3"/>
    <row r="20" spans="2:13" x14ac:dyDescent="0.25">
      <c r="B20" s="329" t="s">
        <v>23</v>
      </c>
      <c r="C20" s="361">
        <f>($C$13*((2*$J$6)+($J$8*2*$J$7)))/(($C$8*$J$4)+($C$9*$J$5)+(J6))</f>
        <v>13.149129039911401</v>
      </c>
    </row>
    <row r="21" spans="2:13" ht="15.75" thickBot="1" x14ac:dyDescent="0.3">
      <c r="B21" s="330"/>
      <c r="C21" s="362"/>
      <c r="L21" s="15"/>
    </row>
    <row r="22" spans="2:13" ht="19.5" thickBot="1" x14ac:dyDescent="0.3">
      <c r="I22" s="356" t="s">
        <v>70</v>
      </c>
      <c r="J22" s="358"/>
      <c r="K22" s="208"/>
      <c r="L22" s="15"/>
    </row>
    <row r="23" spans="2:13" ht="19.5" thickBot="1" x14ac:dyDescent="0.3">
      <c r="B23" s="339" t="s">
        <v>200</v>
      </c>
      <c r="C23" s="303">
        <f>J39-I39</f>
        <v>5740.6</v>
      </c>
      <c r="I23" s="357"/>
      <c r="J23" s="359"/>
      <c r="K23" s="208"/>
    </row>
    <row r="24" spans="2:13" ht="21.75" thickBot="1" x14ac:dyDescent="0.3">
      <c r="B24" s="340"/>
      <c r="C24" s="304"/>
      <c r="D24" s="360"/>
      <c r="I24" s="356" t="s">
        <v>192</v>
      </c>
      <c r="J24" s="369" t="s">
        <v>63</v>
      </c>
      <c r="K24" s="209"/>
    </row>
    <row r="25" spans="2:13" ht="21.75" thickBot="1" x14ac:dyDescent="0.3">
      <c r="B25" s="339" t="s">
        <v>201</v>
      </c>
      <c r="C25" s="303">
        <f>K39-I39</f>
        <v>6224.6</v>
      </c>
      <c r="D25" s="360"/>
      <c r="I25" s="357"/>
      <c r="J25" s="370"/>
      <c r="K25" s="209"/>
    </row>
    <row r="26" spans="2:13" ht="15.75" thickBot="1" x14ac:dyDescent="0.3">
      <c r="B26" s="340"/>
      <c r="C26" s="304"/>
      <c r="I26" s="299">
        <f>($C$8*$J$4)+($C$9*$J$5)+(J6)</f>
        <v>146.27399999999997</v>
      </c>
      <c r="J26" s="303">
        <f>$C$13*((2*$J$6)+($J$8*2*$J$7))</f>
        <v>1923.3757011839998</v>
      </c>
      <c r="K26" s="15"/>
    </row>
    <row r="27" spans="2:13" ht="15" customHeight="1" thickBot="1" x14ac:dyDescent="0.3">
      <c r="I27" s="301"/>
      <c r="J27" s="304"/>
      <c r="K27" s="15"/>
    </row>
    <row r="28" spans="2:13" ht="15.75" customHeight="1" x14ac:dyDescent="0.25">
      <c r="B28" s="339" t="s">
        <v>211</v>
      </c>
      <c r="C28" s="339" t="s">
        <v>212</v>
      </c>
    </row>
    <row r="29" spans="2:13" ht="15" customHeight="1" thickBot="1" x14ac:dyDescent="0.3">
      <c r="B29" s="340"/>
      <c r="C29" s="340"/>
    </row>
    <row r="30" spans="2:13" ht="15.75" customHeight="1" x14ac:dyDescent="0.25">
      <c r="B30" s="303">
        <f>C23/I26</f>
        <v>39.245525520598342</v>
      </c>
      <c r="C30" s="303">
        <f>C25/I26</f>
        <v>42.554384237800306</v>
      </c>
      <c r="I30" s="341" t="s">
        <v>34</v>
      </c>
      <c r="J30" s="341" t="s">
        <v>33</v>
      </c>
    </row>
    <row r="31" spans="2:13" ht="15.75" thickBot="1" x14ac:dyDescent="0.3">
      <c r="B31" s="304"/>
      <c r="C31" s="304"/>
      <c r="I31" s="342"/>
      <c r="J31" s="342"/>
    </row>
    <row r="32" spans="2:13" ht="15.75" thickBot="1" x14ac:dyDescent="0.3">
      <c r="I32" s="303">
        <f>Fuels!G21</f>
        <v>78.094534913928655</v>
      </c>
      <c r="J32" s="303">
        <f>Fuels!H21</f>
        <v>21.905465086071345</v>
      </c>
    </row>
    <row r="33" spans="2:11" ht="15.75" thickBot="1" x14ac:dyDescent="0.3">
      <c r="B33" s="363" t="s">
        <v>202</v>
      </c>
      <c r="C33" s="303">
        <f>($C$14*($J$4+(J6*2)))</f>
        <v>396.08100000000002</v>
      </c>
      <c r="I33" s="304"/>
      <c r="J33" s="304"/>
    </row>
    <row r="34" spans="2:11" ht="15.75" thickBot="1" x14ac:dyDescent="0.3">
      <c r="B34" s="364"/>
      <c r="C34" s="304"/>
    </row>
    <row r="35" spans="2:11" x14ac:dyDescent="0.25">
      <c r="B35" s="363" t="s">
        <v>203</v>
      </c>
      <c r="C35" s="303">
        <f>C33/I26</f>
        <v>2.7078017966282464</v>
      </c>
      <c r="I35" s="365" t="s">
        <v>51</v>
      </c>
      <c r="J35" s="366"/>
      <c r="K35" s="363" t="s">
        <v>54</v>
      </c>
    </row>
    <row r="36" spans="2:11" ht="15.75" thickBot="1" x14ac:dyDescent="0.3">
      <c r="B36" s="364"/>
      <c r="C36" s="304"/>
      <c r="I36" s="367"/>
      <c r="J36" s="368"/>
      <c r="K36" s="364"/>
    </row>
    <row r="37" spans="2:11" x14ac:dyDescent="0.25">
      <c r="I37" s="303" t="s">
        <v>198</v>
      </c>
      <c r="J37" s="303" t="s">
        <v>45</v>
      </c>
      <c r="K37" s="363" t="s">
        <v>45</v>
      </c>
    </row>
    <row r="38" spans="2:11" ht="15.75" thickBot="1" x14ac:dyDescent="0.3">
      <c r="I38" s="304"/>
      <c r="J38" s="304"/>
      <c r="K38" s="364"/>
    </row>
    <row r="39" spans="2:11" x14ac:dyDescent="0.25">
      <c r="I39" s="303">
        <f>J12+J13</f>
        <v>460.7</v>
      </c>
      <c r="J39" s="303">
        <f>((($C$14*J14)+('50% - 50%'!$C$15*J15)+('50% - 50%'!$C$16*0)))</f>
        <v>6201.3</v>
      </c>
      <c r="K39" s="303">
        <f>((($C$14*$J$14)+('50% - 50%'!$C$15*$J$16)+('50% - 50%'!$C$16*0)))</f>
        <v>6685.3</v>
      </c>
    </row>
    <row r="40" spans="2:11" ht="15.75" thickBot="1" x14ac:dyDescent="0.3">
      <c r="I40" s="304"/>
      <c r="J40" s="304"/>
      <c r="K40" s="304"/>
    </row>
  </sheetData>
  <mergeCells count="38">
    <mergeCell ref="J26:J27"/>
    <mergeCell ref="I37:I38"/>
    <mergeCell ref="J37:J38"/>
    <mergeCell ref="K37:K38"/>
    <mergeCell ref="J32:J33"/>
    <mergeCell ref="I32:I33"/>
    <mergeCell ref="B25:B26"/>
    <mergeCell ref="C25:C26"/>
    <mergeCell ref="B23:B24"/>
    <mergeCell ref="C23:C24"/>
    <mergeCell ref="K39:K40"/>
    <mergeCell ref="K35:K36"/>
    <mergeCell ref="C28:C29"/>
    <mergeCell ref="C30:C31"/>
    <mergeCell ref="I39:I40"/>
    <mergeCell ref="J39:J40"/>
    <mergeCell ref="B33:B34"/>
    <mergeCell ref="C33:C34"/>
    <mergeCell ref="I35:J36"/>
    <mergeCell ref="B35:B36"/>
    <mergeCell ref="C35:C36"/>
    <mergeCell ref="J24:J25"/>
    <mergeCell ref="B30:B31"/>
    <mergeCell ref="B28:B29"/>
    <mergeCell ref="B20:B21"/>
    <mergeCell ref="I2:I3"/>
    <mergeCell ref="J2:J3"/>
    <mergeCell ref="B2:H3"/>
    <mergeCell ref="B4:H4"/>
    <mergeCell ref="I30:I31"/>
    <mergeCell ref="J30:J31"/>
    <mergeCell ref="B6:C6"/>
    <mergeCell ref="B12:C12"/>
    <mergeCell ref="I24:I25"/>
    <mergeCell ref="I22:J23"/>
    <mergeCell ref="I26:I27"/>
    <mergeCell ref="D24:D25"/>
    <mergeCell ref="C20:C2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6"/>
  <sheetViews>
    <sheetView topLeftCell="B14" zoomScale="70" zoomScaleNormal="70" workbookViewId="0">
      <selection activeCell="M45" sqref="M45:O45"/>
    </sheetView>
  </sheetViews>
  <sheetFormatPr defaultRowHeight="15" x14ac:dyDescent="0.25"/>
  <cols>
    <col min="1" max="1" width="37.5703125" style="1" bestFit="1" customWidth="1"/>
    <col min="2" max="2" width="23.42578125" style="1" bestFit="1" customWidth="1"/>
    <col min="3" max="3" width="31.140625" style="1" customWidth="1"/>
    <col min="4" max="4" width="17.7109375" style="1" customWidth="1"/>
    <col min="5" max="5" width="41.5703125" style="1" bestFit="1" customWidth="1"/>
    <col min="6" max="6" width="17.7109375" style="1" bestFit="1" customWidth="1"/>
    <col min="7" max="7" width="14.140625" style="1" customWidth="1"/>
    <col min="8" max="8" width="22.5703125" style="1" bestFit="1" customWidth="1"/>
    <col min="9" max="9" width="32.5703125" style="1" bestFit="1" customWidth="1"/>
    <col min="10" max="10" width="29.42578125" style="1" bestFit="1" customWidth="1"/>
    <col min="11" max="11" width="23.5703125" style="1" bestFit="1" customWidth="1"/>
    <col min="12" max="12" width="17" style="1" bestFit="1" customWidth="1"/>
    <col min="13" max="13" width="16.42578125" style="1" customWidth="1"/>
    <col min="14" max="14" width="29" style="1" customWidth="1"/>
    <col min="15" max="15" width="45.42578125" style="1" bestFit="1" customWidth="1"/>
    <col min="16" max="16" width="26.5703125" style="1" bestFit="1" customWidth="1"/>
    <col min="17" max="17" width="22.5703125" style="1" bestFit="1" customWidth="1"/>
    <col min="18" max="18" width="23.42578125" style="1" bestFit="1" customWidth="1"/>
    <col min="19" max="19" width="32.5703125" style="1" bestFit="1" customWidth="1"/>
    <col min="20" max="20" width="22.28515625" style="1" bestFit="1" customWidth="1"/>
    <col min="21" max="21" width="25.7109375" style="1" bestFit="1" customWidth="1"/>
    <col min="22" max="22" width="24.5703125" style="1" bestFit="1" customWidth="1"/>
    <col min="23" max="23" width="23.42578125" style="1" bestFit="1" customWidth="1"/>
    <col min="24" max="24" width="29.42578125" style="1" bestFit="1" customWidth="1"/>
    <col min="25" max="25" width="14.7109375" style="1" bestFit="1" customWidth="1"/>
    <col min="26" max="26" width="11.85546875" style="1" customWidth="1"/>
    <col min="27" max="27" width="17" style="1" bestFit="1" customWidth="1"/>
    <col min="28" max="28" width="13" style="1" customWidth="1"/>
    <col min="29" max="29" width="8.140625" style="1" bestFit="1" customWidth="1"/>
    <col min="30" max="30" width="11.85546875" style="1" hidden="1" customWidth="1"/>
    <col min="31" max="31" width="17" style="1" hidden="1" customWidth="1"/>
    <col min="32" max="32" width="49.28515625" style="1" customWidth="1"/>
    <col min="33" max="33" width="20.140625" style="1" bestFit="1" customWidth="1"/>
    <col min="34" max="34" width="26.5703125" style="1" bestFit="1" customWidth="1"/>
    <col min="35" max="35" width="14.7109375" style="1" bestFit="1" customWidth="1"/>
    <col min="36" max="36" width="6.28515625" style="1" customWidth="1"/>
    <col min="37" max="38" width="14.7109375" style="1" bestFit="1" customWidth="1"/>
    <col min="39" max="39" width="9.42578125" style="1" bestFit="1" customWidth="1"/>
    <col min="40" max="40" width="14" style="1" bestFit="1" customWidth="1"/>
    <col min="41" max="41" width="12.7109375" style="1" bestFit="1" customWidth="1"/>
    <col min="42" max="16384" width="9.140625" style="1"/>
  </cols>
  <sheetData>
    <row r="1" spans="1:11" ht="15.75" thickBot="1" x14ac:dyDescent="0.3">
      <c r="A1" s="92" t="s">
        <v>72</v>
      </c>
      <c r="B1" s="3">
        <v>1800</v>
      </c>
      <c r="C1" s="115"/>
      <c r="D1" s="115"/>
      <c r="E1" s="293" t="s">
        <v>10</v>
      </c>
      <c r="F1" s="294"/>
      <c r="G1" s="294"/>
      <c r="H1" s="294"/>
      <c r="I1" s="295"/>
      <c r="J1" s="329" t="s">
        <v>6</v>
      </c>
      <c r="K1" s="329" t="s">
        <v>7</v>
      </c>
    </row>
    <row r="2" spans="1:11" ht="15.75" thickBot="1" x14ac:dyDescent="0.3">
      <c r="A2" s="92" t="s">
        <v>148</v>
      </c>
      <c r="B2" s="3">
        <v>4</v>
      </c>
      <c r="C2" s="115"/>
      <c r="D2" s="115"/>
      <c r="E2" s="296"/>
      <c r="F2" s="297"/>
      <c r="G2" s="297"/>
      <c r="H2" s="297"/>
      <c r="I2" s="298"/>
      <c r="J2" s="330"/>
      <c r="K2" s="330"/>
    </row>
    <row r="3" spans="1:11" ht="18.75" thickBot="1" x14ac:dyDescent="0.3">
      <c r="A3" s="92" t="s">
        <v>71</v>
      </c>
      <c r="B3" s="3">
        <v>1600</v>
      </c>
      <c r="C3" s="115"/>
      <c r="D3" s="115"/>
      <c r="E3" s="327" t="s">
        <v>16</v>
      </c>
      <c r="F3" s="371"/>
      <c r="G3" s="371"/>
      <c r="H3" s="371"/>
      <c r="I3" s="328"/>
      <c r="J3" s="4" t="s">
        <v>2</v>
      </c>
      <c r="K3" s="4">
        <v>12.010999999999999</v>
      </c>
    </row>
    <row r="4" spans="1:11" ht="15.75" thickBot="1" x14ac:dyDescent="0.3">
      <c r="A4" s="92" t="s">
        <v>149</v>
      </c>
      <c r="B4" s="3">
        <f>B3/B2</f>
        <v>400</v>
      </c>
      <c r="C4" s="115"/>
      <c r="D4" s="115"/>
      <c r="J4" s="5" t="s">
        <v>3</v>
      </c>
      <c r="K4" s="5">
        <v>1.008</v>
      </c>
    </row>
    <row r="5" spans="1:11" ht="15.75" thickBot="1" x14ac:dyDescent="0.3">
      <c r="A5" s="92" t="s">
        <v>150</v>
      </c>
      <c r="B5" s="3">
        <v>40</v>
      </c>
      <c r="C5" s="115"/>
      <c r="D5" s="115"/>
      <c r="E5" s="2" t="s">
        <v>9</v>
      </c>
      <c r="F5" s="2" t="s">
        <v>8</v>
      </c>
      <c r="J5" s="5" t="s">
        <v>4</v>
      </c>
      <c r="K5" s="5">
        <v>15.999000000000001</v>
      </c>
    </row>
    <row r="6" spans="1:11" ht="15.75" thickBot="1" x14ac:dyDescent="0.3">
      <c r="A6" s="92" t="s">
        <v>152</v>
      </c>
      <c r="B6" s="3">
        <v>0.4</v>
      </c>
      <c r="C6" s="115"/>
      <c r="D6" s="115"/>
      <c r="E6" s="251" t="s">
        <v>0</v>
      </c>
      <c r="F6" s="248">
        <v>8</v>
      </c>
      <c r="J6" s="5" t="s">
        <v>5</v>
      </c>
      <c r="K6" s="5">
        <v>14.007</v>
      </c>
    </row>
    <row r="7" spans="1:11" ht="18.75" thickBot="1" x14ac:dyDescent="0.3">
      <c r="A7" s="92" t="s">
        <v>153</v>
      </c>
      <c r="B7" s="3">
        <f>20+273</f>
        <v>293</v>
      </c>
      <c r="C7" s="115"/>
      <c r="D7" s="115"/>
      <c r="E7" s="455" t="s">
        <v>1</v>
      </c>
      <c r="F7" s="5">
        <v>18</v>
      </c>
      <c r="J7" s="7" t="s">
        <v>18</v>
      </c>
      <c r="K7" s="6">
        <v>3.7619039999999999</v>
      </c>
    </row>
    <row r="8" spans="1:11" ht="15.75" thickBot="1" x14ac:dyDescent="0.3">
      <c r="A8" s="92" t="s">
        <v>154</v>
      </c>
      <c r="B8" s="3">
        <v>8314</v>
      </c>
      <c r="C8" s="115"/>
      <c r="D8" s="115"/>
      <c r="E8" s="13" t="s">
        <v>24</v>
      </c>
      <c r="F8" s="249">
        <v>0</v>
      </c>
      <c r="J8" s="6" t="s">
        <v>32</v>
      </c>
      <c r="K8" s="6">
        <v>32</v>
      </c>
    </row>
    <row r="9" spans="1:11" ht="15.75" thickBot="1" x14ac:dyDescent="0.3">
      <c r="A9" s="95" t="s">
        <v>160</v>
      </c>
      <c r="B9" s="3">
        <f>1*10^5</f>
        <v>100000</v>
      </c>
      <c r="C9" s="115"/>
      <c r="D9" s="115"/>
    </row>
    <row r="10" spans="1:11" ht="18.75" thickBot="1" x14ac:dyDescent="0.3">
      <c r="A10" s="2" t="s">
        <v>67</v>
      </c>
      <c r="B10" s="3">
        <f>4.7*10^13</f>
        <v>47000000000000</v>
      </c>
      <c r="C10" s="115"/>
      <c r="D10" s="115"/>
      <c r="E10" s="323" t="s">
        <v>11</v>
      </c>
      <c r="F10" s="324"/>
      <c r="J10" s="2" t="s">
        <v>39</v>
      </c>
      <c r="K10" s="12" t="s">
        <v>166</v>
      </c>
    </row>
    <row r="11" spans="1:11" ht="18.75" thickBot="1" x14ac:dyDescent="0.3">
      <c r="A11" s="2" t="s">
        <v>174</v>
      </c>
      <c r="B11" s="3">
        <v>-67837</v>
      </c>
      <c r="C11" s="115"/>
      <c r="D11" s="115"/>
      <c r="E11" s="248" t="s">
        <v>17</v>
      </c>
      <c r="F11" s="248">
        <f>(F15/2)</f>
        <v>12.5</v>
      </c>
      <c r="J11" s="19" t="s">
        <v>40</v>
      </c>
      <c r="K11" s="16">
        <v>259.2</v>
      </c>
    </row>
    <row r="12" spans="1:11" ht="18.75" thickBot="1" x14ac:dyDescent="0.3">
      <c r="A12" s="3" t="s">
        <v>234</v>
      </c>
      <c r="B12" s="86">
        <f>(((10^5*($B$4*$B$6)*10^-6)/($B$8*$B$7)))</f>
        <v>6.5681391066181393E-6</v>
      </c>
      <c r="C12" s="141"/>
      <c r="D12" s="260"/>
      <c r="E12" s="5" t="s">
        <v>13</v>
      </c>
      <c r="F12" s="5">
        <f>F6</f>
        <v>8</v>
      </c>
      <c r="J12" s="20" t="s">
        <v>42</v>
      </c>
      <c r="K12" s="17">
        <v>393.5</v>
      </c>
    </row>
    <row r="13" spans="1:11" ht="18" x14ac:dyDescent="0.25">
      <c r="E13" s="26" t="s">
        <v>14</v>
      </c>
      <c r="F13" s="26">
        <f>(F7/2)</f>
        <v>9</v>
      </c>
      <c r="J13" s="21" t="s">
        <v>52</v>
      </c>
      <c r="K13" s="18">
        <v>241.8</v>
      </c>
    </row>
    <row r="14" spans="1:11" ht="18.75" thickBot="1" x14ac:dyDescent="0.3">
      <c r="E14" s="7" t="s">
        <v>15</v>
      </c>
      <c r="F14" s="7">
        <f>F11*K7</f>
        <v>47.023800000000001</v>
      </c>
      <c r="J14" s="22" t="s">
        <v>53</v>
      </c>
      <c r="K14" s="6">
        <v>285.8</v>
      </c>
    </row>
    <row r="15" spans="1:11" ht="15.75" thickBot="1" x14ac:dyDescent="0.3">
      <c r="E15" s="6" t="s">
        <v>25</v>
      </c>
      <c r="F15" s="6">
        <f>(2*F12)+F13</f>
        <v>25</v>
      </c>
    </row>
    <row r="16" spans="1:11" ht="15.75" thickBot="1" x14ac:dyDescent="0.3">
      <c r="E16" s="14"/>
      <c r="F16" s="14"/>
    </row>
    <row r="17" spans="1:34" x14ac:dyDescent="0.25">
      <c r="E17" s="293" t="s">
        <v>22</v>
      </c>
      <c r="F17" s="295"/>
    </row>
    <row r="18" spans="1:34" ht="15.75" thickBot="1" x14ac:dyDescent="0.3">
      <c r="E18" s="296"/>
      <c r="F18" s="298"/>
      <c r="J18" s="15"/>
      <c r="K18" s="15"/>
    </row>
    <row r="19" spans="1:34" x14ac:dyDescent="0.25">
      <c r="E19" s="329" t="s">
        <v>63</v>
      </c>
      <c r="F19" s="303">
        <f>F11*((2*K5)+(K7*2*K6))</f>
        <v>1717.2997331999998</v>
      </c>
      <c r="J19" s="14"/>
      <c r="K19" s="14"/>
    </row>
    <row r="20" spans="1:34" ht="15.75" thickBot="1" x14ac:dyDescent="0.3">
      <c r="E20" s="330"/>
      <c r="F20" s="304"/>
      <c r="J20" s="14"/>
      <c r="K20" s="14"/>
    </row>
    <row r="21" spans="1:34" x14ac:dyDescent="0.25">
      <c r="E21" s="329" t="s">
        <v>50</v>
      </c>
      <c r="F21" s="303">
        <f>(F6*K3)+(F7*K4)</f>
        <v>114.232</v>
      </c>
    </row>
    <row r="22" spans="1:34" ht="15.75" thickBot="1" x14ac:dyDescent="0.3">
      <c r="E22" s="330"/>
      <c r="F22" s="304"/>
      <c r="K22" s="15"/>
    </row>
    <row r="23" spans="1:34" ht="18.75" thickBot="1" x14ac:dyDescent="0.3">
      <c r="K23" s="14"/>
      <c r="M23" s="327" t="s">
        <v>210</v>
      </c>
      <c r="N23" s="371"/>
      <c r="O23" s="328"/>
      <c r="Q23" s="2" t="s">
        <v>73</v>
      </c>
      <c r="R23" s="2" t="s">
        <v>69</v>
      </c>
      <c r="S23" s="106" t="s">
        <v>159</v>
      </c>
      <c r="T23" s="2" t="s">
        <v>29</v>
      </c>
      <c r="U23" s="2" t="s">
        <v>30</v>
      </c>
      <c r="V23" s="116" t="s">
        <v>167</v>
      </c>
      <c r="W23" s="109" t="s">
        <v>173</v>
      </c>
      <c r="X23" s="2" t="s">
        <v>151</v>
      </c>
      <c r="Y23" s="2" t="s">
        <v>155</v>
      </c>
      <c r="Z23" s="106" t="s">
        <v>156</v>
      </c>
      <c r="AA23" s="2" t="s">
        <v>157</v>
      </c>
      <c r="AB23" s="2" t="s">
        <v>158</v>
      </c>
      <c r="AC23" s="2" t="s">
        <v>171</v>
      </c>
      <c r="AD23" s="2" t="s">
        <v>172</v>
      </c>
      <c r="AE23" s="177" t="s">
        <v>178</v>
      </c>
      <c r="AF23" s="177" t="s">
        <v>184</v>
      </c>
      <c r="AG23" s="177" t="s">
        <v>182</v>
      </c>
      <c r="AH23" s="177" t="s">
        <v>183</v>
      </c>
    </row>
    <row r="24" spans="1:34" ht="15.75" thickBot="1" x14ac:dyDescent="0.3">
      <c r="E24" s="329" t="s">
        <v>23</v>
      </c>
      <c r="F24" s="303">
        <f>F19/F21</f>
        <v>15.033438381539321</v>
      </c>
      <c r="K24" s="14"/>
      <c r="M24" s="246" t="s">
        <v>29</v>
      </c>
      <c r="N24" s="3" t="s">
        <v>30</v>
      </c>
      <c r="O24" s="248" t="s">
        <v>209</v>
      </c>
      <c r="Q24" s="86">
        <v>0</v>
      </c>
      <c r="R24" s="86">
        <v>10</v>
      </c>
      <c r="S24" s="96">
        <f t="shared" ref="S24:S29" si="0">R24*10^5</f>
        <v>1000000</v>
      </c>
      <c r="T24" s="97">
        <v>1</v>
      </c>
      <c r="U24" s="135">
        <v>5065.0000000000009</v>
      </c>
      <c r="V24" s="130">
        <v>2327.3884334319523</v>
      </c>
      <c r="W24" s="86">
        <f>(((10^5*($B$4*$B$6)*10^-6)/($B$8*$B$7)))</f>
        <v>6.5681391066181393E-6</v>
      </c>
      <c r="X24" s="86">
        <f t="shared" ref="X24:X29" si="1">$W$24/(T24*$F$11*((AA24/2)+3.76))</f>
        <v>1.3974764056634339E-7</v>
      </c>
      <c r="Y24" s="107">
        <f t="shared" ref="Y24:Y29" si="2">T24*$F$12</f>
        <v>8</v>
      </c>
      <c r="Z24" s="96">
        <f t="shared" ref="Z24:Z29" si="3">T24*$F$13</f>
        <v>9</v>
      </c>
      <c r="AA24" s="137">
        <f t="shared" ref="AA24:AA29" si="4">(($F$15/2)*(1-T24))</f>
        <v>0</v>
      </c>
      <c r="AB24" s="123">
        <f t="shared" ref="AB24:AB36" si="5">$F$14</f>
        <v>47.023800000000001</v>
      </c>
      <c r="AC24" s="129">
        <f t="shared" ref="AC24:AC29" si="6">((AA24*X24)/($B$5*10^-6))</f>
        <v>0</v>
      </c>
      <c r="AD24" s="137">
        <f>((AB24*X24)/($B$5*10^-6))</f>
        <v>0.16428662751159046</v>
      </c>
      <c r="AE24" s="153">
        <f>((4.7*10^13*AD24*(AC24^0.5)*EXP($B$11/V24))/($B$1*6))*$B$5*10^-6</f>
        <v>0</v>
      </c>
      <c r="AF24" s="190"/>
      <c r="AG24" s="189"/>
      <c r="AH24" s="189"/>
    </row>
    <row r="25" spans="1:34" ht="15.75" thickBot="1" x14ac:dyDescent="0.3">
      <c r="E25" s="330"/>
      <c r="F25" s="304"/>
      <c r="M25" s="167">
        <v>1</v>
      </c>
      <c r="N25" s="86">
        <v>5065.0000000000009</v>
      </c>
      <c r="O25" s="248">
        <v>2390.3031441465077</v>
      </c>
      <c r="Q25" s="86">
        <v>1</v>
      </c>
      <c r="R25" s="86">
        <f>R24+2</f>
        <v>12</v>
      </c>
      <c r="S25" s="96">
        <f t="shared" si="0"/>
        <v>1200000</v>
      </c>
      <c r="T25" s="86">
        <v>0.99</v>
      </c>
      <c r="U25" s="86">
        <f t="shared" ref="U25:U29" si="7">(((Y25*$K$12)+(Z25*$K$13)+($F$14*0)))-$A$30</f>
        <v>5011.7580000000007</v>
      </c>
      <c r="V25" s="138">
        <v>2322.5378229667062</v>
      </c>
      <c r="W25" s="86">
        <f t="shared" ref="W25:W36" si="8">(((10^5*($B$4*$B$6)*10^-6)/($B$8*$B$7)))</f>
        <v>6.5681391066181393E-6</v>
      </c>
      <c r="X25" s="86">
        <f t="shared" si="1"/>
        <v>1.3885120096437262E-7</v>
      </c>
      <c r="Y25" s="86">
        <f t="shared" si="2"/>
        <v>7.92</v>
      </c>
      <c r="Z25" s="96">
        <f t="shared" si="3"/>
        <v>8.91</v>
      </c>
      <c r="AA25" s="136">
        <f t="shared" si="4"/>
        <v>0.12500000000000011</v>
      </c>
      <c r="AB25" s="97">
        <f t="shared" si="5"/>
        <v>47.023800000000001</v>
      </c>
      <c r="AC25" s="132">
        <f t="shared" si="6"/>
        <v>4.3391000301366492E-4</v>
      </c>
      <c r="AD25" s="136">
        <f t="shared" ref="AD25:AD29" si="9">((AB25*X25)/($B$5*10^-6))</f>
        <v>0.16323277759771165</v>
      </c>
      <c r="AE25" s="153">
        <f t="shared" ref="AE25:AE29" si="10">((4.7*10^13*AD25*(AC25^0.5)*EXP($B$11/V25))/($B$1*6))*$B$5*10^-6</f>
        <v>1.2226696049552853E-10</v>
      </c>
      <c r="AF25" s="140"/>
      <c r="AG25" s="140"/>
      <c r="AH25" s="140"/>
    </row>
    <row r="26" spans="1:34" ht="15.75" thickBot="1" x14ac:dyDescent="0.3">
      <c r="A26" s="299" t="s">
        <v>30</v>
      </c>
      <c r="B26" s="300"/>
      <c r="C26" s="303" t="s">
        <v>54</v>
      </c>
      <c r="D26" s="115"/>
      <c r="M26" s="88">
        <v>0.99</v>
      </c>
      <c r="N26" s="86">
        <v>5011.7580000000007</v>
      </c>
      <c r="O26" s="86">
        <v>2373.899087881432</v>
      </c>
      <c r="Q26" s="86">
        <v>2</v>
      </c>
      <c r="R26" s="86">
        <f t="shared" ref="R26:R36" si="11">R25+2</f>
        <v>14</v>
      </c>
      <c r="S26" s="96">
        <f t="shared" si="0"/>
        <v>1400000</v>
      </c>
      <c r="T26" s="97">
        <v>0.98</v>
      </c>
      <c r="U26" s="86">
        <f t="shared" si="7"/>
        <v>4958.5160000000005</v>
      </c>
      <c r="V26" s="138">
        <v>2295.6162170734624</v>
      </c>
      <c r="W26" s="86">
        <f t="shared" si="8"/>
        <v>6.5681391066181393E-6</v>
      </c>
      <c r="X26" s="86">
        <f t="shared" si="1"/>
        <v>1.3801148544360864E-7</v>
      </c>
      <c r="Y26" s="86">
        <f t="shared" si="2"/>
        <v>7.84</v>
      </c>
      <c r="Z26" s="96">
        <f t="shared" si="3"/>
        <v>8.82</v>
      </c>
      <c r="AA26" s="136">
        <f t="shared" si="4"/>
        <v>0.25000000000000022</v>
      </c>
      <c r="AB26" s="97">
        <f t="shared" si="5"/>
        <v>47.023800000000001</v>
      </c>
      <c r="AC26" s="132">
        <f t="shared" si="6"/>
        <v>8.6257178402255491E-4</v>
      </c>
      <c r="AD26" s="136">
        <f t="shared" si="9"/>
        <v>0.16224561223007913</v>
      </c>
      <c r="AE26" s="153">
        <f t="shared" si="10"/>
        <v>1.2164975694412369E-10</v>
      </c>
      <c r="AF26" s="140"/>
      <c r="AG26" s="140"/>
      <c r="AH26" s="140"/>
    </row>
    <row r="27" spans="1:34" ht="25.5" customHeight="1" thickBot="1" x14ac:dyDescent="0.3">
      <c r="A27" s="301"/>
      <c r="B27" s="302"/>
      <c r="C27" s="304"/>
      <c r="D27" s="140"/>
      <c r="E27" s="303" t="s">
        <v>61</v>
      </c>
      <c r="F27" s="303">
        <f>B30-A30</f>
        <v>5065.0000000000009</v>
      </c>
      <c r="I27" s="449" t="s">
        <v>233</v>
      </c>
      <c r="J27" s="450"/>
      <c r="K27" s="451"/>
      <c r="M27" s="168">
        <v>0.98</v>
      </c>
      <c r="N27" s="86">
        <v>4958.5160000000005</v>
      </c>
      <c r="O27" s="86">
        <v>2357.4217456957945</v>
      </c>
      <c r="Q27" s="86">
        <v>3</v>
      </c>
      <c r="R27" s="86">
        <f t="shared" si="11"/>
        <v>16</v>
      </c>
      <c r="S27" s="96">
        <f t="shared" si="0"/>
        <v>1600000</v>
      </c>
      <c r="T27" s="86">
        <v>0.97</v>
      </c>
      <c r="U27" s="86">
        <f t="shared" si="7"/>
        <v>4905.2740000000003</v>
      </c>
      <c r="V27" s="138">
        <v>2279.6026931400884</v>
      </c>
      <c r="W27" s="86">
        <f t="shared" si="8"/>
        <v>6.5681391066181393E-6</v>
      </c>
      <c r="X27" s="86">
        <f t="shared" si="1"/>
        <v>1.3722664834965394E-7</v>
      </c>
      <c r="Y27" s="86">
        <f t="shared" si="2"/>
        <v>7.76</v>
      </c>
      <c r="Z27" s="96">
        <f t="shared" si="3"/>
        <v>8.73</v>
      </c>
      <c r="AA27" s="136">
        <f t="shared" si="4"/>
        <v>0.37500000000000033</v>
      </c>
      <c r="AB27" s="97">
        <f t="shared" si="5"/>
        <v>47.023800000000001</v>
      </c>
      <c r="AC27" s="132">
        <f t="shared" si="6"/>
        <v>1.2864998282780069E-3</v>
      </c>
      <c r="AD27" s="136">
        <f t="shared" si="9"/>
        <v>0.16132296166661145</v>
      </c>
      <c r="AE27" s="153">
        <f t="shared" si="10"/>
        <v>1.2002974235052372E-10</v>
      </c>
      <c r="AF27" s="140"/>
      <c r="AG27" s="140"/>
      <c r="AH27" s="140"/>
    </row>
    <row r="28" spans="1:34" ht="26.25" customHeight="1" thickBot="1" x14ac:dyDescent="0.5">
      <c r="A28" s="303" t="s">
        <v>44</v>
      </c>
      <c r="B28" s="303" t="s">
        <v>45</v>
      </c>
      <c r="C28" s="303" t="s">
        <v>45</v>
      </c>
      <c r="D28" s="140"/>
      <c r="E28" s="304"/>
      <c r="F28" s="304"/>
      <c r="I28" s="452" t="s">
        <v>213</v>
      </c>
      <c r="J28" s="453"/>
      <c r="K28" s="454"/>
      <c r="M28" s="88">
        <v>0.97</v>
      </c>
      <c r="N28" s="86">
        <v>4905.2740000000003</v>
      </c>
      <c r="O28" s="86">
        <v>2340.8651830428967</v>
      </c>
      <c r="Q28" s="86">
        <v>4</v>
      </c>
      <c r="R28" s="86">
        <f t="shared" si="11"/>
        <v>18</v>
      </c>
      <c r="S28" s="96">
        <f t="shared" si="0"/>
        <v>1800000</v>
      </c>
      <c r="T28" s="97">
        <v>0.96</v>
      </c>
      <c r="U28" s="86">
        <f t="shared" si="7"/>
        <v>4852.0320000000002</v>
      </c>
      <c r="V28" s="138">
        <v>2263.5074655690573</v>
      </c>
      <c r="W28" s="86">
        <f t="shared" si="8"/>
        <v>6.5681391066181393E-6</v>
      </c>
      <c r="X28" s="86">
        <f t="shared" si="1"/>
        <v>1.3649499390312011E-7</v>
      </c>
      <c r="Y28" s="86">
        <f t="shared" si="2"/>
        <v>7.68</v>
      </c>
      <c r="Z28" s="96">
        <f t="shared" si="3"/>
        <v>8.64</v>
      </c>
      <c r="AA28" s="136">
        <f t="shared" si="4"/>
        <v>0.50000000000000044</v>
      </c>
      <c r="AB28" s="97">
        <f t="shared" si="5"/>
        <v>47.023800000000001</v>
      </c>
      <c r="AC28" s="132">
        <f t="shared" si="6"/>
        <v>1.7061874237890033E-3</v>
      </c>
      <c r="AD28" s="136">
        <f t="shared" si="9"/>
        <v>0.16046283235753853</v>
      </c>
      <c r="AE28" s="153">
        <f t="shared" si="10"/>
        <v>1.112698364478602E-10</v>
      </c>
      <c r="AF28" s="140"/>
      <c r="AG28" s="140"/>
      <c r="AH28" s="140"/>
    </row>
    <row r="29" spans="1:34" ht="15.75" thickBot="1" x14ac:dyDescent="0.3">
      <c r="A29" s="304"/>
      <c r="B29" s="304"/>
      <c r="C29" s="304"/>
      <c r="D29" s="140"/>
      <c r="E29" s="303" t="s">
        <v>62</v>
      </c>
      <c r="F29" s="303">
        <f>C30-A30</f>
        <v>5461.0000000000009</v>
      </c>
      <c r="M29" s="168">
        <v>0.96</v>
      </c>
      <c r="N29" s="86">
        <v>4852.0320000000002</v>
      </c>
      <c r="O29" s="86">
        <v>2324.2344963135702</v>
      </c>
      <c r="Q29" s="86">
        <v>5</v>
      </c>
      <c r="R29" s="86">
        <f t="shared" si="11"/>
        <v>20</v>
      </c>
      <c r="S29" s="96">
        <f t="shared" si="0"/>
        <v>2000000</v>
      </c>
      <c r="T29" s="86">
        <v>0.95</v>
      </c>
      <c r="U29" s="86">
        <f t="shared" si="7"/>
        <v>4798.79</v>
      </c>
      <c r="V29" s="138">
        <v>2247.3249376917024</v>
      </c>
      <c r="W29" s="86">
        <f t="shared" si="8"/>
        <v>6.5681391066181393E-6</v>
      </c>
      <c r="X29" s="86">
        <f t="shared" si="1"/>
        <v>1.358149665030406E-7</v>
      </c>
      <c r="Y29" s="86">
        <f t="shared" si="2"/>
        <v>7.6</v>
      </c>
      <c r="Z29" s="96">
        <f t="shared" si="3"/>
        <v>8.5499999999999989</v>
      </c>
      <c r="AA29" s="136">
        <f t="shared" si="4"/>
        <v>0.62500000000000056</v>
      </c>
      <c r="AB29" s="97">
        <f t="shared" si="5"/>
        <v>47.023800000000001</v>
      </c>
      <c r="AC29" s="132">
        <f t="shared" si="6"/>
        <v>2.1221088516100114E-3</v>
      </c>
      <c r="AD29" s="136">
        <f t="shared" si="9"/>
        <v>0.15966339554614201</v>
      </c>
      <c r="AE29" s="153">
        <f t="shared" si="10"/>
        <v>9.9507336055018498E-11</v>
      </c>
      <c r="AF29" s="140"/>
      <c r="AG29" s="140"/>
      <c r="AH29" s="140"/>
    </row>
    <row r="30" spans="1:34" ht="15.75" thickBot="1" x14ac:dyDescent="0.3">
      <c r="A30" s="303">
        <f>K11</f>
        <v>259.2</v>
      </c>
      <c r="B30" s="303">
        <f>(((F12*K12)+(F13*K13)+(F14*0)))</f>
        <v>5324.2000000000007</v>
      </c>
      <c r="C30" s="303">
        <f>(((F12*K12)+(F13*K14)+(F14*0)))</f>
        <v>5720.2000000000007</v>
      </c>
      <c r="D30" s="140"/>
      <c r="E30" s="304"/>
      <c r="F30" s="304"/>
      <c r="H30" s="329" t="s">
        <v>168</v>
      </c>
      <c r="I30" s="374">
        <v>0.97</v>
      </c>
      <c r="M30" s="88">
        <v>0.95</v>
      </c>
      <c r="N30" s="86">
        <v>4798.79</v>
      </c>
      <c r="O30" s="86">
        <v>2307.5237408041567</v>
      </c>
      <c r="Q30" s="86">
        <v>6</v>
      </c>
      <c r="R30" s="86">
        <f t="shared" si="11"/>
        <v>22</v>
      </c>
      <c r="S30" s="96">
        <f t="shared" ref="S30:S36" si="12">R30*10^5</f>
        <v>2200000</v>
      </c>
      <c r="T30" s="86">
        <v>0.9</v>
      </c>
      <c r="U30" s="86">
        <f t="shared" ref="U30:U36" si="13">(((Y30*$K$12)+(Z30*$K$13)+($F$14*0)))-$A$30</f>
        <v>4532.5800000000008</v>
      </c>
      <c r="V30" s="138">
        <v>2165.0278408490794</v>
      </c>
      <c r="W30" s="86">
        <f t="shared" si="8"/>
        <v>6.5681391066181393E-6</v>
      </c>
      <c r="X30" s="86">
        <f t="shared" ref="X30:X36" si="14">$W$24/(T30*$F$11*((AA30/2)+3.76))</f>
        <v>1.331435774811735E-7</v>
      </c>
      <c r="Y30" s="86">
        <f t="shared" ref="Y30:Y36" si="15">T30*$F$12</f>
        <v>7.2</v>
      </c>
      <c r="Z30" s="96">
        <f t="shared" ref="Z30:Z36" si="16">T30*$F$13</f>
        <v>8.1</v>
      </c>
      <c r="AA30" s="136">
        <f t="shared" ref="AA30:AA36" si="17">(($F$15/2)*(1-T30))</f>
        <v>1.2499999999999998</v>
      </c>
      <c r="AB30" s="97">
        <f t="shared" si="5"/>
        <v>47.023800000000001</v>
      </c>
      <c r="AC30" s="132">
        <f t="shared" ref="AC30:AC36" si="18">((AA30*X30)/($B$5*10^-6))</f>
        <v>4.160736796286672E-3</v>
      </c>
      <c r="AD30" s="136">
        <f t="shared" ref="AD30:AD36" si="19">((AB30*X30)/($B$5*10^-6))</f>
        <v>0.15652292396898015</v>
      </c>
      <c r="AE30" s="153">
        <f t="shared" ref="AE30:AE36" si="20">((4.7*10^13*AD30*(AC30^0.5)*EXP($B$11/V30))/($B$1*6))*$B$5*10^-6</f>
        <v>4.3362221656952997E-11</v>
      </c>
      <c r="AF30" s="140"/>
      <c r="AG30" s="140"/>
      <c r="AH30" s="140"/>
    </row>
    <row r="31" spans="1:34" ht="15.75" thickBot="1" x14ac:dyDescent="0.3">
      <c r="A31" s="304"/>
      <c r="B31" s="304"/>
      <c r="C31" s="304"/>
      <c r="D31" s="115"/>
      <c r="H31" s="330"/>
      <c r="I31" s="375"/>
      <c r="M31" s="168">
        <v>0.9</v>
      </c>
      <c r="N31" s="86">
        <v>4532.5800000000008</v>
      </c>
      <c r="O31" s="86">
        <v>2222.6844526653595</v>
      </c>
      <c r="Q31" s="86">
        <v>7</v>
      </c>
      <c r="R31" s="86">
        <f t="shared" si="11"/>
        <v>24</v>
      </c>
      <c r="S31" s="96">
        <f t="shared" si="12"/>
        <v>2400000</v>
      </c>
      <c r="T31" s="97">
        <v>0.85</v>
      </c>
      <c r="U31" s="86">
        <f t="shared" si="13"/>
        <v>4266.37</v>
      </c>
      <c r="V31" s="138">
        <v>2080.2454716720031</v>
      </c>
      <c r="W31" s="86">
        <f t="shared" si="8"/>
        <v>6.5681391066181393E-6</v>
      </c>
      <c r="X31" s="86">
        <f t="shared" si="14"/>
        <v>1.3159718962638479E-7</v>
      </c>
      <c r="Y31" s="86">
        <f t="shared" si="15"/>
        <v>6.8</v>
      </c>
      <c r="Z31" s="96">
        <f t="shared" si="16"/>
        <v>7.6499999999999995</v>
      </c>
      <c r="AA31" s="136">
        <f t="shared" si="17"/>
        <v>1.8750000000000002</v>
      </c>
      <c r="AB31" s="97">
        <f t="shared" si="5"/>
        <v>47.023800000000001</v>
      </c>
      <c r="AC31" s="132">
        <f t="shared" si="18"/>
        <v>6.1686182637367875E-3</v>
      </c>
      <c r="AD31" s="136">
        <f t="shared" si="19"/>
        <v>0.15470499813882985</v>
      </c>
      <c r="AE31" s="153">
        <f t="shared" si="20"/>
        <v>1.4552867860107236E-11</v>
      </c>
      <c r="AF31" s="140"/>
      <c r="AG31" s="140"/>
      <c r="AH31" s="140"/>
    </row>
    <row r="32" spans="1:34" ht="15.75" thickBot="1" x14ac:dyDescent="0.3">
      <c r="F32" s="372"/>
      <c r="M32" s="88">
        <v>0.85</v>
      </c>
      <c r="N32" s="86">
        <v>4266.37</v>
      </c>
      <c r="O32" s="86">
        <v>2135.4957595947385</v>
      </c>
      <c r="Q32" s="86">
        <v>8</v>
      </c>
      <c r="R32" s="86">
        <f t="shared" si="11"/>
        <v>26</v>
      </c>
      <c r="S32" s="96">
        <f t="shared" si="12"/>
        <v>2600000</v>
      </c>
      <c r="T32" s="86">
        <v>0.8</v>
      </c>
      <c r="U32" s="86">
        <f t="shared" si="13"/>
        <v>4000.1600000000008</v>
      </c>
      <c r="V32" s="138">
        <v>1992.742449629257</v>
      </c>
      <c r="W32" s="86">
        <f t="shared" si="8"/>
        <v>6.5681391066181393E-6</v>
      </c>
      <c r="X32" s="86">
        <f t="shared" si="14"/>
        <v>1.3110058097042195E-7</v>
      </c>
      <c r="Y32" s="86">
        <f t="shared" si="15"/>
        <v>6.4</v>
      </c>
      <c r="Z32" s="96">
        <f t="shared" si="16"/>
        <v>7.2</v>
      </c>
      <c r="AA32" s="136">
        <f t="shared" si="17"/>
        <v>2.4999999999999996</v>
      </c>
      <c r="AB32" s="97">
        <f t="shared" si="5"/>
        <v>47.023800000000001</v>
      </c>
      <c r="AC32" s="132">
        <f t="shared" si="18"/>
        <v>8.1937863106513707E-3</v>
      </c>
      <c r="AD32" s="136">
        <f t="shared" si="19"/>
        <v>0.15412118748592321</v>
      </c>
      <c r="AE32" s="153">
        <f t="shared" si="20"/>
        <v>3.9909160695294631E-12</v>
      </c>
      <c r="AF32" s="140"/>
      <c r="AG32" s="140"/>
      <c r="AH32" s="140"/>
    </row>
    <row r="33" spans="2:34" x14ac:dyDescent="0.25">
      <c r="F33" s="372"/>
      <c r="H33" s="299" t="s">
        <v>58</v>
      </c>
      <c r="I33" s="420"/>
      <c r="J33" s="420"/>
      <c r="K33" s="300"/>
      <c r="M33" s="168">
        <v>0.8</v>
      </c>
      <c r="N33" s="86">
        <v>4000.1600000000008</v>
      </c>
      <c r="O33" s="86">
        <v>2045.6734007270011</v>
      </c>
      <c r="Q33" s="86">
        <v>9</v>
      </c>
      <c r="R33" s="86">
        <f t="shared" si="11"/>
        <v>28</v>
      </c>
      <c r="S33" s="96">
        <f t="shared" si="12"/>
        <v>2800000</v>
      </c>
      <c r="T33" s="97">
        <v>0.75</v>
      </c>
      <c r="U33" s="86">
        <f t="shared" si="13"/>
        <v>3733.9500000000003</v>
      </c>
      <c r="V33" s="138">
        <v>1902.3214290697565</v>
      </c>
      <c r="W33" s="86">
        <f t="shared" si="8"/>
        <v>6.5681391066181393E-6</v>
      </c>
      <c r="X33" s="86">
        <f t="shared" si="14"/>
        <v>1.3163015588650725E-7</v>
      </c>
      <c r="Y33" s="86">
        <f t="shared" si="15"/>
        <v>6</v>
      </c>
      <c r="Z33" s="96">
        <f t="shared" si="16"/>
        <v>6.75</v>
      </c>
      <c r="AA33" s="136">
        <f t="shared" si="17"/>
        <v>3.125</v>
      </c>
      <c r="AB33" s="97">
        <f t="shared" si="5"/>
        <v>47.023800000000001</v>
      </c>
      <c r="AC33" s="132">
        <f t="shared" si="18"/>
        <v>1.028360592863338E-2</v>
      </c>
      <c r="AD33" s="136">
        <f t="shared" si="19"/>
        <v>0.1547437531093985</v>
      </c>
      <c r="AE33" s="153">
        <f t="shared" si="20"/>
        <v>8.9007986329463188E-13</v>
      </c>
      <c r="AF33" s="140"/>
      <c r="AG33" s="140"/>
      <c r="AH33" s="140"/>
    </row>
    <row r="34" spans="2:34" ht="15.75" thickBot="1" x14ac:dyDescent="0.3">
      <c r="H34" s="301"/>
      <c r="I34" s="421"/>
      <c r="J34" s="421"/>
      <c r="K34" s="302"/>
      <c r="M34" s="88">
        <v>0.75</v>
      </c>
      <c r="N34" s="86">
        <v>3733.9500000000003</v>
      </c>
      <c r="O34" s="86">
        <v>1952.9587154667636</v>
      </c>
      <c r="Q34" s="86">
        <v>10</v>
      </c>
      <c r="R34" s="86">
        <f t="shared" si="11"/>
        <v>30</v>
      </c>
      <c r="S34" s="96">
        <f t="shared" si="12"/>
        <v>3000000</v>
      </c>
      <c r="T34" s="86">
        <v>0.7</v>
      </c>
      <c r="U34" s="86">
        <f t="shared" si="13"/>
        <v>3467.74</v>
      </c>
      <c r="V34" s="138">
        <v>1808.8507020907145</v>
      </c>
      <c r="W34" s="86">
        <f t="shared" si="8"/>
        <v>6.5681391066181393E-6</v>
      </c>
      <c r="X34" s="86">
        <f t="shared" si="14"/>
        <v>1.3321108594991789E-7</v>
      </c>
      <c r="Y34" s="86">
        <f t="shared" si="15"/>
        <v>5.6</v>
      </c>
      <c r="Z34" s="96">
        <f t="shared" si="16"/>
        <v>6.3</v>
      </c>
      <c r="AA34" s="136">
        <f t="shared" si="17"/>
        <v>3.7500000000000004</v>
      </c>
      <c r="AB34" s="97">
        <f t="shared" si="5"/>
        <v>47.023800000000001</v>
      </c>
      <c r="AC34" s="132">
        <f t="shared" si="18"/>
        <v>1.2488539307804806E-2</v>
      </c>
      <c r="AD34" s="136">
        <f t="shared" si="19"/>
        <v>0.15660228658729375</v>
      </c>
      <c r="AE34" s="153">
        <f t="shared" si="20"/>
        <v>1.5722470289486766E-13</v>
      </c>
      <c r="AF34" s="140"/>
      <c r="AG34" s="140"/>
      <c r="AH34" s="140"/>
    </row>
    <row r="35" spans="2:34" ht="15" customHeight="1" x14ac:dyDescent="0.25">
      <c r="E35" s="329" t="s">
        <v>43</v>
      </c>
      <c r="F35" s="303">
        <f>F27/F21</f>
        <v>44.33958960711535</v>
      </c>
      <c r="H35" s="299" t="s">
        <v>170</v>
      </c>
      <c r="I35" s="300"/>
      <c r="J35" s="246">
        <v>2340.8651771010818</v>
      </c>
      <c r="K35" s="120"/>
      <c r="M35" s="168">
        <v>0.7</v>
      </c>
      <c r="N35" s="86">
        <v>3467.74</v>
      </c>
      <c r="O35" s="86">
        <v>1857.1459153237527</v>
      </c>
      <c r="Q35" s="86">
        <v>11</v>
      </c>
      <c r="R35" s="86">
        <f t="shared" si="11"/>
        <v>32</v>
      </c>
      <c r="S35" s="96">
        <f t="shared" si="12"/>
        <v>3200000</v>
      </c>
      <c r="T35" s="86">
        <v>0.65</v>
      </c>
      <c r="U35" s="86">
        <f t="shared" si="13"/>
        <v>3201.5300000000007</v>
      </c>
      <c r="V35" s="138">
        <v>1712.2910758068738</v>
      </c>
      <c r="W35" s="86">
        <f t="shared" si="8"/>
        <v>6.5681391066181393E-6</v>
      </c>
      <c r="X35" s="86">
        <f t="shared" si="14"/>
        <v>1.3592036176271897E-7</v>
      </c>
      <c r="Y35" s="86">
        <f t="shared" si="15"/>
        <v>5.2</v>
      </c>
      <c r="Z35" s="96">
        <f t="shared" si="16"/>
        <v>5.8500000000000005</v>
      </c>
      <c r="AA35" s="136">
        <f t="shared" si="17"/>
        <v>4.375</v>
      </c>
      <c r="AB35" s="97">
        <f t="shared" si="5"/>
        <v>47.023800000000001</v>
      </c>
      <c r="AC35" s="132">
        <f t="shared" si="18"/>
        <v>1.486628956779739E-2</v>
      </c>
      <c r="AD35" s="136">
        <f t="shared" si="19"/>
        <v>0.15978729768644362</v>
      </c>
      <c r="AE35" s="153">
        <f t="shared" si="20"/>
        <v>2.1117271647954695E-14</v>
      </c>
      <c r="AF35" s="140"/>
      <c r="AG35" s="140"/>
      <c r="AH35" s="140"/>
    </row>
    <row r="36" spans="2:34" ht="15.75" thickBot="1" x14ac:dyDescent="0.3">
      <c r="E36" s="330"/>
      <c r="F36" s="304"/>
      <c r="H36" s="301"/>
      <c r="I36" s="302"/>
      <c r="J36" s="121"/>
      <c r="K36" s="122"/>
      <c r="M36" s="88">
        <v>0.65</v>
      </c>
      <c r="N36" s="86">
        <v>3201.5300000000007</v>
      </c>
      <c r="O36" s="86">
        <v>1758.1155324548247</v>
      </c>
      <c r="Q36" s="86">
        <v>12</v>
      </c>
      <c r="R36" s="86">
        <f t="shared" si="11"/>
        <v>34</v>
      </c>
      <c r="S36" s="99">
        <f t="shared" si="12"/>
        <v>3400000</v>
      </c>
      <c r="T36" s="103">
        <v>0.6</v>
      </c>
      <c r="U36" s="108">
        <f t="shared" si="13"/>
        <v>2935.32</v>
      </c>
      <c r="V36" s="139">
        <v>1612.7439154155127</v>
      </c>
      <c r="W36" s="108">
        <f t="shared" si="8"/>
        <v>6.5681391066181393E-6</v>
      </c>
      <c r="X36" s="108">
        <f t="shared" si="14"/>
        <v>1.3989646659463557E-7</v>
      </c>
      <c r="Y36" s="108">
        <f t="shared" si="15"/>
        <v>4.8</v>
      </c>
      <c r="Z36" s="99">
        <f t="shared" si="16"/>
        <v>5.3999999999999995</v>
      </c>
      <c r="AA36" s="125">
        <f t="shared" si="17"/>
        <v>5</v>
      </c>
      <c r="AB36" s="124">
        <f t="shared" si="5"/>
        <v>47.023800000000001</v>
      </c>
      <c r="AC36" s="133">
        <f t="shared" si="18"/>
        <v>1.7487058324329448E-2</v>
      </c>
      <c r="AD36" s="125">
        <f t="shared" si="19"/>
        <v>0.16446158664632063</v>
      </c>
      <c r="AE36" s="153">
        <f t="shared" si="20"/>
        <v>2.0435583368638467E-15</v>
      </c>
      <c r="AF36" s="140"/>
      <c r="AG36" s="140"/>
      <c r="AH36" s="140"/>
    </row>
    <row r="37" spans="2:34" ht="15" customHeight="1" thickBot="1" x14ac:dyDescent="0.3">
      <c r="E37" s="329" t="s">
        <v>55</v>
      </c>
      <c r="F37" s="303">
        <f>F29/F21</f>
        <v>47.80621892289377</v>
      </c>
      <c r="H37" s="299" t="s">
        <v>59</v>
      </c>
      <c r="I37" s="300"/>
      <c r="J37" s="376">
        <f>($F$12*$I$30*( 8.5770134353E-19*$J$35^6 - 1.0374875556E-14*$J$35^5 + 4.9689475953E-11*$J$35^4 - 0.00000012019118054*$J$35^3 + 0.00015650954893*$J$35^2 - 0.048239362033*$J$35 + 5.2084519626) + ($F$13*$I$30*(6.6506859177E-19*$J$35^6 - 7.8984343104E-15*$J$35^5 + 3.6879849877E-11*$J$35^4 - 0.000000086386228559*$J$35^3 + 0.00011074017861*$J$35^2 - 0.031241611608*$J$35 + 3.3006694533) + ($F$14*(5.9376621671E-19*$J$35^6 - 7.1020711589E-15*$J$35^5 + 3.3460896805E-11*$J$35^4 - 0.000000078909601634*$J$35^3 + 0.000098599769212*$J$35^2 - 0.028172899156*$J$35 + 3.05378908) + ($F$11*(1-I30)*(6.4958291549E-19*$J$35^6 - 7.8224528491E-15*$J$35^5 + 3.7120417697E-11*$J$35^4 - 0.00000008798317617*$J$35^3 + 0.00010982327235*$J$35^2 - 0.032606444641*$J$35 + 3.5786489003)))))</f>
        <v>4905.2699806140217</v>
      </c>
      <c r="K37" s="120"/>
      <c r="M37" s="169">
        <v>0.6</v>
      </c>
      <c r="N37" s="249">
        <v>2935.32</v>
      </c>
      <c r="O37" s="249">
        <v>1655.8692558793909</v>
      </c>
      <c r="AF37" s="140"/>
      <c r="AG37" s="140"/>
      <c r="AH37" s="140"/>
    </row>
    <row r="38" spans="2:34" ht="18" customHeight="1" thickBot="1" x14ac:dyDescent="0.3">
      <c r="E38" s="330"/>
      <c r="F38" s="304"/>
      <c r="H38" s="301"/>
      <c r="I38" s="302"/>
      <c r="J38" s="377"/>
      <c r="K38" s="122"/>
      <c r="M38" s="98"/>
      <c r="AF38" s="140"/>
      <c r="AG38" s="140"/>
      <c r="AH38" s="140"/>
    </row>
    <row r="39" spans="2:34" ht="15.75" thickBot="1" x14ac:dyDescent="0.3">
      <c r="J39" s="373"/>
      <c r="M39" s="98"/>
      <c r="AF39" s="140"/>
      <c r="AG39" s="140"/>
      <c r="AH39" s="140"/>
    </row>
    <row r="40" spans="2:34" ht="18" customHeight="1" thickBot="1" x14ac:dyDescent="0.3">
      <c r="E40" s="329" t="s">
        <v>56</v>
      </c>
      <c r="F40" s="303">
        <f>(F12*(K3+(K5*2)))</f>
        <v>352.072</v>
      </c>
      <c r="J40" s="373"/>
      <c r="M40" s="94"/>
      <c r="AF40" s="188"/>
      <c r="AG40" s="188"/>
      <c r="AH40" s="188"/>
    </row>
    <row r="41" spans="2:34" ht="15.75" thickBot="1" x14ac:dyDescent="0.3">
      <c r="E41" s="330"/>
      <c r="F41" s="304"/>
    </row>
    <row r="42" spans="2:34" x14ac:dyDescent="0.25">
      <c r="E42" s="329" t="s">
        <v>57</v>
      </c>
      <c r="F42" s="303">
        <f>F40/F21</f>
        <v>3.0820785769311576</v>
      </c>
    </row>
    <row r="43" spans="2:34" ht="15.75" thickBot="1" x14ac:dyDescent="0.3">
      <c r="E43" s="330"/>
      <c r="F43" s="304"/>
    </row>
    <row r="44" spans="2:34" ht="15.75" thickBot="1" x14ac:dyDescent="0.3"/>
    <row r="45" spans="2:34" ht="19.5" thickBot="1" x14ac:dyDescent="0.3">
      <c r="B45" s="2" t="s">
        <v>29</v>
      </c>
      <c r="C45" s="2" t="s">
        <v>30</v>
      </c>
      <c r="D45" s="2" t="s">
        <v>155</v>
      </c>
      <c r="E45" s="252" t="s">
        <v>156</v>
      </c>
      <c r="F45" s="2" t="s">
        <v>157</v>
      </c>
      <c r="G45" s="2" t="s">
        <v>158</v>
      </c>
      <c r="H45" s="111" t="s">
        <v>151</v>
      </c>
      <c r="I45" s="200" t="s">
        <v>31</v>
      </c>
      <c r="J45" s="226" t="s">
        <v>236</v>
      </c>
      <c r="K45" s="227" t="s">
        <v>235</v>
      </c>
      <c r="L45" s="177" t="s">
        <v>178</v>
      </c>
      <c r="M45" s="177" t="s">
        <v>184</v>
      </c>
      <c r="N45" s="173" t="s">
        <v>182</v>
      </c>
      <c r="O45" s="177" t="s">
        <v>183</v>
      </c>
    </row>
    <row r="46" spans="2:34" x14ac:dyDescent="0.25">
      <c r="B46" s="25">
        <v>1</v>
      </c>
      <c r="C46" s="213">
        <v>5065.0000000000009</v>
      </c>
      <c r="D46" s="26">
        <f>B46*$F$12</f>
        <v>8</v>
      </c>
      <c r="E46" s="26">
        <f t="shared" ref="E46:E58" si="21">B46*$F$13</f>
        <v>9</v>
      </c>
      <c r="F46" s="26">
        <f>(($F$15/2)*(1-B46))</f>
        <v>0</v>
      </c>
      <c r="G46" s="26">
        <f t="shared" ref="G46:G58" si="22">$F$14</f>
        <v>47.023800000000001</v>
      </c>
      <c r="H46" s="131">
        <f>$B$12/(B46*$F$11*((1+3.76)))</f>
        <v>1.1038889254820403E-7</v>
      </c>
      <c r="I46" s="206">
        <v>2390.3031441465077</v>
      </c>
      <c r="J46" s="193">
        <f>((F46*H46)/($B$5*10^-6))</f>
        <v>0</v>
      </c>
      <c r="K46" s="142">
        <f>((G46*H46)/($B$5*10^-6))</f>
        <v>0.12977263013520593</v>
      </c>
      <c r="L46" s="153">
        <f>((4.7*10^13*K46*(J46^0.5)*EXP($B$11/(B8*I46)))/($B$1*6))*$B$5*10^-6</f>
        <v>0</v>
      </c>
      <c r="M46" s="165">
        <f>' NOx PPM'!AD5</f>
        <v>0</v>
      </c>
      <c r="N46" s="174">
        <f>H46*(D46+E46+F46+G46)</f>
        <v>7.0675163787277042E-6</v>
      </c>
      <c r="O46" s="201">
        <f>M46/N46*10^6</f>
        <v>0</v>
      </c>
    </row>
    <row r="47" spans="2:34" x14ac:dyDescent="0.25">
      <c r="B47" s="5">
        <v>0.99</v>
      </c>
      <c r="C47" s="213">
        <f>(((D47*$K$12)+(E47*$K$13)+($G$47*0)))-$A$30</f>
        <v>5011.7580000000007</v>
      </c>
      <c r="D47" s="100">
        <f t="shared" ref="D47:D58" si="23">B47*$D$46</f>
        <v>7.92</v>
      </c>
      <c r="E47" s="100">
        <f t="shared" si="21"/>
        <v>8.91</v>
      </c>
      <c r="F47" s="100">
        <f t="shared" ref="F47:F58" si="24">(($F$15/2)*(1-B47))</f>
        <v>0.12500000000000011</v>
      </c>
      <c r="G47" s="26">
        <f t="shared" si="22"/>
        <v>47.023800000000001</v>
      </c>
      <c r="H47" s="131">
        <f t="shared" ref="H47:H58" si="25">$B$12/(B47*$F$11*((1+3.76)))</f>
        <v>1.1150393186687277E-7</v>
      </c>
      <c r="I47" s="86">
        <v>2373.899087881432</v>
      </c>
      <c r="J47" s="193">
        <f t="shared" ref="J47:J58" si="26">((F47*H47)/($B$5*10^-6))</f>
        <v>3.4844978708397772E-4</v>
      </c>
      <c r="K47" s="142">
        <f t="shared" ref="K47:K58" si="27">((G47*H47)/($B$5*10^-6))</f>
        <v>0.13108346478303631</v>
      </c>
      <c r="L47" s="153">
        <f t="shared" ref="L47:L58" si="28">((4.7*10^13*K47*(J47^0.5)*EXP($B$11/I47))/($B$1*6))*$B$5*10^-6</f>
        <v>1.6552702099460327E-10</v>
      </c>
      <c r="M47" s="88">
        <f>' NOx PPM'!AD27</f>
        <v>2.0920717761809234E-7</v>
      </c>
      <c r="N47" s="88">
        <f t="shared" ref="N47:N58" si="29">H47*(D47+E47+F47+G47)</f>
        <v>7.1338877561242797E-6</v>
      </c>
      <c r="O47" s="97">
        <f t="shared" ref="O47:O58" si="30">M47/N47*10^6</f>
        <v>29325.829725662948</v>
      </c>
    </row>
    <row r="48" spans="2:34" x14ac:dyDescent="0.25">
      <c r="B48" s="23">
        <v>0.98</v>
      </c>
      <c r="C48" s="213">
        <f t="shared" ref="C48:C58" si="31">(((D48*$K$12)+(E48*$K$13)+($G$47*0)))-$A$30</f>
        <v>4958.5160000000005</v>
      </c>
      <c r="D48" s="100">
        <f t="shared" si="23"/>
        <v>7.84</v>
      </c>
      <c r="E48" s="100">
        <f t="shared" si="21"/>
        <v>8.82</v>
      </c>
      <c r="F48" s="100">
        <f>(($F$15/2)*(1-B48))</f>
        <v>0.25000000000000022</v>
      </c>
      <c r="G48" s="26">
        <f t="shared" si="22"/>
        <v>47.023800000000001</v>
      </c>
      <c r="H48" s="131">
        <f t="shared" si="25"/>
        <v>1.1264172709000412E-7</v>
      </c>
      <c r="I48" s="86">
        <v>2357.4217456957945</v>
      </c>
      <c r="J48" s="193">
        <f t="shared" si="26"/>
        <v>7.0401079431252648E-4</v>
      </c>
      <c r="K48" s="142">
        <f t="shared" si="27"/>
        <v>0.13242105115837341</v>
      </c>
      <c r="L48" s="153">
        <f t="shared" si="28"/>
        <v>1.946497053447658E-10</v>
      </c>
      <c r="M48" s="165">
        <f>' NOx PPM'!AD49</f>
        <v>2.4784540561741364E-7</v>
      </c>
      <c r="N48" s="88">
        <f t="shared" si="29"/>
        <v>7.2016136514269057E-6</v>
      </c>
      <c r="O48" s="97">
        <f t="shared" si="30"/>
        <v>34415.25991446463</v>
      </c>
    </row>
    <row r="49" spans="2:15" x14ac:dyDescent="0.25">
      <c r="B49" s="5">
        <v>0.97</v>
      </c>
      <c r="C49" s="213">
        <f t="shared" si="31"/>
        <v>4905.2740000000003</v>
      </c>
      <c r="D49" s="100">
        <f t="shared" si="23"/>
        <v>7.76</v>
      </c>
      <c r="E49" s="100">
        <f t="shared" si="21"/>
        <v>8.73</v>
      </c>
      <c r="F49" s="100">
        <f t="shared" si="24"/>
        <v>0.37500000000000033</v>
      </c>
      <c r="G49" s="26">
        <f t="shared" si="22"/>
        <v>47.023800000000001</v>
      </c>
      <c r="H49" s="131">
        <f t="shared" si="25"/>
        <v>1.1380298200845776E-7</v>
      </c>
      <c r="I49" s="86">
        <v>2340.8651830428967</v>
      </c>
      <c r="J49" s="193">
        <f t="shared" si="26"/>
        <v>1.0669029563292924E-3</v>
      </c>
      <c r="K49" s="142">
        <f t="shared" si="27"/>
        <v>0.13378621663423293</v>
      </c>
      <c r="L49" s="153">
        <f t="shared" si="28"/>
        <v>1.9751042206387718E-10</v>
      </c>
      <c r="M49" s="165">
        <f>' NOx PPM'!AD71</f>
        <v>2.5361741963246147E-7</v>
      </c>
      <c r="N49" s="88">
        <f t="shared" si="29"/>
        <v>7.2707359569419566E-6</v>
      </c>
      <c r="O49" s="97">
        <f t="shared" si="30"/>
        <v>34881.946082818824</v>
      </c>
    </row>
    <row r="50" spans="2:15" x14ac:dyDescent="0.25">
      <c r="B50" s="23">
        <v>0.96</v>
      </c>
      <c r="C50" s="213">
        <f t="shared" si="31"/>
        <v>4852.0320000000002</v>
      </c>
      <c r="D50" s="100">
        <f t="shared" si="23"/>
        <v>7.68</v>
      </c>
      <c r="E50" s="100">
        <f t="shared" si="21"/>
        <v>8.64</v>
      </c>
      <c r="F50" s="100">
        <f t="shared" si="24"/>
        <v>0.50000000000000044</v>
      </c>
      <c r="G50" s="26">
        <f t="shared" si="22"/>
        <v>47.023800000000001</v>
      </c>
      <c r="H50" s="131">
        <f t="shared" si="25"/>
        <v>1.1498842973771252E-7</v>
      </c>
      <c r="I50" s="86">
        <v>2324.2344963135702</v>
      </c>
      <c r="J50" s="193">
        <f t="shared" si="26"/>
        <v>1.437355371721408E-3</v>
      </c>
      <c r="K50" s="142">
        <f t="shared" si="27"/>
        <v>0.13517982305750617</v>
      </c>
      <c r="L50" s="153">
        <f t="shared" si="28"/>
        <v>1.8825900940809201E-10</v>
      </c>
      <c r="M50" s="165">
        <f>' NOx PPM'!AD92</f>
        <v>2.4403220949768899E-7</v>
      </c>
      <c r="N50" s="88">
        <f t="shared" si="29"/>
        <v>7.3412983104885706E-6</v>
      </c>
      <c r="O50" s="97">
        <f t="shared" si="30"/>
        <v>33241.015305022855</v>
      </c>
    </row>
    <row r="51" spans="2:15" x14ac:dyDescent="0.25">
      <c r="B51" s="5">
        <v>0.95</v>
      </c>
      <c r="C51" s="213">
        <f t="shared" si="31"/>
        <v>4798.79</v>
      </c>
      <c r="D51" s="100">
        <f t="shared" si="23"/>
        <v>7.6</v>
      </c>
      <c r="E51" s="100">
        <f t="shared" si="21"/>
        <v>8.5499999999999989</v>
      </c>
      <c r="F51" s="100">
        <f t="shared" si="24"/>
        <v>0.62500000000000056</v>
      </c>
      <c r="G51" s="26">
        <f t="shared" si="22"/>
        <v>47.023800000000001</v>
      </c>
      <c r="H51" s="131">
        <f t="shared" si="25"/>
        <v>1.1619883426126739E-7</v>
      </c>
      <c r="I51" s="86">
        <v>2307.5237408041567</v>
      </c>
      <c r="J51" s="193">
        <f t="shared" si="26"/>
        <v>1.8156067853323048E-3</v>
      </c>
      <c r="K51" s="142">
        <f t="shared" si="27"/>
        <v>0.13660276856337467</v>
      </c>
      <c r="L51" s="153">
        <f t="shared" si="28"/>
        <v>1.7307598791195218E-10</v>
      </c>
      <c r="M51" s="165">
        <f>' NOx PPM'!AD114</f>
        <v>2.2671422806555451E-7</v>
      </c>
      <c r="N51" s="88">
        <f t="shared" si="29"/>
        <v>7.413346187267746E-6</v>
      </c>
      <c r="O51" s="97">
        <f t="shared" si="30"/>
        <v>30581.902198892458</v>
      </c>
    </row>
    <row r="52" spans="2:15" x14ac:dyDescent="0.25">
      <c r="B52" s="23">
        <v>0.9</v>
      </c>
      <c r="C52" s="213">
        <f t="shared" si="31"/>
        <v>4532.5800000000008</v>
      </c>
      <c r="D52" s="100">
        <f t="shared" si="23"/>
        <v>7.2</v>
      </c>
      <c r="E52" s="100">
        <f t="shared" si="21"/>
        <v>8.1</v>
      </c>
      <c r="F52" s="100">
        <f t="shared" si="24"/>
        <v>1.2499999999999998</v>
      </c>
      <c r="G52" s="26">
        <f t="shared" si="22"/>
        <v>47.023800000000001</v>
      </c>
      <c r="H52" s="131">
        <f t="shared" si="25"/>
        <v>1.2265432505356003E-7</v>
      </c>
      <c r="I52" s="86">
        <v>2222.6844526653595</v>
      </c>
      <c r="J52" s="193">
        <f t="shared" si="26"/>
        <v>3.8329476579237508E-3</v>
      </c>
      <c r="K52" s="142">
        <f t="shared" si="27"/>
        <v>0.14419181126133992</v>
      </c>
      <c r="L52" s="153">
        <f t="shared" si="28"/>
        <v>8.64256265124383E-11</v>
      </c>
      <c r="M52" s="165">
        <f>' NOx PPM'!AU5</f>
        <v>1.212213677030306E-7</v>
      </c>
      <c r="N52" s="88">
        <f t="shared" si="29"/>
        <v>7.7976015300900158E-6</v>
      </c>
      <c r="O52" s="97">
        <f t="shared" si="30"/>
        <v>15545.981316851314</v>
      </c>
    </row>
    <row r="53" spans="2:15" x14ac:dyDescent="0.25">
      <c r="B53" s="5">
        <v>0.85</v>
      </c>
      <c r="C53" s="213">
        <f t="shared" si="31"/>
        <v>4266.37</v>
      </c>
      <c r="D53" s="100">
        <f t="shared" si="23"/>
        <v>6.8</v>
      </c>
      <c r="E53" s="100">
        <f t="shared" si="21"/>
        <v>7.6499999999999995</v>
      </c>
      <c r="F53" s="100">
        <f t="shared" si="24"/>
        <v>1.8750000000000002</v>
      </c>
      <c r="G53" s="26">
        <f t="shared" si="22"/>
        <v>47.023800000000001</v>
      </c>
      <c r="H53" s="131">
        <f t="shared" si="25"/>
        <v>1.2986928535082827E-7</v>
      </c>
      <c r="I53" s="86">
        <v>2135.4957595947385</v>
      </c>
      <c r="J53" s="193">
        <f t="shared" si="26"/>
        <v>6.0876227508200762E-3</v>
      </c>
      <c r="K53" s="142">
        <f t="shared" si="27"/>
        <v>0.15267368251200697</v>
      </c>
      <c r="L53" s="153">
        <f t="shared" si="28"/>
        <v>3.3170533162287903E-11</v>
      </c>
      <c r="M53" s="165">
        <f>' NOx PPM'!AU26</f>
        <v>5.1251050348096392E-8</v>
      </c>
      <c r="N53" s="88">
        <f t="shared" si="29"/>
        <v>8.2270633838325498E-6</v>
      </c>
      <c r="O53" s="97">
        <f t="shared" si="30"/>
        <v>6229.5679462993594</v>
      </c>
    </row>
    <row r="54" spans="2:15" x14ac:dyDescent="0.25">
      <c r="B54" s="23">
        <v>0.8</v>
      </c>
      <c r="C54" s="213">
        <f t="shared" si="31"/>
        <v>4000.1600000000008</v>
      </c>
      <c r="D54" s="100">
        <f t="shared" si="23"/>
        <v>6.4</v>
      </c>
      <c r="E54" s="100">
        <f t="shared" si="21"/>
        <v>7.2</v>
      </c>
      <c r="F54" s="100">
        <f t="shared" si="24"/>
        <v>2.4999999999999996</v>
      </c>
      <c r="G54" s="26">
        <f t="shared" si="22"/>
        <v>47.023800000000001</v>
      </c>
      <c r="H54" s="131">
        <f t="shared" si="25"/>
        <v>1.3798611568525505E-7</v>
      </c>
      <c r="I54" s="86">
        <v>2045.6734007270011</v>
      </c>
      <c r="J54" s="193">
        <f t="shared" si="26"/>
        <v>8.62413223032844E-3</v>
      </c>
      <c r="K54" s="142">
        <f t="shared" si="27"/>
        <v>0.16221578766900743</v>
      </c>
      <c r="L54" s="153">
        <f t="shared" si="28"/>
        <v>1.0398136434911472E-11</v>
      </c>
      <c r="M54" s="165">
        <f>' NOx PPM'!AU48</f>
        <v>1.8266124154825016E-8</v>
      </c>
      <c r="N54" s="88">
        <f t="shared" si="29"/>
        <v>8.7102079692929028E-6</v>
      </c>
      <c r="O54" s="97">
        <f t="shared" si="30"/>
        <v>2097.0939177595624</v>
      </c>
    </row>
    <row r="55" spans="2:15" x14ac:dyDescent="0.25">
      <c r="B55" s="5">
        <v>0.75</v>
      </c>
      <c r="C55" s="213">
        <f t="shared" si="31"/>
        <v>3733.9500000000003</v>
      </c>
      <c r="D55" s="100">
        <f t="shared" si="23"/>
        <v>6</v>
      </c>
      <c r="E55" s="100">
        <f t="shared" si="21"/>
        <v>6.75</v>
      </c>
      <c r="F55" s="100">
        <f t="shared" si="24"/>
        <v>3.125</v>
      </c>
      <c r="G55" s="26">
        <f t="shared" si="22"/>
        <v>47.023800000000001</v>
      </c>
      <c r="H55" s="131">
        <f t="shared" si="25"/>
        <v>1.4718519006427202E-7</v>
      </c>
      <c r="I55" s="86">
        <v>1952.9587154667636</v>
      </c>
      <c r="J55" s="193">
        <f t="shared" si="26"/>
        <v>1.1498842973771252E-2</v>
      </c>
      <c r="K55" s="142">
        <f t="shared" si="27"/>
        <v>0.17303017351360789</v>
      </c>
      <c r="L55" s="153">
        <f t="shared" si="28"/>
        <v>2.6530563112511914E-12</v>
      </c>
      <c r="M55" s="165">
        <f>' NOx PPM'!AU70</f>
        <v>5.4934934079127072E-9</v>
      </c>
      <c r="N55" s="88">
        <f t="shared" si="29"/>
        <v>9.2577718328146322E-6</v>
      </c>
      <c r="O55" s="97">
        <f t="shared" si="30"/>
        <v>593.39261186376905</v>
      </c>
    </row>
    <row r="56" spans="2:15" x14ac:dyDescent="0.25">
      <c r="B56" s="23">
        <v>0.7</v>
      </c>
      <c r="C56" s="213">
        <f t="shared" si="31"/>
        <v>3467.74</v>
      </c>
      <c r="D56" s="100">
        <f t="shared" si="23"/>
        <v>5.6</v>
      </c>
      <c r="E56" s="100">
        <f t="shared" si="21"/>
        <v>6.3</v>
      </c>
      <c r="F56" s="100">
        <f t="shared" si="24"/>
        <v>3.7500000000000004</v>
      </c>
      <c r="G56" s="26">
        <f t="shared" si="22"/>
        <v>47.023800000000001</v>
      </c>
      <c r="H56" s="131">
        <f t="shared" si="25"/>
        <v>1.5769841792600574E-7</v>
      </c>
      <c r="I56" s="86">
        <v>1857.1459153237527</v>
      </c>
      <c r="J56" s="193">
        <f t="shared" si="26"/>
        <v>1.4784226680563041E-2</v>
      </c>
      <c r="K56" s="142">
        <f t="shared" si="27"/>
        <v>0.18538947162172273</v>
      </c>
      <c r="L56" s="153">
        <f t="shared" si="28"/>
        <v>5.3703524787002657E-13</v>
      </c>
      <c r="M56" s="165">
        <f>' NOx PPM'!AU91</f>
        <v>1.3669992014644977E-9</v>
      </c>
      <c r="N56" s="88">
        <f t="shared" si="29"/>
        <v>9.8835591054108981E-6</v>
      </c>
      <c r="O56" s="97">
        <f t="shared" si="30"/>
        <v>138.31041903883735</v>
      </c>
    </row>
    <row r="57" spans="2:15" x14ac:dyDescent="0.25">
      <c r="B57" s="5">
        <v>0.65</v>
      </c>
      <c r="C57" s="213">
        <f t="shared" si="31"/>
        <v>3201.5300000000007</v>
      </c>
      <c r="D57" s="100">
        <f t="shared" si="23"/>
        <v>5.2</v>
      </c>
      <c r="E57" s="100">
        <f t="shared" si="21"/>
        <v>5.8500000000000005</v>
      </c>
      <c r="F57" s="100">
        <f t="shared" si="24"/>
        <v>4.375</v>
      </c>
      <c r="G57" s="26">
        <f t="shared" si="22"/>
        <v>47.023800000000001</v>
      </c>
      <c r="H57" s="131">
        <f t="shared" si="25"/>
        <v>1.6982906545877544E-7</v>
      </c>
      <c r="I57" s="86">
        <v>1758.1155324548247</v>
      </c>
      <c r="J57" s="193">
        <f t="shared" si="26"/>
        <v>1.8575054034553565E-2</v>
      </c>
      <c r="K57" s="142">
        <f t="shared" si="27"/>
        <v>0.19965020020800914</v>
      </c>
      <c r="L57" s="153">
        <f t="shared" si="28"/>
        <v>8.2830177382004794E-14</v>
      </c>
      <c r="M57" s="165">
        <f>' NOx PPM'!AU113</f>
        <v>2.7241245707748222E-10</v>
      </c>
      <c r="N57" s="88">
        <f t="shared" si="29"/>
        <v>1.0605621343021977E-5</v>
      </c>
      <c r="O57" s="97">
        <f t="shared" si="30"/>
        <v>25.685666899348373</v>
      </c>
    </row>
    <row r="58" spans="2:15" ht="15.75" thickBot="1" x14ac:dyDescent="0.3">
      <c r="B58" s="24">
        <v>0.6</v>
      </c>
      <c r="C58" s="213">
        <f t="shared" si="31"/>
        <v>2935.32</v>
      </c>
      <c r="D58" s="125">
        <f t="shared" si="23"/>
        <v>4.8</v>
      </c>
      <c r="E58" s="125">
        <f t="shared" si="21"/>
        <v>5.3999999999999995</v>
      </c>
      <c r="F58" s="125">
        <f t="shared" si="24"/>
        <v>5</v>
      </c>
      <c r="G58" s="105">
        <f t="shared" si="22"/>
        <v>47.023800000000001</v>
      </c>
      <c r="H58" s="131">
        <f t="shared" si="25"/>
        <v>1.8398148758034005E-7</v>
      </c>
      <c r="I58" s="207">
        <v>1655.8692558793909</v>
      </c>
      <c r="J58" s="194">
        <f t="shared" si="26"/>
        <v>2.299768594754251E-2</v>
      </c>
      <c r="K58" s="143">
        <f t="shared" si="27"/>
        <v>0.2162877168920099</v>
      </c>
      <c r="L58" s="153">
        <f t="shared" si="28"/>
        <v>9.2172762428540787E-15</v>
      </c>
      <c r="M58" s="166">
        <f>' NOx PPM'!AU135</f>
        <v>4.1576261452221295E-11</v>
      </c>
      <c r="N58" s="175">
        <f t="shared" si="29"/>
        <v>1.1448027286901562E-5</v>
      </c>
      <c r="O58" s="202">
        <f t="shared" si="30"/>
        <v>3.6317402474914977</v>
      </c>
    </row>
    <row r="59" spans="2:15" x14ac:dyDescent="0.25">
      <c r="I59" s="178"/>
    </row>
    <row r="106" spans="32:32" x14ac:dyDescent="0.25">
      <c r="AF106" s="448"/>
    </row>
  </sheetData>
  <mergeCells count="43">
    <mergeCell ref="J39:J40"/>
    <mergeCell ref="I30:I31"/>
    <mergeCell ref="H37:I38"/>
    <mergeCell ref="H33:K34"/>
    <mergeCell ref="J37:J38"/>
    <mergeCell ref="M23:O23"/>
    <mergeCell ref="E42:E43"/>
    <mergeCell ref="F42:F43"/>
    <mergeCell ref="E35:E36"/>
    <mergeCell ref="F35:F36"/>
    <mergeCell ref="E29:E30"/>
    <mergeCell ref="F29:F30"/>
    <mergeCell ref="F32:F33"/>
    <mergeCell ref="F40:F41"/>
    <mergeCell ref="E40:E41"/>
    <mergeCell ref="C26:C27"/>
    <mergeCell ref="C28:C29"/>
    <mergeCell ref="C30:C31"/>
    <mergeCell ref="A26:B27"/>
    <mergeCell ref="F24:F25"/>
    <mergeCell ref="E24:E25"/>
    <mergeCell ref="E27:E28"/>
    <mergeCell ref="F27:F28"/>
    <mergeCell ref="B30:B31"/>
    <mergeCell ref="A30:A31"/>
    <mergeCell ref="B28:B29"/>
    <mergeCell ref="A28:A29"/>
    <mergeCell ref="J1:J2"/>
    <mergeCell ref="K1:K2"/>
    <mergeCell ref="E37:E38"/>
    <mergeCell ref="F37:F38"/>
    <mergeCell ref="E1:I2"/>
    <mergeCell ref="E3:I3"/>
    <mergeCell ref="E10:F10"/>
    <mergeCell ref="H35:I36"/>
    <mergeCell ref="E19:E20"/>
    <mergeCell ref="F19:F20"/>
    <mergeCell ref="F21:F22"/>
    <mergeCell ref="E17:F18"/>
    <mergeCell ref="I28:K28"/>
    <mergeCell ref="I27:K27"/>
    <mergeCell ref="H30:H31"/>
    <mergeCell ref="E21:E22"/>
  </mergeCells>
  <phoneticPr fontId="16" type="noConversion"/>
  <dataValidations count="1">
    <dataValidation type="list" allowBlank="1" showInputMessage="1" showErrorMessage="1" sqref="I30:I31">
      <formula1>$B$46:$B$58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81"/>
  <sheetViews>
    <sheetView tabSelected="1" topLeftCell="A19" zoomScale="60" zoomScaleNormal="60" workbookViewId="0">
      <selection activeCell="N65" sqref="N65"/>
    </sheetView>
  </sheetViews>
  <sheetFormatPr defaultRowHeight="15" x14ac:dyDescent="0.25"/>
  <cols>
    <col min="1" max="1" width="14.7109375" style="1" bestFit="1" customWidth="1"/>
    <col min="2" max="2" width="37.5703125" style="1" bestFit="1" customWidth="1"/>
    <col min="3" max="3" width="22.140625" style="1" bestFit="1" customWidth="1"/>
    <col min="4" max="4" width="27.5703125" style="1" customWidth="1"/>
    <col min="5" max="5" width="32.5703125" style="1" bestFit="1" customWidth="1"/>
    <col min="6" max="6" width="40.140625" style="1" bestFit="1" customWidth="1"/>
    <col min="7" max="7" width="15.5703125" style="1" bestFit="1" customWidth="1"/>
    <col min="8" max="8" width="14.140625" style="1" customWidth="1"/>
    <col min="9" max="9" width="22.5703125" style="1" bestFit="1" customWidth="1"/>
    <col min="10" max="10" width="32.5703125" style="1" bestFit="1" customWidth="1"/>
    <col min="11" max="11" width="29.42578125" style="1" bestFit="1" customWidth="1"/>
    <col min="12" max="12" width="23.5703125" style="1" bestFit="1" customWidth="1"/>
    <col min="13" max="13" width="17" style="1" bestFit="1" customWidth="1"/>
    <col min="14" max="14" width="21.85546875" style="1" bestFit="1" customWidth="1"/>
    <col min="15" max="15" width="21.85546875" style="128" customWidth="1"/>
    <col min="16" max="16" width="23.42578125" style="128" customWidth="1"/>
    <col min="17" max="17" width="41.5703125" style="1" bestFit="1" customWidth="1"/>
    <col min="18" max="18" width="15" style="1" bestFit="1" customWidth="1"/>
    <col min="19" max="19" width="26.5703125" style="1" bestFit="1" customWidth="1"/>
    <col min="20" max="20" width="22.5703125" style="1" bestFit="1" customWidth="1"/>
    <col min="21" max="21" width="23.42578125" style="1" bestFit="1" customWidth="1"/>
    <col min="22" max="22" width="32.5703125" style="1" bestFit="1" customWidth="1"/>
    <col min="23" max="23" width="22.28515625" style="1" bestFit="1" customWidth="1"/>
    <col min="24" max="24" width="25.7109375" style="1" bestFit="1" customWidth="1"/>
    <col min="25" max="25" width="24.5703125" style="1" bestFit="1" customWidth="1"/>
    <col min="26" max="26" width="23.42578125" style="1" bestFit="1" customWidth="1"/>
    <col min="27" max="27" width="29.42578125" style="1" bestFit="1" customWidth="1"/>
    <col min="28" max="28" width="14.7109375" style="1" bestFit="1" customWidth="1"/>
    <col min="29" max="29" width="15.28515625" style="1" bestFit="1" customWidth="1"/>
    <col min="30" max="30" width="25.42578125" style="1" bestFit="1" customWidth="1"/>
    <col min="31" max="31" width="16.28515625" style="1" bestFit="1" customWidth="1"/>
    <col min="32" max="32" width="37.28515625" style="1" bestFit="1" customWidth="1"/>
    <col min="33" max="33" width="13.42578125" style="1" bestFit="1" customWidth="1"/>
    <col min="34" max="34" width="17" style="1" bestFit="1" customWidth="1"/>
    <col min="35" max="35" width="17" style="1" customWidth="1"/>
    <col min="36" max="36" width="17" style="1" bestFit="1" customWidth="1"/>
    <col min="37" max="37" width="20.140625" style="1" bestFit="1" customWidth="1"/>
    <col min="38" max="38" width="26.5703125" style="1" bestFit="1" customWidth="1"/>
    <col min="39" max="39" width="32.5703125" style="1" bestFit="1" customWidth="1"/>
    <col min="40" max="40" width="15.28515625" style="1" bestFit="1" customWidth="1"/>
    <col min="41" max="41" width="14.7109375" style="1" bestFit="1" customWidth="1"/>
    <col min="42" max="42" width="15.28515625" style="1" bestFit="1" customWidth="1"/>
    <col min="43" max="43" width="11.140625" style="1" bestFit="1" customWidth="1"/>
    <col min="44" max="44" width="15.28515625" style="1" bestFit="1" customWidth="1"/>
    <col min="45" max="45" width="12.7109375" style="1" bestFit="1" customWidth="1"/>
    <col min="46" max="46" width="15.28515625" style="1" bestFit="1" customWidth="1"/>
    <col min="47" max="47" width="25.42578125" style="1" bestFit="1" customWidth="1"/>
    <col min="48" max="48" width="16.5703125" style="1" bestFit="1" customWidth="1"/>
    <col min="49" max="49" width="11.85546875" style="1" bestFit="1" customWidth="1"/>
    <col min="50" max="16384" width="9.140625" style="1"/>
  </cols>
  <sheetData>
    <row r="1" spans="2:49" ht="15.75" thickBot="1" x14ac:dyDescent="0.3">
      <c r="D1" s="115"/>
      <c r="E1" s="115"/>
      <c r="F1" s="293" t="s">
        <v>10</v>
      </c>
      <c r="G1" s="294"/>
      <c r="H1" s="294"/>
      <c r="I1" s="294"/>
      <c r="J1" s="295"/>
      <c r="K1" s="329" t="s">
        <v>6</v>
      </c>
      <c r="L1" s="329" t="s">
        <v>7</v>
      </c>
    </row>
    <row r="2" spans="2:49" ht="15.75" customHeight="1" thickBot="1" x14ac:dyDescent="0.3">
      <c r="B2" s="111" t="s">
        <v>148</v>
      </c>
      <c r="C2" s="3">
        <v>4</v>
      </c>
      <c r="D2" s="115"/>
      <c r="E2" s="115"/>
      <c r="F2" s="296"/>
      <c r="G2" s="297"/>
      <c r="H2" s="297"/>
      <c r="I2" s="297"/>
      <c r="J2" s="298"/>
      <c r="K2" s="330"/>
      <c r="L2" s="330"/>
      <c r="R2" s="396" t="s">
        <v>29</v>
      </c>
      <c r="S2" s="397"/>
      <c r="T2" s="400">
        <v>1</v>
      </c>
      <c r="U2" s="401"/>
      <c r="V2" s="401"/>
      <c r="W2" s="401"/>
      <c r="X2" s="401"/>
      <c r="Y2" s="401"/>
      <c r="Z2" s="401"/>
      <c r="AA2" s="401"/>
      <c r="AB2" s="401"/>
      <c r="AC2" s="402"/>
      <c r="AD2" s="179"/>
      <c r="AI2" s="378" t="s">
        <v>29</v>
      </c>
      <c r="AJ2" s="379"/>
      <c r="AK2" s="390">
        <v>0.9</v>
      </c>
      <c r="AL2" s="391"/>
      <c r="AM2" s="391"/>
      <c r="AN2" s="391"/>
      <c r="AO2" s="391"/>
      <c r="AP2" s="391"/>
      <c r="AQ2" s="391"/>
      <c r="AR2" s="391"/>
      <c r="AS2" s="391"/>
      <c r="AT2" s="392"/>
      <c r="AU2" s="186"/>
    </row>
    <row r="3" spans="2:49" ht="18.75" customHeight="1" thickBot="1" x14ac:dyDescent="0.3">
      <c r="B3" s="111" t="s">
        <v>71</v>
      </c>
      <c r="C3" s="3">
        <v>1600</v>
      </c>
      <c r="D3" s="115"/>
      <c r="E3" s="115"/>
      <c r="F3" s="327" t="s">
        <v>16</v>
      </c>
      <c r="G3" s="371"/>
      <c r="H3" s="371"/>
      <c r="I3" s="371"/>
      <c r="J3" s="328"/>
      <c r="K3" s="4" t="s">
        <v>2</v>
      </c>
      <c r="L3" s="4">
        <v>12.010999999999999</v>
      </c>
      <c r="R3" s="398"/>
      <c r="S3" s="399"/>
      <c r="T3" s="403"/>
      <c r="U3" s="404"/>
      <c r="V3" s="404"/>
      <c r="W3" s="404"/>
      <c r="X3" s="404"/>
      <c r="Y3" s="404"/>
      <c r="Z3" s="404"/>
      <c r="AA3" s="404"/>
      <c r="AB3" s="404"/>
      <c r="AC3" s="405"/>
      <c r="AD3" s="179"/>
      <c r="AI3" s="380"/>
      <c r="AJ3" s="381"/>
      <c r="AK3" s="393"/>
      <c r="AL3" s="394"/>
      <c r="AM3" s="394"/>
      <c r="AN3" s="394"/>
      <c r="AO3" s="394"/>
      <c r="AP3" s="394"/>
      <c r="AQ3" s="394"/>
      <c r="AR3" s="394"/>
      <c r="AS3" s="394"/>
      <c r="AT3" s="395"/>
      <c r="AU3" s="186"/>
    </row>
    <row r="4" spans="2:49" ht="18.75" thickBot="1" x14ac:dyDescent="0.3">
      <c r="B4" s="111" t="s">
        <v>149</v>
      </c>
      <c r="C4" s="3">
        <f>C3/C2</f>
        <v>400</v>
      </c>
      <c r="D4" s="115"/>
      <c r="E4" s="115"/>
      <c r="K4" s="5" t="s">
        <v>3</v>
      </c>
      <c r="L4" s="5">
        <v>1.008</v>
      </c>
      <c r="R4" s="2" t="s">
        <v>73</v>
      </c>
      <c r="S4" s="2" t="s">
        <v>69</v>
      </c>
      <c r="T4" s="116" t="s">
        <v>177</v>
      </c>
      <c r="U4" s="2" t="s">
        <v>178</v>
      </c>
      <c r="V4" s="109" t="s">
        <v>173</v>
      </c>
      <c r="W4" s="2" t="s">
        <v>151</v>
      </c>
      <c r="X4" s="109" t="s">
        <v>155</v>
      </c>
      <c r="Y4" s="112" t="s">
        <v>156</v>
      </c>
      <c r="Z4" s="109" t="s">
        <v>157</v>
      </c>
      <c r="AA4" s="2" t="s">
        <v>158</v>
      </c>
      <c r="AB4" s="109" t="s">
        <v>180</v>
      </c>
      <c r="AC4" s="2" t="s">
        <v>181</v>
      </c>
      <c r="AD4" s="2" t="s">
        <v>185</v>
      </c>
      <c r="AE4" s="2" t="s">
        <v>182</v>
      </c>
      <c r="AF4" s="127" t="s">
        <v>183</v>
      </c>
      <c r="AI4" s="2" t="s">
        <v>73</v>
      </c>
      <c r="AJ4" s="2" t="s">
        <v>69</v>
      </c>
      <c r="AK4" s="116" t="s">
        <v>177</v>
      </c>
      <c r="AL4" s="2" t="s">
        <v>178</v>
      </c>
      <c r="AM4" s="109" t="s">
        <v>173</v>
      </c>
      <c r="AN4" s="2" t="s">
        <v>151</v>
      </c>
      <c r="AO4" s="109" t="s">
        <v>155</v>
      </c>
      <c r="AP4" s="112" t="s">
        <v>156</v>
      </c>
      <c r="AQ4" s="109" t="s">
        <v>157</v>
      </c>
      <c r="AR4" s="2" t="s">
        <v>158</v>
      </c>
      <c r="AS4" s="2" t="s">
        <v>180</v>
      </c>
      <c r="AT4" s="2" t="s">
        <v>181</v>
      </c>
      <c r="AU4" s="2" t="s">
        <v>185</v>
      </c>
      <c r="AV4" s="2" t="s">
        <v>182</v>
      </c>
      <c r="AW4" s="127" t="s">
        <v>183</v>
      </c>
    </row>
    <row r="5" spans="2:49" ht="15.75" thickBot="1" x14ac:dyDescent="0.3">
      <c r="B5" s="111" t="s">
        <v>150</v>
      </c>
      <c r="C5" s="3">
        <v>40</v>
      </c>
      <c r="D5" s="115"/>
      <c r="E5" s="115"/>
      <c r="F5" s="2" t="s">
        <v>9</v>
      </c>
      <c r="G5" s="2" t="s">
        <v>8</v>
      </c>
      <c r="K5" s="5" t="s">
        <v>4</v>
      </c>
      <c r="L5" s="5">
        <v>15.999000000000001</v>
      </c>
      <c r="R5" s="86">
        <v>0</v>
      </c>
      <c r="S5" s="86">
        <v>10</v>
      </c>
      <c r="T5" s="214">
        <v>2390.3031441465077</v>
      </c>
      <c r="U5" s="191">
        <f>((4.7*10^13*AC5*(AB5^0.5)*EXP($C$11/T5))/($C$14*6))*$C$5*10^-6</f>
        <v>0</v>
      </c>
      <c r="V5" s="153">
        <f>(((10^5*($C$4*$C$6)*10^-6)/($C$8*$C$7)))</f>
        <v>6.5681391066181393E-6</v>
      </c>
      <c r="W5" s="88">
        <f>V5/($T$2*$G$11*((Z5/2)+3.76))</f>
        <v>1.3974764056634339E-7</v>
      </c>
      <c r="X5" s="96">
        <f>$T$2*$G$12</f>
        <v>8</v>
      </c>
      <c r="Y5" s="96">
        <f>$T$2*$G$13</f>
        <v>9</v>
      </c>
      <c r="Z5" s="134">
        <f>(($G$15/2)*(1-$T$2))</f>
        <v>0</v>
      </c>
      <c r="AA5" s="150">
        <f t="shared" ref="AA5:AA20" si="0">$G$14</f>
        <v>47.023800000000001</v>
      </c>
      <c r="AB5" s="152">
        <f>((Z5*W5)/($C$5*10^-6))</f>
        <v>0</v>
      </c>
      <c r="AC5" s="151">
        <f t="shared" ref="AC5:AC20" si="1">((AA5*W5)/($C$5*10^-6))</f>
        <v>0.16428662751159046</v>
      </c>
      <c r="AD5" s="163">
        <f>SUM($U$5:$U$20)</f>
        <v>0</v>
      </c>
      <c r="AE5" s="161">
        <f>W5*(X5+Y5+Z5+AA5)</f>
        <v>8.9471749900914556E-6</v>
      </c>
      <c r="AF5" s="144">
        <f>(AD5/AE5)*10^6</f>
        <v>0</v>
      </c>
      <c r="AI5" s="86">
        <v>0</v>
      </c>
      <c r="AJ5" s="86">
        <v>10</v>
      </c>
      <c r="AK5" s="216">
        <v>2222.6844526653595</v>
      </c>
      <c r="AL5" s="153">
        <f>((4.7*10^13*AT5*(AS5^0.5)*EXP($C$11/AK5))/($C$14*6))*$C$5*10^-6</f>
        <v>9.7745904336222125E-11</v>
      </c>
      <c r="AM5" s="153">
        <f>(((10^5*($C$4*$C$6)*10^-6)/($C$8*$C$7)))</f>
        <v>6.5681391066181393E-6</v>
      </c>
      <c r="AN5" s="88">
        <f t="shared" ref="AN5:AN20" si="2">AM5/($AK$2*$G$11*((AQ5/2)+3.76))</f>
        <v>1.331435774811735E-7</v>
      </c>
      <c r="AO5" s="96">
        <f t="shared" ref="AO5:AO20" si="3">$AK$2*$G$12</f>
        <v>7.2</v>
      </c>
      <c r="AP5" s="96">
        <f t="shared" ref="AP5:AP20" si="4">$AK$2*$G$13</f>
        <v>8.1</v>
      </c>
      <c r="AQ5" s="134">
        <f t="shared" ref="AQ5:AQ20" si="5">(($G$15/2)*(1-$AK$2))</f>
        <v>1.2499999999999998</v>
      </c>
      <c r="AR5" s="147">
        <f t="shared" ref="AR5:AR20" si="6">$G$14</f>
        <v>47.023800000000001</v>
      </c>
      <c r="AS5" s="129">
        <f t="shared" ref="AS5:AS20" si="7">((AQ5*AN5)/($C$5*10^-6))</f>
        <v>4.160736796286672E-3</v>
      </c>
      <c r="AT5" s="137">
        <f t="shared" ref="AT5:AT20" si="8">((AR5*AN5)/($C$5*10^-6))</f>
        <v>0.15652292396898015</v>
      </c>
      <c r="AU5" s="163">
        <f>SUM($AL$5:$AL$20)</f>
        <v>1.212213677030306E-7</v>
      </c>
      <c r="AV5" s="161">
        <f>AN5*(AO5+AP5+AQ5+AR5)</f>
        <v>8.4644431660726279E-6</v>
      </c>
      <c r="AW5" s="144">
        <f>(AU5/AV5)*10^6</f>
        <v>14321.245393780046</v>
      </c>
    </row>
    <row r="6" spans="2:49" ht="15.75" thickBot="1" x14ac:dyDescent="0.3">
      <c r="B6" s="111" t="s">
        <v>152</v>
      </c>
      <c r="C6" s="3">
        <v>0.4</v>
      </c>
      <c r="D6" s="115"/>
      <c r="E6" s="115"/>
      <c r="F6" s="2" t="s">
        <v>0</v>
      </c>
      <c r="G6" s="3">
        <v>8</v>
      </c>
      <c r="K6" s="5" t="s">
        <v>5</v>
      </c>
      <c r="L6" s="5">
        <v>14.007</v>
      </c>
      <c r="R6" s="86">
        <v>1</v>
      </c>
      <c r="S6" s="86">
        <f>S5+2</f>
        <v>12</v>
      </c>
      <c r="T6" s="132">
        <f>(T5*((S6/S5)^(($C$13-1)/$C$13)))</f>
        <v>2454.4712538274748</v>
      </c>
      <c r="U6" s="191">
        <f t="shared" ref="U6:U20" si="9">((4.7*10^13*AC6*(AB6^0.5)*EXP($C$11/T6))/($C$14*6))*$C$5*10^-6</f>
        <v>0</v>
      </c>
      <c r="V6" s="153">
        <f t="shared" ref="V6:V20" si="10">(((10^5*($C$4*$C$6)*10^-6)/($C$8*$C$7)))</f>
        <v>6.5681391066181393E-6</v>
      </c>
      <c r="W6" s="88">
        <f t="shared" ref="W6:W20" si="11">V6/($T$2*$G$11*((Z6/2)+3.76))</f>
        <v>1.3974764056634339E-7</v>
      </c>
      <c r="X6" s="96">
        <f t="shared" ref="X6:X20" si="12">$T$2*$G$12</f>
        <v>8</v>
      </c>
      <c r="Y6" s="96">
        <f t="shared" ref="Y6:Y20" si="13">$T$2*$G$13</f>
        <v>9</v>
      </c>
      <c r="Z6" s="134">
        <f t="shared" ref="Z6:Z20" si="14">(($G$15/2)*(1-$T$2))</f>
        <v>0</v>
      </c>
      <c r="AA6" s="144">
        <f t="shared" si="0"/>
        <v>47.023800000000001</v>
      </c>
      <c r="AB6" s="152">
        <f t="shared" ref="AB6:AB20" si="15">((Z6*W6)/($C$5*10^-6))</f>
        <v>0</v>
      </c>
      <c r="AC6" s="142">
        <f t="shared" si="1"/>
        <v>0.16428662751159046</v>
      </c>
      <c r="AD6" s="163">
        <f t="shared" ref="AD6:AD20" si="16">SUM($U$5:$U$20)</f>
        <v>0</v>
      </c>
      <c r="AE6" s="153">
        <f t="shared" ref="AE6:AE20" si="17">W6*(X6+Y6+Z6+AA6)</f>
        <v>8.9471749900914556E-6</v>
      </c>
      <c r="AF6" s="144">
        <f t="shared" ref="AF6:AF20" si="18">(AD6/AE6)*10^6</f>
        <v>0</v>
      </c>
      <c r="AI6" s="86">
        <v>1</v>
      </c>
      <c r="AJ6" s="86">
        <f>AJ5+2</f>
        <v>12</v>
      </c>
      <c r="AK6" s="132">
        <f t="shared" ref="AK6:AK20" si="19">(AK5*(($S6/$S5)^(($C$13-1)/$C$13)))</f>
        <v>2282.3528089966803</v>
      </c>
      <c r="AL6" s="153">
        <f t="shared" ref="AL6:AL20" si="20">((4.7*10^13*AT6*(AS6^0.5)*EXP(-67837/(AK6)))/($C$15))*$C$5*10^-6</f>
        <v>2.1708182026926368E-10</v>
      </c>
      <c r="AM6" s="153">
        <f t="shared" ref="AM6:AM20" si="21">(((10^5*($C$4*$C$6)*10^-6)/($C$8*$C$7)))</f>
        <v>6.5681391066181393E-6</v>
      </c>
      <c r="AN6" s="88">
        <f t="shared" si="2"/>
        <v>1.331435774811735E-7</v>
      </c>
      <c r="AO6" s="96">
        <f t="shared" si="3"/>
        <v>7.2</v>
      </c>
      <c r="AP6" s="96">
        <f t="shared" si="4"/>
        <v>8.1</v>
      </c>
      <c r="AQ6" s="134">
        <f t="shared" si="5"/>
        <v>1.2499999999999998</v>
      </c>
      <c r="AR6" s="148">
        <f t="shared" si="6"/>
        <v>47.023800000000001</v>
      </c>
      <c r="AS6" s="132">
        <f t="shared" si="7"/>
        <v>4.160736796286672E-3</v>
      </c>
      <c r="AT6" s="136">
        <f t="shared" si="8"/>
        <v>0.15652292396898015</v>
      </c>
      <c r="AU6" s="163">
        <f t="shared" ref="AU6:AU20" si="22">SUM($AL$5:$AL$20)</f>
        <v>1.212213677030306E-7</v>
      </c>
      <c r="AV6" s="153">
        <f t="shared" ref="AV6:AV20" si="23">AN6*(AO6+AP6+AQ6+AR6)</f>
        <v>8.4644431660726279E-6</v>
      </c>
      <c r="AW6" s="144">
        <f t="shared" ref="AW6:AW20" si="24">(AU6/AV6)*10^6</f>
        <v>14321.245393780046</v>
      </c>
    </row>
    <row r="7" spans="2:49" ht="18.75" thickBot="1" x14ac:dyDescent="0.3">
      <c r="B7" s="111" t="s">
        <v>153</v>
      </c>
      <c r="C7" s="3">
        <f>20+273</f>
        <v>293</v>
      </c>
      <c r="D7" s="115"/>
      <c r="E7" s="115"/>
      <c r="F7" s="110" t="s">
        <v>1</v>
      </c>
      <c r="G7" s="108">
        <v>18</v>
      </c>
      <c r="K7" s="7" t="s">
        <v>18</v>
      </c>
      <c r="L7" s="6">
        <v>3.7619039999999999</v>
      </c>
      <c r="R7" s="86">
        <v>2</v>
      </c>
      <c r="S7" s="86">
        <f t="shared" ref="S7:S20" si="25">S6+2</f>
        <v>14</v>
      </c>
      <c r="T7" s="132">
        <f t="shared" ref="T7:T20" si="26">(T6*((S7/S6)^(($C$13-1)/$C$13)))</f>
        <v>2510.0666958766406</v>
      </c>
      <c r="U7" s="191">
        <f t="shared" si="9"/>
        <v>0</v>
      </c>
      <c r="V7" s="153">
        <f t="shared" si="10"/>
        <v>6.5681391066181393E-6</v>
      </c>
      <c r="W7" s="88">
        <f t="shared" si="11"/>
        <v>1.3974764056634339E-7</v>
      </c>
      <c r="X7" s="96">
        <f t="shared" si="12"/>
        <v>8</v>
      </c>
      <c r="Y7" s="96">
        <f t="shared" si="13"/>
        <v>9</v>
      </c>
      <c r="Z7" s="134">
        <f t="shared" si="14"/>
        <v>0</v>
      </c>
      <c r="AA7" s="144">
        <f t="shared" si="0"/>
        <v>47.023800000000001</v>
      </c>
      <c r="AB7" s="152">
        <f t="shared" si="15"/>
        <v>0</v>
      </c>
      <c r="AC7" s="142">
        <f t="shared" si="1"/>
        <v>0.16428662751159046</v>
      </c>
      <c r="AD7" s="163">
        <f t="shared" si="16"/>
        <v>0</v>
      </c>
      <c r="AE7" s="153">
        <f t="shared" si="17"/>
        <v>8.9471749900914556E-6</v>
      </c>
      <c r="AF7" s="144">
        <f t="shared" si="18"/>
        <v>0</v>
      </c>
      <c r="AI7" s="86">
        <v>2</v>
      </c>
      <c r="AJ7" s="86">
        <f t="shared" ref="AJ7:AJ20" si="27">AJ6+2</f>
        <v>14</v>
      </c>
      <c r="AK7" s="132">
        <f t="shared" si="19"/>
        <v>2334.0496512923305</v>
      </c>
      <c r="AL7" s="153">
        <f t="shared" si="20"/>
        <v>4.1930368527711602E-10</v>
      </c>
      <c r="AM7" s="153">
        <f t="shared" si="21"/>
        <v>6.5681391066181393E-6</v>
      </c>
      <c r="AN7" s="88">
        <f t="shared" si="2"/>
        <v>1.331435774811735E-7</v>
      </c>
      <c r="AO7" s="96">
        <f t="shared" si="3"/>
        <v>7.2</v>
      </c>
      <c r="AP7" s="96">
        <f t="shared" si="4"/>
        <v>8.1</v>
      </c>
      <c r="AQ7" s="134">
        <f t="shared" si="5"/>
        <v>1.2499999999999998</v>
      </c>
      <c r="AR7" s="148">
        <f t="shared" si="6"/>
        <v>47.023800000000001</v>
      </c>
      <c r="AS7" s="132">
        <f t="shared" si="7"/>
        <v>4.160736796286672E-3</v>
      </c>
      <c r="AT7" s="136">
        <f t="shared" si="8"/>
        <v>0.15652292396898015</v>
      </c>
      <c r="AU7" s="163">
        <f t="shared" si="22"/>
        <v>1.212213677030306E-7</v>
      </c>
      <c r="AV7" s="153">
        <f t="shared" si="23"/>
        <v>8.4644431660726279E-6</v>
      </c>
      <c r="AW7" s="144">
        <f t="shared" si="24"/>
        <v>14321.245393780046</v>
      </c>
    </row>
    <row r="8" spans="2:49" ht="15.75" thickBot="1" x14ac:dyDescent="0.3">
      <c r="B8" s="111" t="s">
        <v>154</v>
      </c>
      <c r="C8" s="3">
        <v>8314</v>
      </c>
      <c r="D8" s="115"/>
      <c r="E8" s="115"/>
      <c r="F8" s="110" t="s">
        <v>24</v>
      </c>
      <c r="G8" s="3">
        <v>0</v>
      </c>
      <c r="K8" s="6" t="s">
        <v>32</v>
      </c>
      <c r="L8" s="6">
        <v>32</v>
      </c>
      <c r="R8" s="86">
        <v>3</v>
      </c>
      <c r="S8" s="86">
        <f t="shared" si="25"/>
        <v>16</v>
      </c>
      <c r="T8" s="132">
        <f t="shared" si="26"/>
        <v>2559.2425148554435</v>
      </c>
      <c r="U8" s="191">
        <f t="shared" si="9"/>
        <v>0</v>
      </c>
      <c r="V8" s="153">
        <f t="shared" si="10"/>
        <v>6.5681391066181393E-6</v>
      </c>
      <c r="W8" s="88">
        <f t="shared" si="11"/>
        <v>1.3974764056634339E-7</v>
      </c>
      <c r="X8" s="96">
        <f t="shared" si="12"/>
        <v>8</v>
      </c>
      <c r="Y8" s="96">
        <f t="shared" si="13"/>
        <v>9</v>
      </c>
      <c r="Z8" s="134">
        <f t="shared" si="14"/>
        <v>0</v>
      </c>
      <c r="AA8" s="144">
        <f t="shared" si="0"/>
        <v>47.023800000000001</v>
      </c>
      <c r="AB8" s="152">
        <f t="shared" si="15"/>
        <v>0</v>
      </c>
      <c r="AC8" s="142">
        <f t="shared" si="1"/>
        <v>0.16428662751159046</v>
      </c>
      <c r="AD8" s="163">
        <f t="shared" si="16"/>
        <v>0</v>
      </c>
      <c r="AE8" s="153">
        <f t="shared" si="17"/>
        <v>8.9471749900914556E-6</v>
      </c>
      <c r="AF8" s="144">
        <f t="shared" si="18"/>
        <v>0</v>
      </c>
      <c r="AI8" s="86">
        <v>3</v>
      </c>
      <c r="AJ8" s="86">
        <f t="shared" si="27"/>
        <v>16</v>
      </c>
      <c r="AK8" s="132">
        <f t="shared" si="19"/>
        <v>2379.7770430497048</v>
      </c>
      <c r="AL8" s="153">
        <f t="shared" si="20"/>
        <v>7.3293820797450914E-10</v>
      </c>
      <c r="AM8" s="153">
        <f t="shared" si="21"/>
        <v>6.5681391066181393E-6</v>
      </c>
      <c r="AN8" s="88">
        <f t="shared" si="2"/>
        <v>1.331435774811735E-7</v>
      </c>
      <c r="AO8" s="96">
        <f t="shared" si="3"/>
        <v>7.2</v>
      </c>
      <c r="AP8" s="96">
        <f t="shared" si="4"/>
        <v>8.1</v>
      </c>
      <c r="AQ8" s="134">
        <f t="shared" si="5"/>
        <v>1.2499999999999998</v>
      </c>
      <c r="AR8" s="148">
        <f t="shared" si="6"/>
        <v>47.023800000000001</v>
      </c>
      <c r="AS8" s="132">
        <f t="shared" si="7"/>
        <v>4.160736796286672E-3</v>
      </c>
      <c r="AT8" s="136">
        <f t="shared" si="8"/>
        <v>0.15652292396898015</v>
      </c>
      <c r="AU8" s="163">
        <f t="shared" si="22"/>
        <v>1.212213677030306E-7</v>
      </c>
      <c r="AV8" s="153">
        <f t="shared" si="23"/>
        <v>8.4644431660726279E-6</v>
      </c>
      <c r="AW8" s="144">
        <f t="shared" si="24"/>
        <v>14321.245393780046</v>
      </c>
    </row>
    <row r="9" spans="2:49" ht="15.75" thickBot="1" x14ac:dyDescent="0.3">
      <c r="B9" s="95" t="s">
        <v>160</v>
      </c>
      <c r="C9" s="3">
        <f>1*10^5</f>
        <v>100000</v>
      </c>
      <c r="D9" s="115"/>
      <c r="E9" s="115"/>
      <c r="R9" s="86">
        <v>4</v>
      </c>
      <c r="S9" s="86">
        <f t="shared" si="25"/>
        <v>18</v>
      </c>
      <c r="T9" s="132">
        <f t="shared" si="26"/>
        <v>2603.4177381529535</v>
      </c>
      <c r="U9" s="191">
        <f t="shared" si="9"/>
        <v>0</v>
      </c>
      <c r="V9" s="153">
        <f t="shared" si="10"/>
        <v>6.5681391066181393E-6</v>
      </c>
      <c r="W9" s="88">
        <f t="shared" si="11"/>
        <v>1.3974764056634339E-7</v>
      </c>
      <c r="X9" s="96">
        <f t="shared" si="12"/>
        <v>8</v>
      </c>
      <c r="Y9" s="96">
        <f t="shared" si="13"/>
        <v>9</v>
      </c>
      <c r="Z9" s="134">
        <f t="shared" si="14"/>
        <v>0</v>
      </c>
      <c r="AA9" s="144">
        <f t="shared" si="0"/>
        <v>47.023800000000001</v>
      </c>
      <c r="AB9" s="152">
        <f t="shared" si="15"/>
        <v>0</v>
      </c>
      <c r="AC9" s="142">
        <f t="shared" si="1"/>
        <v>0.16428662751159046</v>
      </c>
      <c r="AD9" s="163">
        <f t="shared" si="16"/>
        <v>0</v>
      </c>
      <c r="AE9" s="153">
        <f t="shared" si="17"/>
        <v>8.9471749900914556E-6</v>
      </c>
      <c r="AF9" s="144">
        <f t="shared" si="18"/>
        <v>0</v>
      </c>
      <c r="AI9" s="86">
        <v>4</v>
      </c>
      <c r="AJ9" s="86">
        <f t="shared" si="27"/>
        <v>18</v>
      </c>
      <c r="AK9" s="132">
        <f t="shared" si="19"/>
        <v>2420.8545031437698</v>
      </c>
      <c r="AL9" s="153">
        <f t="shared" si="20"/>
        <v>1.1888590392424428E-9</v>
      </c>
      <c r="AM9" s="153">
        <f t="shared" si="21"/>
        <v>6.5681391066181393E-6</v>
      </c>
      <c r="AN9" s="88">
        <f t="shared" si="2"/>
        <v>1.331435774811735E-7</v>
      </c>
      <c r="AO9" s="96">
        <f t="shared" si="3"/>
        <v>7.2</v>
      </c>
      <c r="AP9" s="96">
        <f t="shared" si="4"/>
        <v>8.1</v>
      </c>
      <c r="AQ9" s="134">
        <f t="shared" si="5"/>
        <v>1.2499999999999998</v>
      </c>
      <c r="AR9" s="148">
        <f t="shared" si="6"/>
        <v>47.023800000000001</v>
      </c>
      <c r="AS9" s="132">
        <f t="shared" si="7"/>
        <v>4.160736796286672E-3</v>
      </c>
      <c r="AT9" s="136">
        <f t="shared" si="8"/>
        <v>0.15652292396898015</v>
      </c>
      <c r="AU9" s="163">
        <f t="shared" si="22"/>
        <v>1.212213677030306E-7</v>
      </c>
      <c r="AV9" s="153">
        <f t="shared" si="23"/>
        <v>8.4644431660726279E-6</v>
      </c>
      <c r="AW9" s="144">
        <f t="shared" si="24"/>
        <v>14321.245393780046</v>
      </c>
    </row>
    <row r="10" spans="2:49" ht="18.75" thickBot="1" x14ac:dyDescent="0.3">
      <c r="B10" s="3" t="s">
        <v>67</v>
      </c>
      <c r="C10" s="3">
        <f>4.7*10^13</f>
        <v>47000000000000</v>
      </c>
      <c r="D10" s="115"/>
      <c r="E10" s="115"/>
      <c r="F10" s="323" t="s">
        <v>11</v>
      </c>
      <c r="G10" s="324"/>
      <c r="K10" s="2" t="s">
        <v>39</v>
      </c>
      <c r="L10" s="114" t="s">
        <v>166</v>
      </c>
      <c r="R10" s="86">
        <v>5</v>
      </c>
      <c r="S10" s="86">
        <f t="shared" si="25"/>
        <v>20</v>
      </c>
      <c r="T10" s="132">
        <f t="shared" si="26"/>
        <v>2643.5795511532228</v>
      </c>
      <c r="U10" s="191">
        <f t="shared" si="9"/>
        <v>0</v>
      </c>
      <c r="V10" s="153">
        <f t="shared" si="10"/>
        <v>6.5681391066181393E-6</v>
      </c>
      <c r="W10" s="88">
        <f t="shared" si="11"/>
        <v>1.3974764056634339E-7</v>
      </c>
      <c r="X10" s="96">
        <f t="shared" si="12"/>
        <v>8</v>
      </c>
      <c r="Y10" s="96">
        <f t="shared" si="13"/>
        <v>9</v>
      </c>
      <c r="Z10" s="134">
        <f t="shared" si="14"/>
        <v>0</v>
      </c>
      <c r="AA10" s="144">
        <f t="shared" si="0"/>
        <v>47.023800000000001</v>
      </c>
      <c r="AB10" s="152">
        <f t="shared" si="15"/>
        <v>0</v>
      </c>
      <c r="AC10" s="142">
        <f t="shared" si="1"/>
        <v>0.16428662751159046</v>
      </c>
      <c r="AD10" s="163">
        <f t="shared" si="16"/>
        <v>0</v>
      </c>
      <c r="AE10" s="153">
        <f t="shared" si="17"/>
        <v>8.9471749900914556E-6</v>
      </c>
      <c r="AF10" s="144">
        <f t="shared" si="18"/>
        <v>0</v>
      </c>
      <c r="AI10" s="86">
        <v>5</v>
      </c>
      <c r="AJ10" s="86">
        <f t="shared" si="27"/>
        <v>20</v>
      </c>
      <c r="AK10" s="132">
        <f t="shared" si="19"/>
        <v>2458.199991127231</v>
      </c>
      <c r="AL10" s="153">
        <f t="shared" si="20"/>
        <v>1.8197679199497482E-9</v>
      </c>
      <c r="AM10" s="153">
        <f t="shared" si="21"/>
        <v>6.5681391066181393E-6</v>
      </c>
      <c r="AN10" s="88">
        <f t="shared" si="2"/>
        <v>1.331435774811735E-7</v>
      </c>
      <c r="AO10" s="96">
        <f t="shared" si="3"/>
        <v>7.2</v>
      </c>
      <c r="AP10" s="96">
        <f t="shared" si="4"/>
        <v>8.1</v>
      </c>
      <c r="AQ10" s="134">
        <f t="shared" si="5"/>
        <v>1.2499999999999998</v>
      </c>
      <c r="AR10" s="148">
        <f t="shared" si="6"/>
        <v>47.023800000000001</v>
      </c>
      <c r="AS10" s="132">
        <f t="shared" si="7"/>
        <v>4.160736796286672E-3</v>
      </c>
      <c r="AT10" s="136">
        <f t="shared" si="8"/>
        <v>0.15652292396898015</v>
      </c>
      <c r="AU10" s="163">
        <f t="shared" si="22"/>
        <v>1.212213677030306E-7</v>
      </c>
      <c r="AV10" s="153">
        <f t="shared" si="23"/>
        <v>8.4644431660726279E-6</v>
      </c>
      <c r="AW10" s="144">
        <f t="shared" si="24"/>
        <v>14321.245393780046</v>
      </c>
    </row>
    <row r="11" spans="2:49" ht="18.75" thickBot="1" x14ac:dyDescent="0.3">
      <c r="B11" s="3" t="s">
        <v>174</v>
      </c>
      <c r="C11" s="3">
        <v>-67837</v>
      </c>
      <c r="D11" s="115"/>
      <c r="E11" s="115"/>
      <c r="F11" s="4" t="s">
        <v>17</v>
      </c>
      <c r="G11" s="4">
        <f>(G15/2)</f>
        <v>12.5</v>
      </c>
      <c r="K11" s="19" t="s">
        <v>40</v>
      </c>
      <c r="L11" s="16">
        <v>259.2</v>
      </c>
      <c r="R11" s="86">
        <v>6</v>
      </c>
      <c r="S11" s="86">
        <f t="shared" si="25"/>
        <v>22</v>
      </c>
      <c r="T11" s="132">
        <f t="shared" si="26"/>
        <v>2680.4437978364645</v>
      </c>
      <c r="U11" s="191">
        <f t="shared" si="9"/>
        <v>0</v>
      </c>
      <c r="V11" s="153">
        <f t="shared" si="10"/>
        <v>6.5681391066181393E-6</v>
      </c>
      <c r="W11" s="88">
        <f t="shared" si="11"/>
        <v>1.3974764056634339E-7</v>
      </c>
      <c r="X11" s="96">
        <f t="shared" si="12"/>
        <v>8</v>
      </c>
      <c r="Y11" s="96">
        <f t="shared" si="13"/>
        <v>9</v>
      </c>
      <c r="Z11" s="134">
        <f t="shared" si="14"/>
        <v>0</v>
      </c>
      <c r="AA11" s="144">
        <f t="shared" si="0"/>
        <v>47.023800000000001</v>
      </c>
      <c r="AB11" s="152">
        <f t="shared" si="15"/>
        <v>0</v>
      </c>
      <c r="AC11" s="142">
        <f t="shared" si="1"/>
        <v>0.16428662751159046</v>
      </c>
      <c r="AD11" s="163">
        <f t="shared" si="16"/>
        <v>0</v>
      </c>
      <c r="AE11" s="153">
        <f t="shared" si="17"/>
        <v>8.9471749900914556E-6</v>
      </c>
      <c r="AF11" s="144">
        <f t="shared" si="18"/>
        <v>0</v>
      </c>
      <c r="AI11" s="86">
        <v>6</v>
      </c>
      <c r="AJ11" s="86">
        <f t="shared" si="27"/>
        <v>22</v>
      </c>
      <c r="AK11" s="132">
        <f t="shared" si="19"/>
        <v>2492.4791528154524</v>
      </c>
      <c r="AL11" s="153">
        <f t="shared" si="20"/>
        <v>2.6597727759804149E-9</v>
      </c>
      <c r="AM11" s="153">
        <f t="shared" si="21"/>
        <v>6.5681391066181393E-6</v>
      </c>
      <c r="AN11" s="88">
        <f t="shared" si="2"/>
        <v>1.331435774811735E-7</v>
      </c>
      <c r="AO11" s="96">
        <f t="shared" si="3"/>
        <v>7.2</v>
      </c>
      <c r="AP11" s="96">
        <f t="shared" si="4"/>
        <v>8.1</v>
      </c>
      <c r="AQ11" s="134">
        <f t="shared" si="5"/>
        <v>1.2499999999999998</v>
      </c>
      <c r="AR11" s="148">
        <f t="shared" si="6"/>
        <v>47.023800000000001</v>
      </c>
      <c r="AS11" s="132">
        <f t="shared" si="7"/>
        <v>4.160736796286672E-3</v>
      </c>
      <c r="AT11" s="136">
        <f t="shared" si="8"/>
        <v>0.15652292396898015</v>
      </c>
      <c r="AU11" s="163">
        <f t="shared" si="22"/>
        <v>1.212213677030306E-7</v>
      </c>
      <c r="AV11" s="153">
        <f t="shared" si="23"/>
        <v>8.4644431660726279E-6</v>
      </c>
      <c r="AW11" s="144">
        <f t="shared" si="24"/>
        <v>14321.245393780046</v>
      </c>
    </row>
    <row r="12" spans="2:49" ht="18.75" thickBot="1" x14ac:dyDescent="0.3">
      <c r="B12" s="2" t="s">
        <v>175</v>
      </c>
      <c r="C12" s="86">
        <f>(((10^5*($C$4*$C$6)*10^-6)/($C$8*$C$7)))</f>
        <v>6.5681391066181393E-6</v>
      </c>
      <c r="D12" s="141"/>
      <c r="E12" s="141"/>
      <c r="F12" s="5" t="s">
        <v>13</v>
      </c>
      <c r="G12" s="5">
        <f>G6</f>
        <v>8</v>
      </c>
      <c r="K12" s="20" t="s">
        <v>42</v>
      </c>
      <c r="L12" s="17">
        <v>393.5</v>
      </c>
      <c r="R12" s="86">
        <v>7</v>
      </c>
      <c r="S12" s="86">
        <f t="shared" si="25"/>
        <v>24</v>
      </c>
      <c r="T12" s="132">
        <f t="shared" si="26"/>
        <v>2714.5469106716873</v>
      </c>
      <c r="U12" s="191">
        <f t="shared" si="9"/>
        <v>0</v>
      </c>
      <c r="V12" s="153">
        <f t="shared" si="10"/>
        <v>6.5681391066181393E-6</v>
      </c>
      <c r="W12" s="88">
        <f t="shared" si="11"/>
        <v>1.3974764056634339E-7</v>
      </c>
      <c r="X12" s="96">
        <f t="shared" si="12"/>
        <v>8</v>
      </c>
      <c r="Y12" s="96">
        <f t="shared" si="13"/>
        <v>9</v>
      </c>
      <c r="Z12" s="134">
        <f t="shared" si="14"/>
        <v>0</v>
      </c>
      <c r="AA12" s="144">
        <f t="shared" si="0"/>
        <v>47.023800000000001</v>
      </c>
      <c r="AB12" s="152">
        <f t="shared" si="15"/>
        <v>0</v>
      </c>
      <c r="AC12" s="142">
        <f t="shared" si="1"/>
        <v>0.16428662751159046</v>
      </c>
      <c r="AD12" s="163">
        <f t="shared" si="16"/>
        <v>0</v>
      </c>
      <c r="AE12" s="153">
        <f t="shared" si="17"/>
        <v>8.9471749900914556E-6</v>
      </c>
      <c r="AF12" s="144">
        <f t="shared" si="18"/>
        <v>0</v>
      </c>
      <c r="AI12" s="86">
        <v>7</v>
      </c>
      <c r="AJ12" s="86">
        <f t="shared" si="27"/>
        <v>24</v>
      </c>
      <c r="AK12" s="132">
        <f t="shared" si="19"/>
        <v>2524.1908036460036</v>
      </c>
      <c r="AL12" s="153">
        <f t="shared" si="20"/>
        <v>3.7440443956538636E-9</v>
      </c>
      <c r="AM12" s="153">
        <f t="shared" si="21"/>
        <v>6.5681391066181393E-6</v>
      </c>
      <c r="AN12" s="88">
        <f t="shared" si="2"/>
        <v>1.331435774811735E-7</v>
      </c>
      <c r="AO12" s="96">
        <f t="shared" si="3"/>
        <v>7.2</v>
      </c>
      <c r="AP12" s="96">
        <f t="shared" si="4"/>
        <v>8.1</v>
      </c>
      <c r="AQ12" s="134">
        <f t="shared" si="5"/>
        <v>1.2499999999999998</v>
      </c>
      <c r="AR12" s="148">
        <f t="shared" si="6"/>
        <v>47.023800000000001</v>
      </c>
      <c r="AS12" s="132">
        <f t="shared" si="7"/>
        <v>4.160736796286672E-3</v>
      </c>
      <c r="AT12" s="136">
        <f t="shared" si="8"/>
        <v>0.15652292396898015</v>
      </c>
      <c r="AU12" s="163">
        <f t="shared" si="22"/>
        <v>1.212213677030306E-7</v>
      </c>
      <c r="AV12" s="153">
        <f t="shared" si="23"/>
        <v>8.4644431660726279E-6</v>
      </c>
      <c r="AW12" s="144">
        <f t="shared" si="24"/>
        <v>14321.245393780046</v>
      </c>
    </row>
    <row r="13" spans="2:49" ht="18.75" customHeight="1" thickBot="1" x14ac:dyDescent="0.3">
      <c r="B13" s="2" t="s">
        <v>179</v>
      </c>
      <c r="C13" s="3">
        <v>1.17</v>
      </c>
      <c r="F13" s="5" t="s">
        <v>14</v>
      </c>
      <c r="G13" s="5">
        <f>(G7/2)</f>
        <v>9</v>
      </c>
      <c r="K13" s="21" t="s">
        <v>52</v>
      </c>
      <c r="L13" s="18">
        <v>241.8</v>
      </c>
      <c r="N13" s="171" t="s">
        <v>29</v>
      </c>
      <c r="O13" s="172"/>
      <c r="P13" s="172"/>
      <c r="R13" s="86">
        <v>8</v>
      </c>
      <c r="S13" s="86">
        <f t="shared" si="25"/>
        <v>26</v>
      </c>
      <c r="T13" s="132">
        <f t="shared" si="26"/>
        <v>2746.3017618750005</v>
      </c>
      <c r="U13" s="191">
        <f t="shared" si="9"/>
        <v>0</v>
      </c>
      <c r="V13" s="153">
        <f t="shared" si="10"/>
        <v>6.5681391066181393E-6</v>
      </c>
      <c r="W13" s="88">
        <f t="shared" si="11"/>
        <v>1.3974764056634339E-7</v>
      </c>
      <c r="X13" s="96">
        <f t="shared" si="12"/>
        <v>8</v>
      </c>
      <c r="Y13" s="96">
        <f t="shared" si="13"/>
        <v>9</v>
      </c>
      <c r="Z13" s="134">
        <f t="shared" si="14"/>
        <v>0</v>
      </c>
      <c r="AA13" s="144">
        <f t="shared" si="0"/>
        <v>47.023800000000001</v>
      </c>
      <c r="AB13" s="152">
        <f t="shared" si="15"/>
        <v>0</v>
      </c>
      <c r="AC13" s="142">
        <f t="shared" si="1"/>
        <v>0.16428662751159046</v>
      </c>
      <c r="AD13" s="163">
        <f t="shared" si="16"/>
        <v>0</v>
      </c>
      <c r="AE13" s="153">
        <f t="shared" si="17"/>
        <v>8.9471749900914556E-6</v>
      </c>
      <c r="AF13" s="144">
        <f t="shared" si="18"/>
        <v>0</v>
      </c>
      <c r="AI13" s="86">
        <v>8</v>
      </c>
      <c r="AJ13" s="86">
        <f t="shared" si="27"/>
        <v>26</v>
      </c>
      <c r="AK13" s="132">
        <f t="shared" si="19"/>
        <v>2553.7188633982355</v>
      </c>
      <c r="AL13" s="153">
        <f t="shared" si="20"/>
        <v>5.1085363817030898E-9</v>
      </c>
      <c r="AM13" s="153">
        <f t="shared" si="21"/>
        <v>6.5681391066181393E-6</v>
      </c>
      <c r="AN13" s="88">
        <f t="shared" si="2"/>
        <v>1.331435774811735E-7</v>
      </c>
      <c r="AO13" s="96">
        <f t="shared" si="3"/>
        <v>7.2</v>
      </c>
      <c r="AP13" s="96">
        <f t="shared" si="4"/>
        <v>8.1</v>
      </c>
      <c r="AQ13" s="134">
        <f t="shared" si="5"/>
        <v>1.2499999999999998</v>
      </c>
      <c r="AR13" s="148">
        <f t="shared" si="6"/>
        <v>47.023800000000001</v>
      </c>
      <c r="AS13" s="132">
        <f t="shared" si="7"/>
        <v>4.160736796286672E-3</v>
      </c>
      <c r="AT13" s="136">
        <f t="shared" si="8"/>
        <v>0.15652292396898015</v>
      </c>
      <c r="AU13" s="163">
        <f t="shared" si="22"/>
        <v>1.212213677030306E-7</v>
      </c>
      <c r="AV13" s="153">
        <f t="shared" si="23"/>
        <v>8.4644431660726279E-6</v>
      </c>
      <c r="AW13" s="144">
        <f t="shared" si="24"/>
        <v>14321.245393780046</v>
      </c>
    </row>
    <row r="14" spans="2:49" ht="18.75" customHeight="1" thickBot="1" x14ac:dyDescent="0.3">
      <c r="B14" s="111" t="s">
        <v>72</v>
      </c>
      <c r="C14" s="3">
        <v>1800</v>
      </c>
      <c r="F14" s="7" t="s">
        <v>15</v>
      </c>
      <c r="G14" s="7">
        <f>G11*L7</f>
        <v>47.023800000000001</v>
      </c>
      <c r="K14" s="22" t="s">
        <v>53</v>
      </c>
      <c r="L14" s="6">
        <v>285.8</v>
      </c>
      <c r="N14" s="135"/>
      <c r="O14" s="196"/>
      <c r="P14" s="102"/>
      <c r="R14" s="86">
        <v>9</v>
      </c>
      <c r="S14" s="86">
        <f t="shared" si="25"/>
        <v>28</v>
      </c>
      <c r="T14" s="132">
        <f t="shared" si="26"/>
        <v>2776.0332431054658</v>
      </c>
      <c r="U14" s="191">
        <f t="shared" si="9"/>
        <v>0</v>
      </c>
      <c r="V14" s="153">
        <f t="shared" si="10"/>
        <v>6.5681391066181393E-6</v>
      </c>
      <c r="W14" s="88">
        <f t="shared" si="11"/>
        <v>1.3974764056634339E-7</v>
      </c>
      <c r="X14" s="96">
        <f t="shared" si="12"/>
        <v>8</v>
      </c>
      <c r="Y14" s="96">
        <f t="shared" si="13"/>
        <v>9</v>
      </c>
      <c r="Z14" s="134">
        <f t="shared" si="14"/>
        <v>0</v>
      </c>
      <c r="AA14" s="144">
        <f t="shared" si="0"/>
        <v>47.023800000000001</v>
      </c>
      <c r="AB14" s="152">
        <f t="shared" si="15"/>
        <v>0</v>
      </c>
      <c r="AC14" s="142">
        <f t="shared" si="1"/>
        <v>0.16428662751159046</v>
      </c>
      <c r="AD14" s="163">
        <f t="shared" si="16"/>
        <v>0</v>
      </c>
      <c r="AE14" s="153">
        <f t="shared" si="17"/>
        <v>8.9471749900914556E-6</v>
      </c>
      <c r="AF14" s="144">
        <f t="shared" si="18"/>
        <v>0</v>
      </c>
      <c r="AI14" s="86">
        <v>9</v>
      </c>
      <c r="AJ14" s="86">
        <f t="shared" si="27"/>
        <v>28</v>
      </c>
      <c r="AK14" s="132">
        <f t="shared" si="19"/>
        <v>2581.3654408825587</v>
      </c>
      <c r="AL14" s="153">
        <f t="shared" si="20"/>
        <v>6.7897560452973772E-9</v>
      </c>
      <c r="AM14" s="153">
        <f t="shared" si="21"/>
        <v>6.5681391066181393E-6</v>
      </c>
      <c r="AN14" s="88">
        <f t="shared" si="2"/>
        <v>1.331435774811735E-7</v>
      </c>
      <c r="AO14" s="96">
        <f t="shared" si="3"/>
        <v>7.2</v>
      </c>
      <c r="AP14" s="96">
        <f t="shared" si="4"/>
        <v>8.1</v>
      </c>
      <c r="AQ14" s="134">
        <f t="shared" si="5"/>
        <v>1.2499999999999998</v>
      </c>
      <c r="AR14" s="148">
        <f t="shared" si="6"/>
        <v>47.023800000000001</v>
      </c>
      <c r="AS14" s="132">
        <f t="shared" si="7"/>
        <v>4.160736796286672E-3</v>
      </c>
      <c r="AT14" s="136">
        <f t="shared" si="8"/>
        <v>0.15652292396898015</v>
      </c>
      <c r="AU14" s="163">
        <f t="shared" si="22"/>
        <v>1.212213677030306E-7</v>
      </c>
      <c r="AV14" s="153">
        <f t="shared" si="23"/>
        <v>8.4644431660726279E-6</v>
      </c>
      <c r="AW14" s="144">
        <f t="shared" si="24"/>
        <v>14321.245393780046</v>
      </c>
    </row>
    <row r="15" spans="2:49" ht="15.75" thickBot="1" x14ac:dyDescent="0.3">
      <c r="B15" s="111" t="s">
        <v>72</v>
      </c>
      <c r="C15" s="3">
        <f>1800*(360/60)</f>
        <v>10800</v>
      </c>
      <c r="F15" s="6" t="s">
        <v>25</v>
      </c>
      <c r="G15" s="6">
        <f>(2*G12)+G13</f>
        <v>25</v>
      </c>
      <c r="N15" s="5"/>
      <c r="O15" s="196"/>
      <c r="R15" s="86">
        <v>10</v>
      </c>
      <c r="S15" s="86">
        <f t="shared" si="25"/>
        <v>30</v>
      </c>
      <c r="T15" s="132">
        <f t="shared" si="26"/>
        <v>2804.0018333718417</v>
      </c>
      <c r="U15" s="191">
        <f t="shared" si="9"/>
        <v>0</v>
      </c>
      <c r="V15" s="153">
        <f t="shared" si="10"/>
        <v>6.5681391066181393E-6</v>
      </c>
      <c r="W15" s="88">
        <f t="shared" si="11"/>
        <v>1.3974764056634339E-7</v>
      </c>
      <c r="X15" s="96">
        <f t="shared" si="12"/>
        <v>8</v>
      </c>
      <c r="Y15" s="96">
        <f t="shared" si="13"/>
        <v>9</v>
      </c>
      <c r="Z15" s="134">
        <f t="shared" si="14"/>
        <v>0</v>
      </c>
      <c r="AA15" s="144">
        <f t="shared" si="0"/>
        <v>47.023800000000001</v>
      </c>
      <c r="AB15" s="152">
        <f t="shared" si="15"/>
        <v>0</v>
      </c>
      <c r="AC15" s="142">
        <f t="shared" si="1"/>
        <v>0.16428662751159046</v>
      </c>
      <c r="AD15" s="163">
        <f t="shared" si="16"/>
        <v>0</v>
      </c>
      <c r="AE15" s="153">
        <f t="shared" si="17"/>
        <v>8.9471749900914556E-6</v>
      </c>
      <c r="AF15" s="144">
        <f t="shared" si="18"/>
        <v>0</v>
      </c>
      <c r="AI15" s="86">
        <v>10</v>
      </c>
      <c r="AJ15" s="86">
        <f t="shared" si="27"/>
        <v>30</v>
      </c>
      <c r="AK15" s="132">
        <f t="shared" si="19"/>
        <v>2607.3727491607056</v>
      </c>
      <c r="AL15" s="153">
        <f t="shared" si="20"/>
        <v>8.8245764306512192E-9</v>
      </c>
      <c r="AM15" s="153">
        <f t="shared" si="21"/>
        <v>6.5681391066181393E-6</v>
      </c>
      <c r="AN15" s="88">
        <f t="shared" si="2"/>
        <v>1.331435774811735E-7</v>
      </c>
      <c r="AO15" s="96">
        <f t="shared" si="3"/>
        <v>7.2</v>
      </c>
      <c r="AP15" s="96">
        <f t="shared" si="4"/>
        <v>8.1</v>
      </c>
      <c r="AQ15" s="134">
        <f t="shared" si="5"/>
        <v>1.2499999999999998</v>
      </c>
      <c r="AR15" s="148">
        <f t="shared" si="6"/>
        <v>47.023800000000001</v>
      </c>
      <c r="AS15" s="132">
        <f t="shared" si="7"/>
        <v>4.160736796286672E-3</v>
      </c>
      <c r="AT15" s="136">
        <f t="shared" si="8"/>
        <v>0.15652292396898015</v>
      </c>
      <c r="AU15" s="163">
        <f t="shared" si="22"/>
        <v>1.212213677030306E-7</v>
      </c>
      <c r="AV15" s="153">
        <f t="shared" si="23"/>
        <v>8.4644431660726279E-6</v>
      </c>
      <c r="AW15" s="144">
        <f t="shared" si="24"/>
        <v>14321.245393780046</v>
      </c>
    </row>
    <row r="16" spans="2:49" ht="15.75" thickBot="1" x14ac:dyDescent="0.3">
      <c r="F16" s="115"/>
      <c r="G16" s="115"/>
      <c r="N16" s="23"/>
      <c r="O16" s="196"/>
      <c r="P16" s="178"/>
      <c r="R16" s="86">
        <v>11</v>
      </c>
      <c r="S16" s="86">
        <f t="shared" si="25"/>
        <v>32</v>
      </c>
      <c r="T16" s="132">
        <f t="shared" si="26"/>
        <v>2830.4197295149102</v>
      </c>
      <c r="U16" s="191">
        <f t="shared" si="9"/>
        <v>0</v>
      </c>
      <c r="V16" s="153">
        <f t="shared" si="10"/>
        <v>6.5681391066181393E-6</v>
      </c>
      <c r="W16" s="88">
        <f t="shared" si="11"/>
        <v>1.3974764056634339E-7</v>
      </c>
      <c r="X16" s="96">
        <f t="shared" si="12"/>
        <v>8</v>
      </c>
      <c r="Y16" s="96">
        <f t="shared" si="13"/>
        <v>9</v>
      </c>
      <c r="Z16" s="134">
        <f t="shared" si="14"/>
        <v>0</v>
      </c>
      <c r="AA16" s="144">
        <f t="shared" si="0"/>
        <v>47.023800000000001</v>
      </c>
      <c r="AB16" s="152">
        <f t="shared" si="15"/>
        <v>0</v>
      </c>
      <c r="AC16" s="142">
        <f t="shared" si="1"/>
        <v>0.16428662751159046</v>
      </c>
      <c r="AD16" s="163">
        <f t="shared" si="16"/>
        <v>0</v>
      </c>
      <c r="AE16" s="153">
        <f t="shared" si="17"/>
        <v>8.9471749900914556E-6</v>
      </c>
      <c r="AF16" s="144">
        <f t="shared" si="18"/>
        <v>0</v>
      </c>
      <c r="AI16" s="86">
        <v>11</v>
      </c>
      <c r="AJ16" s="86">
        <f t="shared" si="27"/>
        <v>32</v>
      </c>
      <c r="AK16" s="132">
        <f t="shared" si="19"/>
        <v>2631.938104886869</v>
      </c>
      <c r="AL16" s="153">
        <f t="shared" si="20"/>
        <v>1.1250081688514021E-8</v>
      </c>
      <c r="AM16" s="153">
        <f t="shared" si="21"/>
        <v>6.5681391066181393E-6</v>
      </c>
      <c r="AN16" s="88">
        <f t="shared" si="2"/>
        <v>1.331435774811735E-7</v>
      </c>
      <c r="AO16" s="96">
        <f t="shared" si="3"/>
        <v>7.2</v>
      </c>
      <c r="AP16" s="96">
        <f t="shared" si="4"/>
        <v>8.1</v>
      </c>
      <c r="AQ16" s="134">
        <f t="shared" si="5"/>
        <v>1.2499999999999998</v>
      </c>
      <c r="AR16" s="148">
        <f t="shared" si="6"/>
        <v>47.023800000000001</v>
      </c>
      <c r="AS16" s="132">
        <f t="shared" si="7"/>
        <v>4.160736796286672E-3</v>
      </c>
      <c r="AT16" s="136">
        <f t="shared" si="8"/>
        <v>0.15652292396898015</v>
      </c>
      <c r="AU16" s="163">
        <f t="shared" si="22"/>
        <v>1.212213677030306E-7</v>
      </c>
      <c r="AV16" s="153">
        <f t="shared" si="23"/>
        <v>8.4644431660726279E-6</v>
      </c>
      <c r="AW16" s="144">
        <f t="shared" si="24"/>
        <v>14321.245393780046</v>
      </c>
    </row>
    <row r="17" spans="2:49" ht="15.75" thickBot="1" x14ac:dyDescent="0.3">
      <c r="F17" s="293" t="s">
        <v>22</v>
      </c>
      <c r="G17" s="295"/>
      <c r="N17" s="5"/>
      <c r="O17" s="196"/>
      <c r="P17" s="178"/>
      <c r="R17" s="86">
        <v>12</v>
      </c>
      <c r="S17" s="86">
        <f t="shared" si="25"/>
        <v>34</v>
      </c>
      <c r="T17" s="132">
        <f t="shared" si="26"/>
        <v>2855.4621979565291</v>
      </c>
      <c r="U17" s="191">
        <f t="shared" si="9"/>
        <v>0</v>
      </c>
      <c r="V17" s="153">
        <f t="shared" si="10"/>
        <v>6.5681391066181393E-6</v>
      </c>
      <c r="W17" s="88">
        <f t="shared" si="11"/>
        <v>1.3974764056634339E-7</v>
      </c>
      <c r="X17" s="96">
        <f t="shared" si="12"/>
        <v>8</v>
      </c>
      <c r="Y17" s="96">
        <f t="shared" si="13"/>
        <v>9</v>
      </c>
      <c r="Z17" s="134">
        <f t="shared" si="14"/>
        <v>0</v>
      </c>
      <c r="AA17" s="144">
        <f t="shared" si="0"/>
        <v>47.023800000000001</v>
      </c>
      <c r="AB17" s="152">
        <f t="shared" si="15"/>
        <v>0</v>
      </c>
      <c r="AC17" s="142">
        <f t="shared" si="1"/>
        <v>0.16428662751159046</v>
      </c>
      <c r="AD17" s="163">
        <f t="shared" si="16"/>
        <v>0</v>
      </c>
      <c r="AE17" s="153">
        <f t="shared" si="17"/>
        <v>8.9471749900914556E-6</v>
      </c>
      <c r="AF17" s="144">
        <f t="shared" si="18"/>
        <v>0</v>
      </c>
      <c r="AI17" s="86">
        <v>12</v>
      </c>
      <c r="AJ17" s="86">
        <f t="shared" si="27"/>
        <v>34</v>
      </c>
      <c r="AK17" s="132">
        <f t="shared" si="19"/>
        <v>2655.2244840216058</v>
      </c>
      <c r="AL17" s="153">
        <f t="shared" si="20"/>
        <v>1.4103439617667857E-8</v>
      </c>
      <c r="AM17" s="153">
        <f t="shared" si="21"/>
        <v>6.5681391066181393E-6</v>
      </c>
      <c r="AN17" s="88">
        <f t="shared" si="2"/>
        <v>1.331435774811735E-7</v>
      </c>
      <c r="AO17" s="96">
        <f t="shared" si="3"/>
        <v>7.2</v>
      </c>
      <c r="AP17" s="96">
        <f t="shared" si="4"/>
        <v>8.1</v>
      </c>
      <c r="AQ17" s="134">
        <f t="shared" si="5"/>
        <v>1.2499999999999998</v>
      </c>
      <c r="AR17" s="148">
        <f t="shared" si="6"/>
        <v>47.023800000000001</v>
      </c>
      <c r="AS17" s="132">
        <f t="shared" si="7"/>
        <v>4.160736796286672E-3</v>
      </c>
      <c r="AT17" s="136">
        <f t="shared" si="8"/>
        <v>0.15652292396898015</v>
      </c>
      <c r="AU17" s="163">
        <f t="shared" si="22"/>
        <v>1.212213677030306E-7</v>
      </c>
      <c r="AV17" s="153">
        <f t="shared" si="23"/>
        <v>8.4644431660726279E-6</v>
      </c>
      <c r="AW17" s="144">
        <f t="shared" si="24"/>
        <v>14321.245393780046</v>
      </c>
    </row>
    <row r="18" spans="2:49" ht="15.75" thickBot="1" x14ac:dyDescent="0.3">
      <c r="F18" s="296"/>
      <c r="G18" s="298"/>
      <c r="K18" s="15"/>
      <c r="L18" s="15"/>
      <c r="N18" s="23"/>
      <c r="O18" s="196"/>
      <c r="P18" s="178"/>
      <c r="R18" s="86">
        <v>13</v>
      </c>
      <c r="S18" s="86">
        <f t="shared" si="25"/>
        <v>36</v>
      </c>
      <c r="T18" s="132">
        <f t="shared" si="26"/>
        <v>2879.2757573634708</v>
      </c>
      <c r="U18" s="191">
        <f t="shared" si="9"/>
        <v>0</v>
      </c>
      <c r="V18" s="153">
        <f t="shared" si="10"/>
        <v>6.5681391066181393E-6</v>
      </c>
      <c r="W18" s="88">
        <f t="shared" si="11"/>
        <v>1.3974764056634339E-7</v>
      </c>
      <c r="X18" s="96">
        <f t="shared" si="12"/>
        <v>8</v>
      </c>
      <c r="Y18" s="96">
        <f t="shared" si="13"/>
        <v>9</v>
      </c>
      <c r="Z18" s="134">
        <f t="shared" si="14"/>
        <v>0</v>
      </c>
      <c r="AA18" s="144">
        <f t="shared" si="0"/>
        <v>47.023800000000001</v>
      </c>
      <c r="AB18" s="152">
        <f t="shared" si="15"/>
        <v>0</v>
      </c>
      <c r="AC18" s="142">
        <f t="shared" si="1"/>
        <v>0.16428662751159046</v>
      </c>
      <c r="AD18" s="163">
        <f t="shared" si="16"/>
        <v>0</v>
      </c>
      <c r="AE18" s="153">
        <f t="shared" si="17"/>
        <v>8.9471749900914556E-6</v>
      </c>
      <c r="AF18" s="144">
        <f t="shared" si="18"/>
        <v>0</v>
      </c>
      <c r="AI18" s="86">
        <v>13</v>
      </c>
      <c r="AJ18" s="86">
        <f t="shared" si="27"/>
        <v>36</v>
      </c>
      <c r="AK18" s="132">
        <f t="shared" si="19"/>
        <v>2677.3681306908788</v>
      </c>
      <c r="AL18" s="153">
        <f t="shared" si="20"/>
        <v>1.7421796446835287E-8</v>
      </c>
      <c r="AM18" s="153">
        <f t="shared" si="21"/>
        <v>6.5681391066181393E-6</v>
      </c>
      <c r="AN18" s="88">
        <f t="shared" si="2"/>
        <v>1.331435774811735E-7</v>
      </c>
      <c r="AO18" s="96">
        <f t="shared" si="3"/>
        <v>7.2</v>
      </c>
      <c r="AP18" s="96">
        <f t="shared" si="4"/>
        <v>8.1</v>
      </c>
      <c r="AQ18" s="134">
        <f t="shared" si="5"/>
        <v>1.2499999999999998</v>
      </c>
      <c r="AR18" s="148">
        <f t="shared" si="6"/>
        <v>47.023800000000001</v>
      </c>
      <c r="AS18" s="132">
        <f t="shared" si="7"/>
        <v>4.160736796286672E-3</v>
      </c>
      <c r="AT18" s="136">
        <f t="shared" si="8"/>
        <v>0.15652292396898015</v>
      </c>
      <c r="AU18" s="163">
        <f t="shared" si="22"/>
        <v>1.212213677030306E-7</v>
      </c>
      <c r="AV18" s="153">
        <f t="shared" si="23"/>
        <v>8.4644431660726279E-6</v>
      </c>
      <c r="AW18" s="144">
        <f t="shared" si="24"/>
        <v>14321.245393780046</v>
      </c>
    </row>
    <row r="19" spans="2:49" x14ac:dyDescent="0.25">
      <c r="F19" s="329" t="s">
        <v>63</v>
      </c>
      <c r="G19" s="303">
        <f>G11*((2*L5)+(L7*2*L6))</f>
        <v>1717.2997331999998</v>
      </c>
      <c r="K19" s="115"/>
      <c r="L19" s="115"/>
      <c r="N19" s="5"/>
      <c r="O19" s="196"/>
      <c r="P19" s="178"/>
      <c r="R19" s="86">
        <v>14</v>
      </c>
      <c r="S19" s="86">
        <f t="shared" si="25"/>
        <v>38</v>
      </c>
      <c r="T19" s="132">
        <f t="shared" si="26"/>
        <v>2901.9842014469746</v>
      </c>
      <c r="U19" s="191">
        <f t="shared" si="9"/>
        <v>0</v>
      </c>
      <c r="V19" s="153">
        <f t="shared" si="10"/>
        <v>6.5681391066181393E-6</v>
      </c>
      <c r="W19" s="88">
        <f t="shared" si="11"/>
        <v>1.3974764056634339E-7</v>
      </c>
      <c r="X19" s="96">
        <f t="shared" si="12"/>
        <v>8</v>
      </c>
      <c r="Y19" s="96">
        <f t="shared" si="13"/>
        <v>9</v>
      </c>
      <c r="Z19" s="134">
        <f t="shared" si="14"/>
        <v>0</v>
      </c>
      <c r="AA19" s="144">
        <f t="shared" si="0"/>
        <v>47.023800000000001</v>
      </c>
      <c r="AB19" s="152">
        <f t="shared" si="15"/>
        <v>0</v>
      </c>
      <c r="AC19" s="142">
        <f t="shared" si="1"/>
        <v>0.16428662751159046</v>
      </c>
      <c r="AD19" s="163">
        <f t="shared" si="16"/>
        <v>0</v>
      </c>
      <c r="AE19" s="153">
        <f t="shared" si="17"/>
        <v>8.9471749900914556E-6</v>
      </c>
      <c r="AF19" s="144">
        <f t="shared" si="18"/>
        <v>0</v>
      </c>
      <c r="AI19" s="86">
        <v>14</v>
      </c>
      <c r="AJ19" s="86">
        <f t="shared" si="27"/>
        <v>38</v>
      </c>
      <c r="AK19" s="132">
        <f t="shared" si="19"/>
        <v>2698.4841576401077</v>
      </c>
      <c r="AL19" s="153">
        <f t="shared" si="20"/>
        <v>2.124218990966396E-8</v>
      </c>
      <c r="AM19" s="153">
        <f t="shared" si="21"/>
        <v>6.5681391066181393E-6</v>
      </c>
      <c r="AN19" s="88">
        <f t="shared" si="2"/>
        <v>1.331435774811735E-7</v>
      </c>
      <c r="AO19" s="96">
        <f t="shared" si="3"/>
        <v>7.2</v>
      </c>
      <c r="AP19" s="96">
        <f t="shared" si="4"/>
        <v>8.1</v>
      </c>
      <c r="AQ19" s="134">
        <f t="shared" si="5"/>
        <v>1.2499999999999998</v>
      </c>
      <c r="AR19" s="148">
        <f t="shared" si="6"/>
        <v>47.023800000000001</v>
      </c>
      <c r="AS19" s="132">
        <f t="shared" si="7"/>
        <v>4.160736796286672E-3</v>
      </c>
      <c r="AT19" s="136">
        <f t="shared" si="8"/>
        <v>0.15652292396898015</v>
      </c>
      <c r="AU19" s="163">
        <f t="shared" si="22"/>
        <v>1.212213677030306E-7</v>
      </c>
      <c r="AV19" s="153">
        <f t="shared" si="23"/>
        <v>8.4644431660726279E-6</v>
      </c>
      <c r="AW19" s="144">
        <f t="shared" si="24"/>
        <v>14321.245393780046</v>
      </c>
    </row>
    <row r="20" spans="2:49" ht="15.75" thickBot="1" x14ac:dyDescent="0.3">
      <c r="F20" s="330"/>
      <c r="G20" s="304"/>
      <c r="K20" s="115"/>
      <c r="L20" s="115"/>
      <c r="P20" s="178"/>
      <c r="R20" s="86">
        <v>15</v>
      </c>
      <c r="S20" s="86">
        <f t="shared" si="25"/>
        <v>40</v>
      </c>
      <c r="T20" s="132">
        <f t="shared" si="26"/>
        <v>2923.6931141513533</v>
      </c>
      <c r="U20" s="191">
        <f t="shared" si="9"/>
        <v>0</v>
      </c>
      <c r="V20" s="153">
        <f t="shared" si="10"/>
        <v>6.5681391066181393E-6</v>
      </c>
      <c r="W20" s="88">
        <f t="shared" si="11"/>
        <v>1.3974764056634339E-7</v>
      </c>
      <c r="X20" s="96">
        <f t="shared" si="12"/>
        <v>8</v>
      </c>
      <c r="Y20" s="96">
        <f t="shared" si="13"/>
        <v>9</v>
      </c>
      <c r="Z20" s="134">
        <f t="shared" si="14"/>
        <v>0</v>
      </c>
      <c r="AA20" s="144">
        <f t="shared" si="0"/>
        <v>47.023800000000001</v>
      </c>
      <c r="AB20" s="152">
        <f t="shared" si="15"/>
        <v>0</v>
      </c>
      <c r="AC20" s="142">
        <f t="shared" si="1"/>
        <v>0.16428662751159046</v>
      </c>
      <c r="AD20" s="163">
        <f t="shared" si="16"/>
        <v>0</v>
      </c>
      <c r="AE20" s="153">
        <f t="shared" si="17"/>
        <v>8.9471749900914556E-6</v>
      </c>
      <c r="AF20" s="144">
        <f t="shared" si="18"/>
        <v>0</v>
      </c>
      <c r="AI20" s="86">
        <v>15</v>
      </c>
      <c r="AJ20" s="86">
        <f t="shared" si="27"/>
        <v>40</v>
      </c>
      <c r="AK20" s="132">
        <f t="shared" si="19"/>
        <v>2718.6707447976632</v>
      </c>
      <c r="AL20" s="153">
        <f t="shared" si="20"/>
        <v>2.5601477434014208E-8</v>
      </c>
      <c r="AM20" s="153">
        <f t="shared" si="21"/>
        <v>6.5681391066181393E-6</v>
      </c>
      <c r="AN20" s="88">
        <f t="shared" si="2"/>
        <v>1.331435774811735E-7</v>
      </c>
      <c r="AO20" s="96">
        <f t="shared" si="3"/>
        <v>7.2</v>
      </c>
      <c r="AP20" s="96">
        <f t="shared" si="4"/>
        <v>8.1</v>
      </c>
      <c r="AQ20" s="134">
        <f t="shared" si="5"/>
        <v>1.2499999999999998</v>
      </c>
      <c r="AR20" s="148">
        <f t="shared" si="6"/>
        <v>47.023800000000001</v>
      </c>
      <c r="AS20" s="132">
        <f t="shared" si="7"/>
        <v>4.160736796286672E-3</v>
      </c>
      <c r="AT20" s="136">
        <f t="shared" si="8"/>
        <v>0.15652292396898015</v>
      </c>
      <c r="AU20" s="163">
        <f t="shared" si="22"/>
        <v>1.212213677030306E-7</v>
      </c>
      <c r="AV20" s="153">
        <f t="shared" si="23"/>
        <v>8.4644431660726279E-6</v>
      </c>
      <c r="AW20" s="144">
        <f t="shared" si="24"/>
        <v>14321.245393780046</v>
      </c>
    </row>
    <row r="21" spans="2:49" ht="15.75" thickBot="1" x14ac:dyDescent="0.3">
      <c r="F21" s="329" t="s">
        <v>20</v>
      </c>
      <c r="G21" s="303">
        <f>(G6*L3)+(G7*L4)</f>
        <v>114.232</v>
      </c>
      <c r="P21" s="178"/>
      <c r="R21" s="108"/>
      <c r="S21" s="108"/>
      <c r="T21" s="132"/>
      <c r="U21" s="97"/>
      <c r="V21" s="86"/>
      <c r="W21" s="88"/>
      <c r="X21" s="96"/>
      <c r="Y21" s="96"/>
      <c r="Z21" s="134"/>
      <c r="AA21" s="145"/>
      <c r="AB21" s="152"/>
      <c r="AC21" s="143"/>
      <c r="AD21" s="143"/>
      <c r="AE21" s="162"/>
      <c r="AF21" s="144"/>
      <c r="AI21" s="108"/>
      <c r="AJ21" s="108"/>
      <c r="AK21" s="132"/>
      <c r="AL21" s="153"/>
      <c r="AM21" s="86"/>
      <c r="AN21" s="88"/>
      <c r="AO21" s="96"/>
      <c r="AP21" s="96"/>
      <c r="AQ21" s="134"/>
      <c r="AR21" s="149"/>
      <c r="AS21" s="133"/>
      <c r="AT21" s="125"/>
      <c r="AU21" s="125"/>
      <c r="AV21" s="162"/>
      <c r="AW21" s="144"/>
    </row>
    <row r="22" spans="2:49" ht="15.75" thickBot="1" x14ac:dyDescent="0.3">
      <c r="F22" s="330"/>
      <c r="G22" s="304"/>
      <c r="L22" s="15"/>
    </row>
    <row r="23" spans="2:49" ht="21.75" thickBot="1" x14ac:dyDescent="0.3">
      <c r="L23" s="115"/>
      <c r="P23" s="102"/>
      <c r="AI23" s="378" t="s">
        <v>29</v>
      </c>
      <c r="AJ23" s="379"/>
      <c r="AK23" s="390">
        <v>0.85</v>
      </c>
      <c r="AL23" s="391"/>
      <c r="AM23" s="391"/>
      <c r="AN23" s="391"/>
      <c r="AO23" s="391"/>
      <c r="AP23" s="391"/>
      <c r="AQ23" s="391"/>
      <c r="AR23" s="391"/>
      <c r="AS23" s="391"/>
      <c r="AT23" s="392"/>
      <c r="AU23" s="186"/>
    </row>
    <row r="24" spans="2:49" ht="24" thickBot="1" x14ac:dyDescent="0.3">
      <c r="F24" s="329" t="s">
        <v>23</v>
      </c>
      <c r="G24" s="303">
        <f>G19/G21</f>
        <v>15.033438381539321</v>
      </c>
      <c r="L24" s="115"/>
      <c r="R24" s="343" t="s">
        <v>29</v>
      </c>
      <c r="S24" s="345"/>
      <c r="T24" s="408">
        <v>0.99</v>
      </c>
      <c r="U24" s="409"/>
      <c r="V24" s="409"/>
      <c r="W24" s="409"/>
      <c r="X24" s="409"/>
      <c r="Y24" s="409"/>
      <c r="Z24" s="409"/>
      <c r="AA24" s="409"/>
      <c r="AB24" s="409"/>
      <c r="AC24" s="410"/>
      <c r="AD24" s="180"/>
      <c r="AI24" s="380"/>
      <c r="AJ24" s="381"/>
      <c r="AK24" s="393"/>
      <c r="AL24" s="394"/>
      <c r="AM24" s="394"/>
      <c r="AN24" s="394"/>
      <c r="AO24" s="394"/>
      <c r="AP24" s="394"/>
      <c r="AQ24" s="394"/>
      <c r="AR24" s="394"/>
      <c r="AS24" s="394"/>
      <c r="AT24" s="395"/>
      <c r="AU24" s="186"/>
    </row>
    <row r="25" spans="2:49" ht="24" thickBot="1" x14ac:dyDescent="0.3">
      <c r="F25" s="330"/>
      <c r="G25" s="304"/>
      <c r="R25" s="346"/>
      <c r="S25" s="348"/>
      <c r="T25" s="411"/>
      <c r="U25" s="412"/>
      <c r="V25" s="412"/>
      <c r="W25" s="412"/>
      <c r="X25" s="412"/>
      <c r="Y25" s="412"/>
      <c r="Z25" s="412"/>
      <c r="AA25" s="412"/>
      <c r="AB25" s="412"/>
      <c r="AC25" s="413"/>
      <c r="AD25" s="180"/>
      <c r="AI25" s="2" t="s">
        <v>73</v>
      </c>
      <c r="AJ25" s="2" t="s">
        <v>69</v>
      </c>
      <c r="AK25" s="116" t="s">
        <v>177</v>
      </c>
      <c r="AL25" s="2" t="s">
        <v>178</v>
      </c>
      <c r="AM25" s="109" t="s">
        <v>173</v>
      </c>
      <c r="AN25" s="2" t="s">
        <v>151</v>
      </c>
      <c r="AO25" s="109" t="s">
        <v>155</v>
      </c>
      <c r="AP25" s="112" t="s">
        <v>156</v>
      </c>
      <c r="AQ25" s="109" t="s">
        <v>157</v>
      </c>
      <c r="AR25" s="2" t="s">
        <v>158</v>
      </c>
      <c r="AS25" s="2" t="s">
        <v>180</v>
      </c>
      <c r="AT25" s="2" t="s">
        <v>181</v>
      </c>
      <c r="AU25" s="2" t="s">
        <v>185</v>
      </c>
      <c r="AV25" s="2" t="s">
        <v>182</v>
      </c>
      <c r="AW25" s="127" t="s">
        <v>183</v>
      </c>
    </row>
    <row r="26" spans="2:49" ht="18.75" thickBot="1" x14ac:dyDescent="0.3">
      <c r="B26" s="293" t="s">
        <v>30</v>
      </c>
      <c r="C26" s="295"/>
      <c r="D26" s="329" t="s">
        <v>54</v>
      </c>
      <c r="E26" s="115"/>
      <c r="P26" s="102"/>
      <c r="R26" s="2" t="s">
        <v>73</v>
      </c>
      <c r="S26" s="2" t="s">
        <v>69</v>
      </c>
      <c r="T26" s="116" t="s">
        <v>177</v>
      </c>
      <c r="U26" s="2" t="s">
        <v>178</v>
      </c>
      <c r="V26" s="109" t="s">
        <v>173</v>
      </c>
      <c r="W26" s="2" t="s">
        <v>151</v>
      </c>
      <c r="X26" s="2" t="s">
        <v>155</v>
      </c>
      <c r="Y26" s="112" t="s">
        <v>156</v>
      </c>
      <c r="Z26" s="109" t="s">
        <v>157</v>
      </c>
      <c r="AA26" s="2" t="s">
        <v>158</v>
      </c>
      <c r="AB26" s="2" t="s">
        <v>180</v>
      </c>
      <c r="AC26" s="2" t="s">
        <v>181</v>
      </c>
      <c r="AD26" s="2" t="s">
        <v>185</v>
      </c>
      <c r="AE26" s="2" t="s">
        <v>182</v>
      </c>
      <c r="AF26" s="127" t="s">
        <v>183</v>
      </c>
      <c r="AI26" s="86">
        <v>0</v>
      </c>
      <c r="AJ26" s="86">
        <v>10</v>
      </c>
      <c r="AK26" s="216">
        <v>2135.4957595947385</v>
      </c>
      <c r="AL26" s="153">
        <f>((4.7*10^13*AT26*(AS26^0.5)*EXP($C$11/AK26))/($C$14*6))*$C$5*10^-6</f>
        <v>3.383472866745604E-11</v>
      </c>
      <c r="AM26" s="153">
        <f>(((10^5*($C$4*$C$6)*10^-6)/($C$8*$C$7)))</f>
        <v>6.5681391066181393E-6</v>
      </c>
      <c r="AN26" s="88">
        <f t="shared" ref="AN26:AN41" si="28">AM26/($AK$23*$G$11*((AQ26/2)+3.76))</f>
        <v>1.3159718962638479E-7</v>
      </c>
      <c r="AO26" s="96">
        <f t="shared" ref="AO26:AO41" si="29">$AK$23*$G$12</f>
        <v>6.8</v>
      </c>
      <c r="AP26" s="96">
        <f t="shared" ref="AP26:AP41" si="30">$AK$23*$G$13</f>
        <v>7.6499999999999995</v>
      </c>
      <c r="AQ26" s="134">
        <f t="shared" ref="AQ26:AQ41" si="31">(($G$15/2)*(1-$AK$23))</f>
        <v>1.8750000000000002</v>
      </c>
      <c r="AR26" s="147">
        <f t="shared" ref="AR26:AR41" si="32">$G$14</f>
        <v>47.023800000000001</v>
      </c>
      <c r="AS26" s="129">
        <f t="shared" ref="AS26:AS41" si="33">((AQ26*AN26)/($C$5*10^-6))</f>
        <v>6.1686182637367875E-3</v>
      </c>
      <c r="AT26" s="137">
        <f t="shared" ref="AT26:AT41" si="34">((AR26*AN26)/($C$5*10^-6))</f>
        <v>0.15470499813882985</v>
      </c>
      <c r="AU26" s="163">
        <f>SUM($AL$26:$AL$41)</f>
        <v>5.1251050348096392E-8</v>
      </c>
      <c r="AV26" s="161">
        <f>AN26*(AO26+AP26+AQ26+AR26)</f>
        <v>8.3365240462039239E-6</v>
      </c>
      <c r="AW26" s="144">
        <f>(AU26/AV26)*10^6</f>
        <v>6147.7721486851342</v>
      </c>
    </row>
    <row r="27" spans="2:49" ht="15.75" thickBot="1" x14ac:dyDescent="0.3">
      <c r="B27" s="296"/>
      <c r="C27" s="298"/>
      <c r="D27" s="330"/>
      <c r="E27" s="140"/>
      <c r="F27" s="329" t="s">
        <v>61</v>
      </c>
      <c r="G27" s="303">
        <f>C30-B30</f>
        <v>5065.0000000000009</v>
      </c>
      <c r="J27" s="323" t="s">
        <v>169</v>
      </c>
      <c r="K27" s="333"/>
      <c r="L27" s="324"/>
      <c r="R27" s="86">
        <v>0</v>
      </c>
      <c r="S27" s="86">
        <v>10</v>
      </c>
      <c r="T27" s="86">
        <v>2373.899087881432</v>
      </c>
      <c r="U27" s="191">
        <f>((4.7*10^13*AC27*(AB27^0.5)*EXP($C$11/T27))/($C$14*6))*$C$5*10^-6</f>
        <v>2.3001602133447009E-10</v>
      </c>
      <c r="V27" s="153">
        <f>(((10^5*($C$4*$C$6)*10^-6)/($C$8*$C$7)))</f>
        <v>6.5681391066181393E-6</v>
      </c>
      <c r="W27" s="86">
        <f>V27/($T$24*$G$11*((Z27/2)+3.76))</f>
        <v>1.3885120096437262E-7</v>
      </c>
      <c r="X27" s="96">
        <f t="shared" ref="X27:X42" si="35">$T$24*$G$12</f>
        <v>7.92</v>
      </c>
      <c r="Y27" s="96">
        <f t="shared" ref="Y27:Y42" si="36">$T$24*$G$13</f>
        <v>8.91</v>
      </c>
      <c r="Z27" s="134">
        <f t="shared" ref="Z27:Z42" si="37">(($G$15/2)*(1-$T$24))</f>
        <v>0.12500000000000011</v>
      </c>
      <c r="AA27" s="150">
        <f t="shared" ref="AA27:AA42" si="38">$G$14</f>
        <v>47.023800000000001</v>
      </c>
      <c r="AB27" s="152">
        <f t="shared" ref="AB27:AB42" si="39">((Z27*W27)/($C$5*10^-6))</f>
        <v>4.3391000301366492E-4</v>
      </c>
      <c r="AC27" s="151">
        <f t="shared" ref="AC27:AC42" si="40">((AA27*W27)/($C$5*10^-6))</f>
        <v>0.16323277759771165</v>
      </c>
      <c r="AD27" s="187">
        <f t="shared" ref="AD27:AD42" si="41">SUM(U$27:U$42)</f>
        <v>2.0920717761809234E-7</v>
      </c>
      <c r="AE27" s="164">
        <f t="shared" ref="AE27:AE42" si="42">W27*(X27+Y27+Z27+AA27)</f>
        <v>8.8835332162594029E-6</v>
      </c>
      <c r="AF27" s="144">
        <f t="shared" ref="AF27:AF42" si="43">(AD27/AE27)*10^6</f>
        <v>23549.996665198873</v>
      </c>
      <c r="AI27" s="86">
        <v>1</v>
      </c>
      <c r="AJ27" s="86">
        <f>AJ26+2</f>
        <v>12</v>
      </c>
      <c r="AK27" s="132">
        <f t="shared" ref="AK27:AK41" si="44">(AK26*(($S6/$S5)^(($C$13-1)/$C$13)))</f>
        <v>2192.823520075865</v>
      </c>
      <c r="AL27" s="153">
        <f t="shared" ref="AL27:AL41" si="45">((4.7*10^13*AT27*(AS27^0.5)*EXP($C$11/AK27))/($C$14*6))*$C$5*10^-6</f>
        <v>7.7631076894318128E-11</v>
      </c>
      <c r="AM27" s="153">
        <f t="shared" ref="AM27:AM41" si="46">(((10^5*($C$4*$C$6)*10^-6)/($C$8*$C$7)))</f>
        <v>6.5681391066181393E-6</v>
      </c>
      <c r="AN27" s="88">
        <f t="shared" si="28"/>
        <v>1.3159718962638479E-7</v>
      </c>
      <c r="AO27" s="96">
        <f t="shared" si="29"/>
        <v>6.8</v>
      </c>
      <c r="AP27" s="96">
        <f t="shared" si="30"/>
        <v>7.6499999999999995</v>
      </c>
      <c r="AQ27" s="134">
        <f t="shared" si="31"/>
        <v>1.8750000000000002</v>
      </c>
      <c r="AR27" s="148">
        <f t="shared" si="32"/>
        <v>47.023800000000001</v>
      </c>
      <c r="AS27" s="132">
        <f t="shared" si="33"/>
        <v>6.1686182637367875E-3</v>
      </c>
      <c r="AT27" s="136">
        <f t="shared" si="34"/>
        <v>0.15470499813882985</v>
      </c>
      <c r="AU27" s="163">
        <f t="shared" ref="AU27:AU41" si="47">SUM($AL$26:$AL$41)</f>
        <v>5.1251050348096392E-8</v>
      </c>
      <c r="AV27" s="153">
        <f t="shared" ref="AV27:AV41" si="48">AN27*(AO27+AP27+AQ27+AR27)</f>
        <v>8.3365240462039239E-6</v>
      </c>
      <c r="AW27" s="144">
        <f t="shared" ref="AW27:AW41" si="49">(AU27/AV27)*10^6</f>
        <v>6147.7721486851342</v>
      </c>
    </row>
    <row r="28" spans="2:49" ht="18.75" thickBot="1" x14ac:dyDescent="0.4">
      <c r="B28" s="329" t="s">
        <v>44</v>
      </c>
      <c r="C28" s="329" t="s">
        <v>45</v>
      </c>
      <c r="D28" s="329" t="s">
        <v>45</v>
      </c>
      <c r="E28" s="140"/>
      <c r="F28" s="330"/>
      <c r="G28" s="304"/>
      <c r="J28" s="414" t="s">
        <v>176</v>
      </c>
      <c r="K28" s="415"/>
      <c r="L28" s="416"/>
      <c r="R28" s="86">
        <v>1</v>
      </c>
      <c r="S28" s="86">
        <f>S27+2</f>
        <v>12</v>
      </c>
      <c r="T28" s="132">
        <f>(T27*((S$6/S$5)^(($C$13-1)/$C$13)))</f>
        <v>2437.6268277774166</v>
      </c>
      <c r="U28" s="191">
        <f t="shared" ref="U28:U42" si="50">((4.7*10^13*AC28*(AB28^0.5)*EXP($C$11/T28))/($C$14*6))*$C$5*10^-6</f>
        <v>4.8552292050758012E-10</v>
      </c>
      <c r="V28" s="153">
        <f t="shared" ref="V28:V42" si="51">(((10^5*($C$4*$C$6)*10^-6)/($C$8*$C$7)))</f>
        <v>6.5681391066181393E-6</v>
      </c>
      <c r="W28" s="86">
        <f t="shared" ref="W28:W42" si="52">V28/($T$24*$G$11*((Z28/2)+3.76))</f>
        <v>1.3885120096437262E-7</v>
      </c>
      <c r="X28" s="96">
        <f t="shared" si="35"/>
        <v>7.92</v>
      </c>
      <c r="Y28" s="96">
        <f t="shared" si="36"/>
        <v>8.91</v>
      </c>
      <c r="Z28" s="134">
        <f t="shared" si="37"/>
        <v>0.12500000000000011</v>
      </c>
      <c r="AA28" s="144">
        <f t="shared" si="38"/>
        <v>47.023800000000001</v>
      </c>
      <c r="AB28" s="152">
        <f t="shared" si="39"/>
        <v>4.3391000301366492E-4</v>
      </c>
      <c r="AC28" s="142">
        <f t="shared" si="40"/>
        <v>0.16323277759771165</v>
      </c>
      <c r="AD28" s="187">
        <f t="shared" si="41"/>
        <v>2.0920717761809234E-7</v>
      </c>
      <c r="AE28" s="165">
        <f t="shared" si="42"/>
        <v>8.8835332162594029E-6</v>
      </c>
      <c r="AF28" s="144">
        <f t="shared" si="43"/>
        <v>23549.996665198873</v>
      </c>
      <c r="AI28" s="86">
        <v>2</v>
      </c>
      <c r="AJ28" s="86">
        <f t="shared" ref="AJ28:AJ41" si="53">AJ27+2</f>
        <v>14</v>
      </c>
      <c r="AK28" s="132">
        <f t="shared" si="44"/>
        <v>2242.4924631300232</v>
      </c>
      <c r="AL28" s="153">
        <f t="shared" si="45"/>
        <v>1.5403303197639335E-10</v>
      </c>
      <c r="AM28" s="153">
        <f t="shared" si="46"/>
        <v>6.5681391066181393E-6</v>
      </c>
      <c r="AN28" s="88">
        <f t="shared" si="28"/>
        <v>1.3159718962638479E-7</v>
      </c>
      <c r="AO28" s="96">
        <f t="shared" si="29"/>
        <v>6.8</v>
      </c>
      <c r="AP28" s="96">
        <f t="shared" si="30"/>
        <v>7.6499999999999995</v>
      </c>
      <c r="AQ28" s="134">
        <f t="shared" si="31"/>
        <v>1.8750000000000002</v>
      </c>
      <c r="AR28" s="148">
        <f t="shared" si="32"/>
        <v>47.023800000000001</v>
      </c>
      <c r="AS28" s="132">
        <f t="shared" si="33"/>
        <v>6.1686182637367875E-3</v>
      </c>
      <c r="AT28" s="136">
        <f t="shared" si="34"/>
        <v>0.15470499813882985</v>
      </c>
      <c r="AU28" s="163">
        <f t="shared" si="47"/>
        <v>5.1251050348096392E-8</v>
      </c>
      <c r="AV28" s="153">
        <f t="shared" si="48"/>
        <v>8.3365240462039239E-6</v>
      </c>
      <c r="AW28" s="144">
        <f t="shared" si="49"/>
        <v>6147.7721486851342</v>
      </c>
    </row>
    <row r="29" spans="2:49" ht="15.75" thickBot="1" x14ac:dyDescent="0.3">
      <c r="B29" s="330"/>
      <c r="C29" s="330"/>
      <c r="D29" s="330"/>
      <c r="E29" s="140"/>
      <c r="F29" s="329" t="s">
        <v>62</v>
      </c>
      <c r="G29" s="303">
        <f>D30-B30</f>
        <v>5461.0000000000009</v>
      </c>
      <c r="R29" s="86">
        <v>2</v>
      </c>
      <c r="S29" s="86">
        <f t="shared" ref="S29:S42" si="54">S28+2</f>
        <v>14</v>
      </c>
      <c r="T29" s="132">
        <f t="shared" ref="T29:T42" si="55">(T28*((S7/S6)^(($C$13-1)/$C$13)))</f>
        <v>2492.8407321284499</v>
      </c>
      <c r="U29" s="191">
        <f t="shared" si="50"/>
        <v>8.9929696661899223E-10</v>
      </c>
      <c r="V29" s="153">
        <f t="shared" si="51"/>
        <v>6.5681391066181393E-6</v>
      </c>
      <c r="W29" s="86">
        <f t="shared" si="52"/>
        <v>1.3885120096437262E-7</v>
      </c>
      <c r="X29" s="96">
        <f t="shared" si="35"/>
        <v>7.92</v>
      </c>
      <c r="Y29" s="96">
        <f t="shared" si="36"/>
        <v>8.91</v>
      </c>
      <c r="Z29" s="134">
        <f t="shared" si="37"/>
        <v>0.12500000000000011</v>
      </c>
      <c r="AA29" s="144">
        <f t="shared" si="38"/>
        <v>47.023800000000001</v>
      </c>
      <c r="AB29" s="152">
        <f t="shared" si="39"/>
        <v>4.3391000301366492E-4</v>
      </c>
      <c r="AC29" s="142">
        <f t="shared" si="40"/>
        <v>0.16323277759771165</v>
      </c>
      <c r="AD29" s="187">
        <f t="shared" si="41"/>
        <v>2.0920717761809234E-7</v>
      </c>
      <c r="AE29" s="165">
        <f t="shared" si="42"/>
        <v>8.8835332162594029E-6</v>
      </c>
      <c r="AF29" s="144">
        <f t="shared" si="43"/>
        <v>23549.996665198873</v>
      </c>
      <c r="AG29" s="178"/>
      <c r="AH29" s="178"/>
      <c r="AI29" s="212">
        <v>3</v>
      </c>
      <c r="AJ29" s="86">
        <f t="shared" si="53"/>
        <v>16</v>
      </c>
      <c r="AK29" s="132">
        <f t="shared" si="44"/>
        <v>2286.4261178051624</v>
      </c>
      <c r="AL29" s="153">
        <f t="shared" si="45"/>
        <v>2.7545774784289624E-10</v>
      </c>
      <c r="AM29" s="153">
        <f t="shared" si="46"/>
        <v>6.5681391066181393E-6</v>
      </c>
      <c r="AN29" s="88">
        <f t="shared" si="28"/>
        <v>1.3159718962638479E-7</v>
      </c>
      <c r="AO29" s="96">
        <f t="shared" si="29"/>
        <v>6.8</v>
      </c>
      <c r="AP29" s="96">
        <f t="shared" si="30"/>
        <v>7.6499999999999995</v>
      </c>
      <c r="AQ29" s="134">
        <f t="shared" si="31"/>
        <v>1.8750000000000002</v>
      </c>
      <c r="AR29" s="148">
        <f t="shared" si="32"/>
        <v>47.023800000000001</v>
      </c>
      <c r="AS29" s="132">
        <f t="shared" si="33"/>
        <v>6.1686182637367875E-3</v>
      </c>
      <c r="AT29" s="136">
        <f t="shared" si="34"/>
        <v>0.15470499813882985</v>
      </c>
      <c r="AU29" s="163">
        <f t="shared" si="47"/>
        <v>5.1251050348096392E-8</v>
      </c>
      <c r="AV29" s="153">
        <f t="shared" si="48"/>
        <v>8.3365240462039239E-6</v>
      </c>
      <c r="AW29" s="144">
        <f t="shared" si="49"/>
        <v>6147.7721486851342</v>
      </c>
    </row>
    <row r="30" spans="2:49" ht="15.75" thickBot="1" x14ac:dyDescent="0.3">
      <c r="B30" s="303">
        <f>L11</f>
        <v>259.2</v>
      </c>
      <c r="C30" s="303">
        <f>((($G$12*$L$12)+($G$13*$L$13)+($G$14*0)))</f>
        <v>5324.2000000000007</v>
      </c>
      <c r="D30" s="303">
        <f>(((G12*L12)+(G13*L14)+(G14*0)))</f>
        <v>5720.2000000000007</v>
      </c>
      <c r="E30" s="140"/>
      <c r="F30" s="330"/>
      <c r="G30" s="304"/>
      <c r="I30" s="329" t="s">
        <v>168</v>
      </c>
      <c r="J30" s="374">
        <v>0.91</v>
      </c>
      <c r="R30" s="86">
        <v>3</v>
      </c>
      <c r="S30" s="86">
        <f t="shared" si="54"/>
        <v>16</v>
      </c>
      <c r="T30" s="132">
        <f t="shared" si="55"/>
        <v>2541.6790696863773</v>
      </c>
      <c r="U30" s="191">
        <f t="shared" si="50"/>
        <v>1.5170237380644798E-9</v>
      </c>
      <c r="V30" s="153">
        <f t="shared" si="51"/>
        <v>6.5681391066181393E-6</v>
      </c>
      <c r="W30" s="86">
        <f t="shared" si="52"/>
        <v>1.3885120096437262E-7</v>
      </c>
      <c r="X30" s="96">
        <f t="shared" si="35"/>
        <v>7.92</v>
      </c>
      <c r="Y30" s="96">
        <f t="shared" si="36"/>
        <v>8.91</v>
      </c>
      <c r="Z30" s="134">
        <f t="shared" si="37"/>
        <v>0.12500000000000011</v>
      </c>
      <c r="AA30" s="144">
        <f t="shared" si="38"/>
        <v>47.023800000000001</v>
      </c>
      <c r="AB30" s="152">
        <f t="shared" si="39"/>
        <v>4.3391000301366492E-4</v>
      </c>
      <c r="AC30" s="142">
        <f t="shared" si="40"/>
        <v>0.16323277759771165</v>
      </c>
      <c r="AD30" s="187">
        <f t="shared" si="41"/>
        <v>2.0920717761809234E-7</v>
      </c>
      <c r="AE30" s="165">
        <f t="shared" si="42"/>
        <v>8.8835332162594029E-6</v>
      </c>
      <c r="AF30" s="144">
        <f t="shared" si="43"/>
        <v>23549.996665198873</v>
      </c>
      <c r="AG30" s="178"/>
      <c r="AH30" s="178"/>
      <c r="AI30" s="212">
        <v>4</v>
      </c>
      <c r="AJ30" s="86">
        <f t="shared" si="53"/>
        <v>18</v>
      </c>
      <c r="AK30" s="132">
        <f t="shared" si="44"/>
        <v>2325.892242535826</v>
      </c>
      <c r="AL30" s="153">
        <f t="shared" si="45"/>
        <v>4.5571624782657012E-10</v>
      </c>
      <c r="AM30" s="153">
        <f t="shared" si="46"/>
        <v>6.5681391066181393E-6</v>
      </c>
      <c r="AN30" s="88">
        <f t="shared" si="28"/>
        <v>1.3159718962638479E-7</v>
      </c>
      <c r="AO30" s="96">
        <f t="shared" si="29"/>
        <v>6.8</v>
      </c>
      <c r="AP30" s="96">
        <f t="shared" si="30"/>
        <v>7.6499999999999995</v>
      </c>
      <c r="AQ30" s="134">
        <f t="shared" si="31"/>
        <v>1.8750000000000002</v>
      </c>
      <c r="AR30" s="148">
        <f t="shared" si="32"/>
        <v>47.023800000000001</v>
      </c>
      <c r="AS30" s="132">
        <f t="shared" si="33"/>
        <v>6.1686182637367875E-3</v>
      </c>
      <c r="AT30" s="136">
        <f t="shared" si="34"/>
        <v>0.15470499813882985</v>
      </c>
      <c r="AU30" s="163">
        <f t="shared" si="47"/>
        <v>5.1251050348096392E-8</v>
      </c>
      <c r="AV30" s="153">
        <f t="shared" si="48"/>
        <v>8.3365240462039239E-6</v>
      </c>
      <c r="AW30" s="144">
        <f t="shared" si="49"/>
        <v>6147.7721486851342</v>
      </c>
    </row>
    <row r="31" spans="2:49" ht="15.75" thickBot="1" x14ac:dyDescent="0.3">
      <c r="B31" s="304"/>
      <c r="C31" s="304"/>
      <c r="D31" s="304"/>
      <c r="E31" s="115"/>
      <c r="I31" s="330"/>
      <c r="J31" s="375"/>
      <c r="R31" s="86">
        <v>4</v>
      </c>
      <c r="S31" s="86">
        <f t="shared" si="54"/>
        <v>18</v>
      </c>
      <c r="T31" s="132">
        <f t="shared" si="55"/>
        <v>2585.5511294080584</v>
      </c>
      <c r="U31" s="191">
        <f t="shared" si="50"/>
        <v>2.3860229010509459E-9</v>
      </c>
      <c r="V31" s="153">
        <f t="shared" si="51"/>
        <v>6.5681391066181393E-6</v>
      </c>
      <c r="W31" s="86">
        <f t="shared" si="52"/>
        <v>1.3885120096437262E-7</v>
      </c>
      <c r="X31" s="96">
        <f t="shared" si="35"/>
        <v>7.92</v>
      </c>
      <c r="Y31" s="96">
        <f t="shared" si="36"/>
        <v>8.91</v>
      </c>
      <c r="Z31" s="134">
        <f t="shared" si="37"/>
        <v>0.12500000000000011</v>
      </c>
      <c r="AA31" s="144">
        <f t="shared" si="38"/>
        <v>47.023800000000001</v>
      </c>
      <c r="AB31" s="152">
        <f t="shared" si="39"/>
        <v>4.3391000301366492E-4</v>
      </c>
      <c r="AC31" s="142">
        <f t="shared" si="40"/>
        <v>0.16323277759771165</v>
      </c>
      <c r="AD31" s="187">
        <f t="shared" si="41"/>
        <v>2.0920717761809234E-7</v>
      </c>
      <c r="AE31" s="165">
        <f t="shared" si="42"/>
        <v>8.8835332162594029E-6</v>
      </c>
      <c r="AF31" s="144">
        <f t="shared" si="43"/>
        <v>23549.996665198873</v>
      </c>
      <c r="AG31" s="178"/>
      <c r="AH31" s="178"/>
      <c r="AI31" s="212">
        <v>5</v>
      </c>
      <c r="AJ31" s="86">
        <f t="shared" si="53"/>
        <v>20</v>
      </c>
      <c r="AK31" s="132">
        <f t="shared" si="44"/>
        <v>2361.7727883024745</v>
      </c>
      <c r="AL31" s="153">
        <f t="shared" si="45"/>
        <v>7.097881142406827E-10</v>
      </c>
      <c r="AM31" s="153">
        <f t="shared" si="46"/>
        <v>6.5681391066181393E-6</v>
      </c>
      <c r="AN31" s="88">
        <f t="shared" si="28"/>
        <v>1.3159718962638479E-7</v>
      </c>
      <c r="AO31" s="96">
        <f t="shared" si="29"/>
        <v>6.8</v>
      </c>
      <c r="AP31" s="96">
        <f t="shared" si="30"/>
        <v>7.6499999999999995</v>
      </c>
      <c r="AQ31" s="134">
        <f t="shared" si="31"/>
        <v>1.8750000000000002</v>
      </c>
      <c r="AR31" s="148">
        <f t="shared" si="32"/>
        <v>47.023800000000001</v>
      </c>
      <c r="AS31" s="132">
        <f t="shared" si="33"/>
        <v>6.1686182637367875E-3</v>
      </c>
      <c r="AT31" s="136">
        <f t="shared" si="34"/>
        <v>0.15470499813882985</v>
      </c>
      <c r="AU31" s="163">
        <f t="shared" si="47"/>
        <v>5.1251050348096392E-8</v>
      </c>
      <c r="AV31" s="153">
        <f t="shared" si="48"/>
        <v>8.3365240462039239E-6</v>
      </c>
      <c r="AW31" s="144">
        <f t="shared" si="49"/>
        <v>6147.7721486851342</v>
      </c>
    </row>
    <row r="32" spans="2:49" ht="15.75" thickBot="1" x14ac:dyDescent="0.3">
      <c r="F32" s="329" t="s">
        <v>50</v>
      </c>
      <c r="G32" s="303">
        <f>(G6*L3)+(G7*L4)</f>
        <v>114.232</v>
      </c>
      <c r="R32" s="86">
        <v>5</v>
      </c>
      <c r="S32" s="86">
        <f t="shared" si="54"/>
        <v>20</v>
      </c>
      <c r="T32" s="132">
        <f t="shared" si="55"/>
        <v>2625.4373218696624</v>
      </c>
      <c r="U32" s="191">
        <f t="shared" si="50"/>
        <v>3.5545386928149719E-9</v>
      </c>
      <c r="V32" s="153">
        <f t="shared" si="51"/>
        <v>6.5681391066181393E-6</v>
      </c>
      <c r="W32" s="86">
        <f t="shared" si="52"/>
        <v>1.3885120096437262E-7</v>
      </c>
      <c r="X32" s="96">
        <f t="shared" si="35"/>
        <v>7.92</v>
      </c>
      <c r="Y32" s="96">
        <f t="shared" si="36"/>
        <v>8.91</v>
      </c>
      <c r="Z32" s="134">
        <f t="shared" si="37"/>
        <v>0.12500000000000011</v>
      </c>
      <c r="AA32" s="144">
        <f t="shared" si="38"/>
        <v>47.023800000000001</v>
      </c>
      <c r="AB32" s="152">
        <f t="shared" si="39"/>
        <v>4.3391000301366492E-4</v>
      </c>
      <c r="AC32" s="142">
        <f t="shared" si="40"/>
        <v>0.16323277759771165</v>
      </c>
      <c r="AD32" s="187">
        <f t="shared" si="41"/>
        <v>2.0920717761809234E-7</v>
      </c>
      <c r="AE32" s="165">
        <f t="shared" si="42"/>
        <v>8.8835332162594029E-6</v>
      </c>
      <c r="AF32" s="144">
        <f t="shared" si="43"/>
        <v>23549.996665198873</v>
      </c>
      <c r="AG32" s="178"/>
      <c r="AH32" s="178"/>
      <c r="AI32" s="212">
        <v>6</v>
      </c>
      <c r="AJ32" s="86">
        <f t="shared" si="53"/>
        <v>22</v>
      </c>
      <c r="AK32" s="132">
        <f t="shared" si="44"/>
        <v>2394.7072897967719</v>
      </c>
      <c r="AL32" s="153">
        <f t="shared" si="45"/>
        <v>1.0536270832317666E-9</v>
      </c>
      <c r="AM32" s="153">
        <f t="shared" si="46"/>
        <v>6.5681391066181393E-6</v>
      </c>
      <c r="AN32" s="88">
        <f t="shared" si="28"/>
        <v>1.3159718962638479E-7</v>
      </c>
      <c r="AO32" s="96">
        <f t="shared" si="29"/>
        <v>6.8</v>
      </c>
      <c r="AP32" s="96">
        <f t="shared" si="30"/>
        <v>7.6499999999999995</v>
      </c>
      <c r="AQ32" s="134">
        <f t="shared" si="31"/>
        <v>1.8750000000000002</v>
      </c>
      <c r="AR32" s="148">
        <f t="shared" si="32"/>
        <v>47.023800000000001</v>
      </c>
      <c r="AS32" s="132">
        <f t="shared" si="33"/>
        <v>6.1686182637367875E-3</v>
      </c>
      <c r="AT32" s="136">
        <f t="shared" si="34"/>
        <v>0.15470499813882985</v>
      </c>
      <c r="AU32" s="163">
        <f t="shared" si="47"/>
        <v>5.1251050348096392E-8</v>
      </c>
      <c r="AV32" s="153">
        <f t="shared" si="48"/>
        <v>8.3365240462039239E-6</v>
      </c>
      <c r="AW32" s="144">
        <f t="shared" si="49"/>
        <v>6147.7721486851342</v>
      </c>
    </row>
    <row r="33" spans="1:49" ht="15.75" thickBot="1" x14ac:dyDescent="0.3">
      <c r="F33" s="330"/>
      <c r="G33" s="304"/>
      <c r="I33" s="293" t="s">
        <v>58</v>
      </c>
      <c r="J33" s="294"/>
      <c r="K33" s="294"/>
      <c r="L33" s="295"/>
      <c r="R33" s="86">
        <v>6</v>
      </c>
      <c r="S33" s="86">
        <f t="shared" si="54"/>
        <v>22</v>
      </c>
      <c r="T33" s="132">
        <f t="shared" si="55"/>
        <v>2662.0485783921195</v>
      </c>
      <c r="U33" s="191">
        <f t="shared" si="50"/>
        <v>5.0712192859140075E-9</v>
      </c>
      <c r="V33" s="153">
        <f t="shared" si="51"/>
        <v>6.5681391066181393E-6</v>
      </c>
      <c r="W33" s="86">
        <f t="shared" si="52"/>
        <v>1.3885120096437262E-7</v>
      </c>
      <c r="X33" s="96">
        <f t="shared" si="35"/>
        <v>7.92</v>
      </c>
      <c r="Y33" s="96">
        <f t="shared" si="36"/>
        <v>8.91</v>
      </c>
      <c r="Z33" s="134">
        <f t="shared" si="37"/>
        <v>0.12500000000000011</v>
      </c>
      <c r="AA33" s="144">
        <f t="shared" si="38"/>
        <v>47.023800000000001</v>
      </c>
      <c r="AB33" s="152">
        <f t="shared" si="39"/>
        <v>4.3391000301366492E-4</v>
      </c>
      <c r="AC33" s="142">
        <f t="shared" si="40"/>
        <v>0.16323277759771165</v>
      </c>
      <c r="AD33" s="187">
        <f t="shared" si="41"/>
        <v>2.0920717761809234E-7</v>
      </c>
      <c r="AE33" s="165">
        <f t="shared" si="42"/>
        <v>8.8835332162594029E-6</v>
      </c>
      <c r="AF33" s="144">
        <f t="shared" si="43"/>
        <v>23549.996665198873</v>
      </c>
      <c r="AG33" s="178"/>
      <c r="AH33" s="178"/>
      <c r="AI33" s="212">
        <v>7</v>
      </c>
      <c r="AJ33" s="86">
        <f t="shared" si="53"/>
        <v>24</v>
      </c>
      <c r="AK33" s="132">
        <f t="shared" si="44"/>
        <v>2425.1749955465393</v>
      </c>
      <c r="AL33" s="153">
        <f t="shared" si="45"/>
        <v>1.503994467852733E-9</v>
      </c>
      <c r="AM33" s="153">
        <f t="shared" si="46"/>
        <v>6.5681391066181393E-6</v>
      </c>
      <c r="AN33" s="88">
        <f t="shared" si="28"/>
        <v>1.3159718962638479E-7</v>
      </c>
      <c r="AO33" s="96">
        <f t="shared" si="29"/>
        <v>6.8</v>
      </c>
      <c r="AP33" s="96">
        <f t="shared" si="30"/>
        <v>7.6499999999999995</v>
      </c>
      <c r="AQ33" s="134">
        <f t="shared" si="31"/>
        <v>1.8750000000000002</v>
      </c>
      <c r="AR33" s="148">
        <f t="shared" si="32"/>
        <v>47.023800000000001</v>
      </c>
      <c r="AS33" s="132">
        <f t="shared" si="33"/>
        <v>6.1686182637367875E-3</v>
      </c>
      <c r="AT33" s="136">
        <f t="shared" si="34"/>
        <v>0.15470499813882985</v>
      </c>
      <c r="AU33" s="163">
        <f t="shared" si="47"/>
        <v>5.1251050348096392E-8</v>
      </c>
      <c r="AV33" s="153">
        <f t="shared" si="48"/>
        <v>8.3365240462039239E-6</v>
      </c>
      <c r="AW33" s="144">
        <f t="shared" si="49"/>
        <v>6147.7721486851342</v>
      </c>
    </row>
    <row r="34" spans="1:49" ht="15.75" thickBot="1" x14ac:dyDescent="0.3">
      <c r="I34" s="296"/>
      <c r="J34" s="297"/>
      <c r="K34" s="297"/>
      <c r="L34" s="298"/>
      <c r="R34" s="86">
        <v>7</v>
      </c>
      <c r="S34" s="86">
        <f t="shared" si="54"/>
        <v>24</v>
      </c>
      <c r="T34" s="132">
        <f t="shared" si="55"/>
        <v>2695.9176500417575</v>
      </c>
      <c r="U34" s="191">
        <f t="shared" si="50"/>
        <v>6.9847327024799753E-9</v>
      </c>
      <c r="V34" s="153">
        <f t="shared" si="51"/>
        <v>6.5681391066181393E-6</v>
      </c>
      <c r="W34" s="86">
        <f t="shared" si="52"/>
        <v>1.3885120096437262E-7</v>
      </c>
      <c r="X34" s="96">
        <f t="shared" si="35"/>
        <v>7.92</v>
      </c>
      <c r="Y34" s="96">
        <f t="shared" si="36"/>
        <v>8.91</v>
      </c>
      <c r="Z34" s="134">
        <f t="shared" si="37"/>
        <v>0.12500000000000011</v>
      </c>
      <c r="AA34" s="144">
        <f t="shared" si="38"/>
        <v>47.023800000000001</v>
      </c>
      <c r="AB34" s="152">
        <f t="shared" si="39"/>
        <v>4.3391000301366492E-4</v>
      </c>
      <c r="AC34" s="142">
        <f t="shared" si="40"/>
        <v>0.16323277759771165</v>
      </c>
      <c r="AD34" s="187">
        <f t="shared" si="41"/>
        <v>2.0920717761809234E-7</v>
      </c>
      <c r="AE34" s="165">
        <f t="shared" si="42"/>
        <v>8.8835332162594029E-6</v>
      </c>
      <c r="AF34" s="144">
        <f t="shared" si="43"/>
        <v>23549.996665198873</v>
      </c>
      <c r="AG34" s="178"/>
      <c r="AH34" s="178"/>
      <c r="AI34" s="212">
        <v>8</v>
      </c>
      <c r="AJ34" s="86">
        <f t="shared" si="53"/>
        <v>26</v>
      </c>
      <c r="AK34" s="132">
        <f t="shared" si="44"/>
        <v>2453.5447654049353</v>
      </c>
      <c r="AL34" s="153">
        <f t="shared" si="45"/>
        <v>2.0783167860130766E-9</v>
      </c>
      <c r="AM34" s="153">
        <f t="shared" si="46"/>
        <v>6.5681391066181393E-6</v>
      </c>
      <c r="AN34" s="88">
        <f t="shared" si="28"/>
        <v>1.3159718962638479E-7</v>
      </c>
      <c r="AO34" s="96">
        <f t="shared" si="29"/>
        <v>6.8</v>
      </c>
      <c r="AP34" s="96">
        <f t="shared" si="30"/>
        <v>7.6499999999999995</v>
      </c>
      <c r="AQ34" s="134">
        <f t="shared" si="31"/>
        <v>1.8750000000000002</v>
      </c>
      <c r="AR34" s="148">
        <f t="shared" si="32"/>
        <v>47.023800000000001</v>
      </c>
      <c r="AS34" s="132">
        <f t="shared" si="33"/>
        <v>6.1686182637367875E-3</v>
      </c>
      <c r="AT34" s="136">
        <f t="shared" si="34"/>
        <v>0.15470499813882985</v>
      </c>
      <c r="AU34" s="163">
        <f t="shared" si="47"/>
        <v>5.1251050348096392E-8</v>
      </c>
      <c r="AV34" s="153">
        <f t="shared" si="48"/>
        <v>8.3365240462039239E-6</v>
      </c>
      <c r="AW34" s="144">
        <f t="shared" si="49"/>
        <v>6147.7721486851342</v>
      </c>
    </row>
    <row r="35" spans="1:49" ht="15" customHeight="1" x14ac:dyDescent="0.25">
      <c r="F35" s="329" t="s">
        <v>43</v>
      </c>
      <c r="G35" s="303">
        <f>G27/G32</f>
        <v>44.33958960711535</v>
      </c>
      <c r="I35" s="293" t="s">
        <v>170</v>
      </c>
      <c r="J35" s="295"/>
      <c r="K35" s="196">
        <v>2181.6781479079395</v>
      </c>
      <c r="L35" s="120"/>
      <c r="R35" s="86">
        <v>8</v>
      </c>
      <c r="S35" s="86">
        <f t="shared" si="54"/>
        <v>26</v>
      </c>
      <c r="T35" s="132">
        <f t="shared" si="55"/>
        <v>2727.4545755953036</v>
      </c>
      <c r="U35" s="191">
        <f t="shared" si="50"/>
        <v>9.343482614799811E-9</v>
      </c>
      <c r="V35" s="153">
        <f t="shared" si="51"/>
        <v>6.5681391066181393E-6</v>
      </c>
      <c r="W35" s="86">
        <f t="shared" si="52"/>
        <v>1.3885120096437262E-7</v>
      </c>
      <c r="X35" s="96">
        <f t="shared" si="35"/>
        <v>7.92</v>
      </c>
      <c r="Y35" s="96">
        <f t="shared" si="36"/>
        <v>8.91</v>
      </c>
      <c r="Z35" s="134">
        <f t="shared" si="37"/>
        <v>0.12500000000000011</v>
      </c>
      <c r="AA35" s="144">
        <f t="shared" si="38"/>
        <v>47.023800000000001</v>
      </c>
      <c r="AB35" s="152">
        <f t="shared" si="39"/>
        <v>4.3391000301366492E-4</v>
      </c>
      <c r="AC35" s="142">
        <f t="shared" si="40"/>
        <v>0.16323277759771165</v>
      </c>
      <c r="AD35" s="187">
        <f t="shared" si="41"/>
        <v>2.0920717761809234E-7</v>
      </c>
      <c r="AE35" s="165">
        <f t="shared" si="42"/>
        <v>8.8835332162594029E-6</v>
      </c>
      <c r="AF35" s="144">
        <f t="shared" si="43"/>
        <v>23549.996665198873</v>
      </c>
      <c r="AG35" s="178"/>
      <c r="AH35" s="178"/>
      <c r="AI35" s="212">
        <v>9</v>
      </c>
      <c r="AJ35" s="86">
        <f t="shared" si="53"/>
        <v>28</v>
      </c>
      <c r="AK35" s="132">
        <f t="shared" si="44"/>
        <v>2480.1068574348146</v>
      </c>
      <c r="AL35" s="153">
        <f t="shared" si="45"/>
        <v>2.794564108215454E-9</v>
      </c>
      <c r="AM35" s="153">
        <f t="shared" si="46"/>
        <v>6.5681391066181393E-6</v>
      </c>
      <c r="AN35" s="88">
        <f t="shared" si="28"/>
        <v>1.3159718962638479E-7</v>
      </c>
      <c r="AO35" s="96">
        <f t="shared" si="29"/>
        <v>6.8</v>
      </c>
      <c r="AP35" s="96">
        <f t="shared" si="30"/>
        <v>7.6499999999999995</v>
      </c>
      <c r="AQ35" s="134">
        <f t="shared" si="31"/>
        <v>1.8750000000000002</v>
      </c>
      <c r="AR35" s="148">
        <f t="shared" si="32"/>
        <v>47.023800000000001</v>
      </c>
      <c r="AS35" s="132">
        <f t="shared" si="33"/>
        <v>6.1686182637367875E-3</v>
      </c>
      <c r="AT35" s="136">
        <f t="shared" si="34"/>
        <v>0.15470499813882985</v>
      </c>
      <c r="AU35" s="163">
        <f t="shared" si="47"/>
        <v>5.1251050348096392E-8</v>
      </c>
      <c r="AV35" s="153">
        <f t="shared" si="48"/>
        <v>8.3365240462039239E-6</v>
      </c>
      <c r="AW35" s="144">
        <f t="shared" si="49"/>
        <v>6147.7721486851342</v>
      </c>
    </row>
    <row r="36" spans="1:49" ht="15.75" thickBot="1" x14ac:dyDescent="0.3">
      <c r="F36" s="330"/>
      <c r="G36" s="304"/>
      <c r="I36" s="296"/>
      <c r="J36" s="298"/>
      <c r="K36" s="121"/>
      <c r="L36" s="122"/>
      <c r="R36" s="86">
        <v>9</v>
      </c>
      <c r="S36" s="86">
        <f t="shared" si="54"/>
        <v>28</v>
      </c>
      <c r="T36" s="132">
        <f t="shared" si="55"/>
        <v>2756.9820170611297</v>
      </c>
      <c r="U36" s="191">
        <f t="shared" si="50"/>
        <v>1.2195398046832709E-8</v>
      </c>
      <c r="V36" s="153">
        <f t="shared" si="51"/>
        <v>6.5681391066181393E-6</v>
      </c>
      <c r="W36" s="86">
        <f t="shared" si="52"/>
        <v>1.3885120096437262E-7</v>
      </c>
      <c r="X36" s="96">
        <f t="shared" si="35"/>
        <v>7.92</v>
      </c>
      <c r="Y36" s="96">
        <f t="shared" si="36"/>
        <v>8.91</v>
      </c>
      <c r="Z36" s="134">
        <f t="shared" si="37"/>
        <v>0.12500000000000011</v>
      </c>
      <c r="AA36" s="144">
        <f t="shared" si="38"/>
        <v>47.023800000000001</v>
      </c>
      <c r="AB36" s="152">
        <f t="shared" si="39"/>
        <v>4.3391000301366492E-4</v>
      </c>
      <c r="AC36" s="142">
        <f t="shared" si="40"/>
        <v>0.16323277759771165</v>
      </c>
      <c r="AD36" s="187">
        <f t="shared" si="41"/>
        <v>2.0920717761809234E-7</v>
      </c>
      <c r="AE36" s="165">
        <f t="shared" si="42"/>
        <v>8.8835332162594029E-6</v>
      </c>
      <c r="AF36" s="144">
        <f t="shared" si="43"/>
        <v>23549.996665198873</v>
      </c>
      <c r="AG36" s="178"/>
      <c r="AH36" s="178"/>
      <c r="AI36" s="212">
        <v>10</v>
      </c>
      <c r="AJ36" s="86">
        <f t="shared" si="53"/>
        <v>30</v>
      </c>
      <c r="AK36" s="132">
        <f t="shared" si="44"/>
        <v>2505.0939834660676</v>
      </c>
      <c r="AL36" s="153">
        <f t="shared" si="45"/>
        <v>3.6711460160381107E-9</v>
      </c>
      <c r="AM36" s="153">
        <f t="shared" si="46"/>
        <v>6.5681391066181393E-6</v>
      </c>
      <c r="AN36" s="88">
        <f t="shared" si="28"/>
        <v>1.3159718962638479E-7</v>
      </c>
      <c r="AO36" s="96">
        <f t="shared" si="29"/>
        <v>6.8</v>
      </c>
      <c r="AP36" s="96">
        <f t="shared" si="30"/>
        <v>7.6499999999999995</v>
      </c>
      <c r="AQ36" s="134">
        <f t="shared" si="31"/>
        <v>1.8750000000000002</v>
      </c>
      <c r="AR36" s="148">
        <f t="shared" si="32"/>
        <v>47.023800000000001</v>
      </c>
      <c r="AS36" s="132">
        <f t="shared" si="33"/>
        <v>6.1686182637367875E-3</v>
      </c>
      <c r="AT36" s="136">
        <f t="shared" si="34"/>
        <v>0.15470499813882985</v>
      </c>
      <c r="AU36" s="163">
        <f t="shared" si="47"/>
        <v>5.1251050348096392E-8</v>
      </c>
      <c r="AV36" s="153">
        <f t="shared" si="48"/>
        <v>8.3365240462039239E-6</v>
      </c>
      <c r="AW36" s="144">
        <f t="shared" si="49"/>
        <v>6147.7721486851342</v>
      </c>
    </row>
    <row r="37" spans="1:49" ht="15" customHeight="1" x14ac:dyDescent="0.25">
      <c r="F37" s="329" t="s">
        <v>55</v>
      </c>
      <c r="G37" s="303">
        <f>G29/G32</f>
        <v>47.80621892289377</v>
      </c>
      <c r="I37" s="293" t="s">
        <v>59</v>
      </c>
      <c r="J37" s="295"/>
      <c r="K37" s="376">
        <f>(G12*J30*( 8.5770134353E-19*K35^6 - 1.0374875556E-14*K35^5 + 4.9689475953E-11*K35^4 - 0.00000012019118054*K35^3 + 0.00015650954893*K35^2 - 0.048239362033*K35 + 5.2084519626) + (G13*J30*(6.6506859177E-19*K35^6 - 7.8984343104E-15*K35^5 + 3.6879849877E-11*K35^4 - 0.000000086386228559*K35^3 + 0.00011074017861*K35^2 - 0.031241611608*K35 + 3.3006694533) + (G11*(1-J30)*(5.9376621671E-19*K35^6 - 7.1020711589E-15*K35^5 + 3.3460896805E-11*K35^4 - 0.000000078909601634*K35^3 + 0.000098599769212*K35^2 - 0.028172899156*K35 + 3.05378908) + (G14*(6.4958291549E-19*K35^6 - 7.8224528491E-15*K35^5 + 3.7120417697E-11*K35^4 - 0.00000008798317617*K35^3 + 0.00010982327235*K35^2 - 0.032606444641*K35 + 3.5786489003)))))</f>
        <v>4585.8220056429182</v>
      </c>
      <c r="L37" s="120"/>
      <c r="N37" s="98"/>
      <c r="O37" s="98"/>
      <c r="P37" s="98"/>
      <c r="R37" s="86">
        <v>10</v>
      </c>
      <c r="S37" s="86">
        <f t="shared" si="54"/>
        <v>30</v>
      </c>
      <c r="T37" s="132">
        <f t="shared" si="55"/>
        <v>2784.7586658453101</v>
      </c>
      <c r="U37" s="191">
        <f t="shared" si="50"/>
        <v>1.5587778316754862E-8</v>
      </c>
      <c r="V37" s="153">
        <f t="shared" si="51"/>
        <v>6.5681391066181393E-6</v>
      </c>
      <c r="W37" s="86">
        <f t="shared" si="52"/>
        <v>1.3885120096437262E-7</v>
      </c>
      <c r="X37" s="96">
        <f t="shared" si="35"/>
        <v>7.92</v>
      </c>
      <c r="Y37" s="96">
        <f t="shared" si="36"/>
        <v>8.91</v>
      </c>
      <c r="Z37" s="134">
        <f t="shared" si="37"/>
        <v>0.12500000000000011</v>
      </c>
      <c r="AA37" s="144">
        <f t="shared" si="38"/>
        <v>47.023800000000001</v>
      </c>
      <c r="AB37" s="152">
        <f t="shared" si="39"/>
        <v>4.3391000301366492E-4</v>
      </c>
      <c r="AC37" s="142">
        <f t="shared" si="40"/>
        <v>0.16323277759771165</v>
      </c>
      <c r="AD37" s="187">
        <f t="shared" si="41"/>
        <v>2.0920717761809234E-7</v>
      </c>
      <c r="AE37" s="165">
        <f t="shared" si="42"/>
        <v>8.8835332162594029E-6</v>
      </c>
      <c r="AF37" s="144">
        <f t="shared" si="43"/>
        <v>23549.996665198873</v>
      </c>
      <c r="AG37" s="178"/>
      <c r="AH37" s="178"/>
      <c r="AI37" s="212">
        <v>11</v>
      </c>
      <c r="AJ37" s="86">
        <f t="shared" si="53"/>
        <v>32</v>
      </c>
      <c r="AK37" s="132">
        <f t="shared" si="44"/>
        <v>2528.6957200613147</v>
      </c>
      <c r="AL37" s="153">
        <f t="shared" si="45"/>
        <v>4.7268224911181378E-9</v>
      </c>
      <c r="AM37" s="153">
        <f t="shared" si="46"/>
        <v>6.5681391066181393E-6</v>
      </c>
      <c r="AN37" s="88">
        <f t="shared" si="28"/>
        <v>1.3159718962638479E-7</v>
      </c>
      <c r="AO37" s="96">
        <f t="shared" si="29"/>
        <v>6.8</v>
      </c>
      <c r="AP37" s="96">
        <f t="shared" si="30"/>
        <v>7.6499999999999995</v>
      </c>
      <c r="AQ37" s="134">
        <f t="shared" si="31"/>
        <v>1.8750000000000002</v>
      </c>
      <c r="AR37" s="148">
        <f t="shared" si="32"/>
        <v>47.023800000000001</v>
      </c>
      <c r="AS37" s="132">
        <f t="shared" si="33"/>
        <v>6.1686182637367875E-3</v>
      </c>
      <c r="AT37" s="136">
        <f t="shared" si="34"/>
        <v>0.15470499813882985</v>
      </c>
      <c r="AU37" s="163">
        <f t="shared" si="47"/>
        <v>5.1251050348096392E-8</v>
      </c>
      <c r="AV37" s="153">
        <f t="shared" si="48"/>
        <v>8.3365240462039239E-6</v>
      </c>
      <c r="AW37" s="144">
        <f t="shared" si="49"/>
        <v>6147.7721486851342</v>
      </c>
    </row>
    <row r="38" spans="1:49" ht="18" customHeight="1" thickBot="1" x14ac:dyDescent="0.3">
      <c r="F38" s="330"/>
      <c r="G38" s="304"/>
      <c r="I38" s="296"/>
      <c r="J38" s="298"/>
      <c r="K38" s="377"/>
      <c r="L38" s="122"/>
      <c r="N38" s="98"/>
      <c r="O38" s="98"/>
      <c r="P38" s="98"/>
      <c r="R38" s="86">
        <v>11</v>
      </c>
      <c r="S38" s="86">
        <f t="shared" si="54"/>
        <v>32</v>
      </c>
      <c r="T38" s="132">
        <f t="shared" si="55"/>
        <v>2810.995262534459</v>
      </c>
      <c r="U38" s="191">
        <f t="shared" si="50"/>
        <v>1.9567179645857762E-8</v>
      </c>
      <c r="V38" s="153">
        <f t="shared" si="51"/>
        <v>6.5681391066181393E-6</v>
      </c>
      <c r="W38" s="86">
        <f t="shared" si="52"/>
        <v>1.3885120096437262E-7</v>
      </c>
      <c r="X38" s="96">
        <f t="shared" si="35"/>
        <v>7.92</v>
      </c>
      <c r="Y38" s="96">
        <f t="shared" si="36"/>
        <v>8.91</v>
      </c>
      <c r="Z38" s="134">
        <f t="shared" si="37"/>
        <v>0.12500000000000011</v>
      </c>
      <c r="AA38" s="144">
        <f t="shared" si="38"/>
        <v>47.023800000000001</v>
      </c>
      <c r="AB38" s="152">
        <f t="shared" si="39"/>
        <v>4.3391000301366492E-4</v>
      </c>
      <c r="AC38" s="142">
        <f t="shared" si="40"/>
        <v>0.16323277759771165</v>
      </c>
      <c r="AD38" s="187">
        <f t="shared" si="41"/>
        <v>2.0920717761809234E-7</v>
      </c>
      <c r="AE38" s="165">
        <f t="shared" si="42"/>
        <v>8.8835332162594029E-6</v>
      </c>
      <c r="AF38" s="144">
        <f t="shared" si="43"/>
        <v>23549.996665198873</v>
      </c>
      <c r="AG38" s="178"/>
      <c r="AH38" s="178"/>
      <c r="AI38" s="212">
        <v>12</v>
      </c>
      <c r="AJ38" s="86">
        <f t="shared" si="53"/>
        <v>34</v>
      </c>
      <c r="AK38" s="132">
        <f t="shared" si="44"/>
        <v>2551.0686501634323</v>
      </c>
      <c r="AL38" s="153">
        <f t="shared" si="45"/>
        <v>5.9806274620645097E-9</v>
      </c>
      <c r="AM38" s="153">
        <f t="shared" si="46"/>
        <v>6.5681391066181393E-6</v>
      </c>
      <c r="AN38" s="88">
        <f t="shared" si="28"/>
        <v>1.3159718962638479E-7</v>
      </c>
      <c r="AO38" s="96">
        <f t="shared" si="29"/>
        <v>6.8</v>
      </c>
      <c r="AP38" s="96">
        <f t="shared" si="30"/>
        <v>7.6499999999999995</v>
      </c>
      <c r="AQ38" s="134">
        <f t="shared" si="31"/>
        <v>1.8750000000000002</v>
      </c>
      <c r="AR38" s="148">
        <f t="shared" si="32"/>
        <v>47.023800000000001</v>
      </c>
      <c r="AS38" s="132">
        <f t="shared" si="33"/>
        <v>6.1686182637367875E-3</v>
      </c>
      <c r="AT38" s="136">
        <f t="shared" si="34"/>
        <v>0.15470499813882985</v>
      </c>
      <c r="AU38" s="163">
        <f t="shared" si="47"/>
        <v>5.1251050348096392E-8</v>
      </c>
      <c r="AV38" s="153">
        <f t="shared" si="48"/>
        <v>8.3365240462039239E-6</v>
      </c>
      <c r="AW38" s="144">
        <f t="shared" si="49"/>
        <v>6147.7721486851342</v>
      </c>
    </row>
    <row r="39" spans="1:49" ht="15.75" thickBot="1" x14ac:dyDescent="0.3">
      <c r="N39" s="98"/>
      <c r="O39" s="98"/>
      <c r="P39" s="98"/>
      <c r="R39" s="86">
        <v>12</v>
      </c>
      <c r="S39" s="86">
        <f t="shared" si="54"/>
        <v>34</v>
      </c>
      <c r="T39" s="132">
        <f t="shared" si="55"/>
        <v>2835.8658707405516</v>
      </c>
      <c r="U39" s="191">
        <f t="shared" si="50"/>
        <v>2.4179333436957197E-8</v>
      </c>
      <c r="V39" s="153">
        <f t="shared" si="51"/>
        <v>6.5681391066181393E-6</v>
      </c>
      <c r="W39" s="86">
        <f t="shared" si="52"/>
        <v>1.3885120096437262E-7</v>
      </c>
      <c r="X39" s="96">
        <f t="shared" si="35"/>
        <v>7.92</v>
      </c>
      <c r="Y39" s="96">
        <f t="shared" si="36"/>
        <v>8.91</v>
      </c>
      <c r="Z39" s="134">
        <f t="shared" si="37"/>
        <v>0.12500000000000011</v>
      </c>
      <c r="AA39" s="144">
        <f t="shared" si="38"/>
        <v>47.023800000000001</v>
      </c>
      <c r="AB39" s="152">
        <f t="shared" si="39"/>
        <v>4.3391000301366492E-4</v>
      </c>
      <c r="AC39" s="142">
        <f t="shared" si="40"/>
        <v>0.16323277759771165</v>
      </c>
      <c r="AD39" s="187">
        <f t="shared" si="41"/>
        <v>2.0920717761809234E-7</v>
      </c>
      <c r="AE39" s="165">
        <f t="shared" si="42"/>
        <v>8.8835332162594029E-6</v>
      </c>
      <c r="AF39" s="144">
        <f t="shared" si="43"/>
        <v>23549.996665198873</v>
      </c>
      <c r="AG39" s="178"/>
      <c r="AH39" s="178"/>
      <c r="AI39" s="212">
        <v>13</v>
      </c>
      <c r="AJ39" s="86">
        <f t="shared" si="53"/>
        <v>36</v>
      </c>
      <c r="AK39" s="132">
        <f t="shared" si="44"/>
        <v>2572.3436734837651</v>
      </c>
      <c r="AL39" s="153">
        <f t="shared" si="45"/>
        <v>7.4518030974316849E-9</v>
      </c>
      <c r="AM39" s="153">
        <f t="shared" si="46"/>
        <v>6.5681391066181393E-6</v>
      </c>
      <c r="AN39" s="88">
        <f t="shared" si="28"/>
        <v>1.3159718962638479E-7</v>
      </c>
      <c r="AO39" s="96">
        <f t="shared" si="29"/>
        <v>6.8</v>
      </c>
      <c r="AP39" s="96">
        <f t="shared" si="30"/>
        <v>7.6499999999999995</v>
      </c>
      <c r="AQ39" s="134">
        <f t="shared" si="31"/>
        <v>1.8750000000000002</v>
      </c>
      <c r="AR39" s="148">
        <f t="shared" si="32"/>
        <v>47.023800000000001</v>
      </c>
      <c r="AS39" s="132">
        <f t="shared" si="33"/>
        <v>6.1686182637367875E-3</v>
      </c>
      <c r="AT39" s="136">
        <f t="shared" si="34"/>
        <v>0.15470499813882985</v>
      </c>
      <c r="AU39" s="163">
        <f t="shared" si="47"/>
        <v>5.1251050348096392E-8</v>
      </c>
      <c r="AV39" s="153">
        <f t="shared" si="48"/>
        <v>8.3365240462039239E-6</v>
      </c>
      <c r="AW39" s="144">
        <f t="shared" si="49"/>
        <v>6147.7721486851342</v>
      </c>
    </row>
    <row r="40" spans="1:49" ht="18" customHeight="1" x14ac:dyDescent="0.25">
      <c r="F40" s="329" t="s">
        <v>56</v>
      </c>
      <c r="G40" s="303">
        <f>(G12*(L3+(L5*2)))</f>
        <v>352.072</v>
      </c>
      <c r="N40" s="115"/>
      <c r="R40" s="86">
        <v>13</v>
      </c>
      <c r="S40" s="86">
        <f t="shared" si="54"/>
        <v>36</v>
      </c>
      <c r="T40" s="132">
        <f t="shared" si="55"/>
        <v>2859.5160036091734</v>
      </c>
      <c r="U40" s="191">
        <f t="shared" si="50"/>
        <v>2.9469088776988503E-8</v>
      </c>
      <c r="V40" s="153">
        <f t="shared" si="51"/>
        <v>6.5681391066181393E-6</v>
      </c>
      <c r="W40" s="86">
        <f t="shared" si="52"/>
        <v>1.3885120096437262E-7</v>
      </c>
      <c r="X40" s="96">
        <f t="shared" si="35"/>
        <v>7.92</v>
      </c>
      <c r="Y40" s="96">
        <f t="shared" si="36"/>
        <v>8.91</v>
      </c>
      <c r="Z40" s="134">
        <f t="shared" si="37"/>
        <v>0.12500000000000011</v>
      </c>
      <c r="AA40" s="144">
        <f t="shared" si="38"/>
        <v>47.023800000000001</v>
      </c>
      <c r="AB40" s="152">
        <f t="shared" si="39"/>
        <v>4.3391000301366492E-4</v>
      </c>
      <c r="AC40" s="142">
        <f t="shared" si="40"/>
        <v>0.16323277759771165</v>
      </c>
      <c r="AD40" s="187">
        <f t="shared" si="41"/>
        <v>2.0920717761809234E-7</v>
      </c>
      <c r="AE40" s="165">
        <f t="shared" si="42"/>
        <v>8.8835332162594029E-6</v>
      </c>
      <c r="AF40" s="144">
        <f t="shared" si="43"/>
        <v>23549.996665198873</v>
      </c>
      <c r="AG40" s="178"/>
      <c r="AH40" s="178"/>
      <c r="AI40" s="212">
        <v>14</v>
      </c>
      <c r="AJ40" s="86">
        <f t="shared" si="53"/>
        <v>38</v>
      </c>
      <c r="AK40" s="132">
        <f t="shared" si="44"/>
        <v>2592.6313872685505</v>
      </c>
      <c r="AL40" s="153">
        <f t="shared" si="45"/>
        <v>9.1597432413170213E-9</v>
      </c>
      <c r="AM40" s="153">
        <f t="shared" si="46"/>
        <v>6.5681391066181393E-6</v>
      </c>
      <c r="AN40" s="88">
        <f t="shared" si="28"/>
        <v>1.3159718962638479E-7</v>
      </c>
      <c r="AO40" s="96">
        <f t="shared" si="29"/>
        <v>6.8</v>
      </c>
      <c r="AP40" s="96">
        <f t="shared" si="30"/>
        <v>7.6499999999999995</v>
      </c>
      <c r="AQ40" s="134">
        <f t="shared" si="31"/>
        <v>1.8750000000000002</v>
      </c>
      <c r="AR40" s="148">
        <f t="shared" si="32"/>
        <v>47.023800000000001</v>
      </c>
      <c r="AS40" s="132">
        <f t="shared" si="33"/>
        <v>6.1686182637367875E-3</v>
      </c>
      <c r="AT40" s="136">
        <f t="shared" si="34"/>
        <v>0.15470499813882985</v>
      </c>
      <c r="AU40" s="163">
        <f t="shared" si="47"/>
        <v>5.1251050348096392E-8</v>
      </c>
      <c r="AV40" s="153">
        <f t="shared" si="48"/>
        <v>8.3365240462039239E-6</v>
      </c>
      <c r="AW40" s="144">
        <f t="shared" si="49"/>
        <v>6147.7721486851342</v>
      </c>
    </row>
    <row r="41" spans="1:49" ht="15.75" thickBot="1" x14ac:dyDescent="0.3">
      <c r="F41" s="330"/>
      <c r="G41" s="304"/>
      <c r="R41" s="86">
        <v>14</v>
      </c>
      <c r="S41" s="86">
        <f t="shared" si="54"/>
        <v>38</v>
      </c>
      <c r="T41" s="132">
        <f t="shared" si="55"/>
        <v>2882.0686052860979</v>
      </c>
      <c r="U41" s="191">
        <f t="shared" si="50"/>
        <v>3.5480373561818247E-8</v>
      </c>
      <c r="V41" s="153">
        <f t="shared" si="51"/>
        <v>6.5681391066181393E-6</v>
      </c>
      <c r="W41" s="86">
        <f t="shared" si="52"/>
        <v>1.3885120096437262E-7</v>
      </c>
      <c r="X41" s="96">
        <f t="shared" si="35"/>
        <v>7.92</v>
      </c>
      <c r="Y41" s="96">
        <f t="shared" si="36"/>
        <v>8.91</v>
      </c>
      <c r="Z41" s="134">
        <f t="shared" si="37"/>
        <v>0.12500000000000011</v>
      </c>
      <c r="AA41" s="144">
        <f t="shared" si="38"/>
        <v>47.023800000000001</v>
      </c>
      <c r="AB41" s="152">
        <f t="shared" si="39"/>
        <v>4.3391000301366492E-4</v>
      </c>
      <c r="AC41" s="142">
        <f t="shared" si="40"/>
        <v>0.16323277759771165</v>
      </c>
      <c r="AD41" s="187">
        <f t="shared" si="41"/>
        <v>2.0920717761809234E-7</v>
      </c>
      <c r="AE41" s="165">
        <f t="shared" si="42"/>
        <v>8.8835332162594029E-6</v>
      </c>
      <c r="AF41" s="144">
        <f t="shared" si="43"/>
        <v>23549.996665198873</v>
      </c>
      <c r="AG41" s="178"/>
      <c r="AH41" s="178"/>
      <c r="AI41" s="212">
        <v>15</v>
      </c>
      <c r="AJ41" s="86">
        <f t="shared" si="53"/>
        <v>40</v>
      </c>
      <c r="AK41" s="132">
        <f t="shared" si="44"/>
        <v>2612.0261201664007</v>
      </c>
      <c r="AL41" s="153">
        <f t="shared" si="45"/>
        <v>1.1123944647365589E-8</v>
      </c>
      <c r="AM41" s="153">
        <f t="shared" si="46"/>
        <v>6.5681391066181393E-6</v>
      </c>
      <c r="AN41" s="88">
        <f t="shared" si="28"/>
        <v>1.3159718962638479E-7</v>
      </c>
      <c r="AO41" s="96">
        <f t="shared" si="29"/>
        <v>6.8</v>
      </c>
      <c r="AP41" s="96">
        <f t="shared" si="30"/>
        <v>7.6499999999999995</v>
      </c>
      <c r="AQ41" s="134">
        <f t="shared" si="31"/>
        <v>1.8750000000000002</v>
      </c>
      <c r="AR41" s="148">
        <f t="shared" si="32"/>
        <v>47.023800000000001</v>
      </c>
      <c r="AS41" s="132">
        <f t="shared" si="33"/>
        <v>6.1686182637367875E-3</v>
      </c>
      <c r="AT41" s="136">
        <f t="shared" si="34"/>
        <v>0.15470499813882985</v>
      </c>
      <c r="AU41" s="163">
        <f t="shared" si="47"/>
        <v>5.1251050348096392E-8</v>
      </c>
      <c r="AV41" s="153">
        <f t="shared" si="48"/>
        <v>8.3365240462039239E-6</v>
      </c>
      <c r="AW41" s="144">
        <f t="shared" si="49"/>
        <v>6147.7721486851342</v>
      </c>
    </row>
    <row r="42" spans="1:49" ht="15.75" thickBot="1" x14ac:dyDescent="0.3">
      <c r="F42" s="329" t="s">
        <v>57</v>
      </c>
      <c r="G42" s="303">
        <f>G40/G32</f>
        <v>3.0820785769311576</v>
      </c>
      <c r="R42" s="86">
        <v>15</v>
      </c>
      <c r="S42" s="86">
        <f t="shared" si="54"/>
        <v>40</v>
      </c>
      <c r="T42" s="132">
        <f t="shared" si="55"/>
        <v>2903.6285351192755</v>
      </c>
      <c r="U42" s="191">
        <f t="shared" si="50"/>
        <v>4.2256169989297831E-8</v>
      </c>
      <c r="V42" s="153">
        <f t="shared" si="51"/>
        <v>6.5681391066181393E-6</v>
      </c>
      <c r="W42" s="86">
        <f t="shared" si="52"/>
        <v>1.3885120096437262E-7</v>
      </c>
      <c r="X42" s="96">
        <f t="shared" si="35"/>
        <v>7.92</v>
      </c>
      <c r="Y42" s="96">
        <f t="shared" si="36"/>
        <v>8.91</v>
      </c>
      <c r="Z42" s="134">
        <f t="shared" si="37"/>
        <v>0.12500000000000011</v>
      </c>
      <c r="AA42" s="144">
        <f t="shared" si="38"/>
        <v>47.023800000000001</v>
      </c>
      <c r="AB42" s="152">
        <f t="shared" si="39"/>
        <v>4.3391000301366492E-4</v>
      </c>
      <c r="AC42" s="142">
        <f t="shared" si="40"/>
        <v>0.16323277759771165</v>
      </c>
      <c r="AD42" s="187">
        <f t="shared" si="41"/>
        <v>2.0920717761809234E-7</v>
      </c>
      <c r="AE42" s="165">
        <f t="shared" si="42"/>
        <v>8.8835332162594029E-6</v>
      </c>
      <c r="AF42" s="144">
        <f t="shared" si="43"/>
        <v>23549.996665198873</v>
      </c>
      <c r="AG42" s="102"/>
      <c r="AH42" s="178"/>
      <c r="AI42" s="198"/>
      <c r="AJ42" s="108"/>
      <c r="AK42" s="132"/>
      <c r="AL42" s="153"/>
      <c r="AM42" s="86"/>
      <c r="AN42" s="88"/>
      <c r="AO42" s="96"/>
      <c r="AP42" s="96"/>
      <c r="AQ42" s="134"/>
      <c r="AR42" s="149"/>
      <c r="AS42" s="133"/>
      <c r="AT42" s="125"/>
      <c r="AU42" s="125"/>
      <c r="AV42" s="162"/>
      <c r="AW42" s="144"/>
    </row>
    <row r="43" spans="1:49" ht="15.75" thickBot="1" x14ac:dyDescent="0.3">
      <c r="F43" s="330"/>
      <c r="G43" s="304"/>
      <c r="R43" s="108"/>
      <c r="S43" s="108"/>
      <c r="T43" s="132"/>
      <c r="U43" s="153"/>
      <c r="V43" s="86"/>
      <c r="W43" s="86"/>
      <c r="X43" s="96"/>
      <c r="Y43" s="96"/>
      <c r="Z43" s="134"/>
      <c r="AA43" s="145"/>
      <c r="AB43" s="152"/>
      <c r="AC43" s="143"/>
      <c r="AD43" s="146"/>
      <c r="AE43" s="166"/>
      <c r="AF43" s="144"/>
      <c r="AG43" s="178"/>
      <c r="AH43" s="178"/>
    </row>
    <row r="44" spans="1:49" ht="15.75" thickBot="1" x14ac:dyDescent="0.3">
      <c r="AG44" s="102"/>
      <c r="AH44" s="178"/>
    </row>
    <row r="45" spans="1:49" ht="21.75" thickBot="1" x14ac:dyDescent="0.3">
      <c r="B45" s="293" t="s">
        <v>186</v>
      </c>
      <c r="C45" s="294"/>
      <c r="D45" s="294"/>
      <c r="E45" s="294"/>
      <c r="F45" s="294"/>
      <c r="G45" s="294"/>
      <c r="H45" s="294"/>
      <c r="I45" s="294"/>
      <c r="J45" s="294"/>
      <c r="K45" s="294"/>
      <c r="L45" s="294"/>
      <c r="M45" s="294"/>
      <c r="N45" s="294"/>
      <c r="O45" s="294"/>
      <c r="P45" s="295"/>
      <c r="AG45" s="178"/>
      <c r="AH45" s="178"/>
      <c r="AI45" s="382" t="s">
        <v>29</v>
      </c>
      <c r="AJ45" s="379"/>
      <c r="AK45" s="384">
        <v>0.8</v>
      </c>
      <c r="AL45" s="385"/>
      <c r="AM45" s="385"/>
      <c r="AN45" s="385"/>
      <c r="AO45" s="385"/>
      <c r="AP45" s="385"/>
      <c r="AQ45" s="385"/>
      <c r="AR45" s="385"/>
      <c r="AS45" s="385"/>
      <c r="AT45" s="386"/>
      <c r="AU45" s="183"/>
    </row>
    <row r="46" spans="1:49" ht="21.75" thickBot="1" x14ac:dyDescent="0.3">
      <c r="A46" s="474"/>
      <c r="B46" s="296"/>
      <c r="C46" s="297"/>
      <c r="D46" s="297"/>
      <c r="E46" s="297"/>
      <c r="F46" s="297"/>
      <c r="G46" s="297"/>
      <c r="H46" s="297"/>
      <c r="I46" s="297"/>
      <c r="J46" s="297"/>
      <c r="K46" s="297"/>
      <c r="L46" s="297"/>
      <c r="M46" s="297"/>
      <c r="N46" s="297"/>
      <c r="O46" s="297"/>
      <c r="P46" s="298"/>
      <c r="R46" s="356" t="s">
        <v>29</v>
      </c>
      <c r="S46" s="358"/>
      <c r="T46" s="365">
        <v>0.98</v>
      </c>
      <c r="U46" s="406"/>
      <c r="V46" s="406"/>
      <c r="W46" s="406"/>
      <c r="X46" s="406"/>
      <c r="Y46" s="406"/>
      <c r="Z46" s="406"/>
      <c r="AA46" s="406"/>
      <c r="AB46" s="406"/>
      <c r="AC46" s="366"/>
      <c r="AD46" s="181"/>
      <c r="AG46" s="102"/>
      <c r="AH46" s="178"/>
      <c r="AI46" s="383"/>
      <c r="AJ46" s="381"/>
      <c r="AK46" s="387"/>
      <c r="AL46" s="388"/>
      <c r="AM46" s="388"/>
      <c r="AN46" s="388"/>
      <c r="AO46" s="388"/>
      <c r="AP46" s="388"/>
      <c r="AQ46" s="388"/>
      <c r="AR46" s="388"/>
      <c r="AS46" s="388"/>
      <c r="AT46" s="389"/>
      <c r="AU46" s="183"/>
    </row>
    <row r="47" spans="1:49" ht="19.5" thickBot="1" x14ac:dyDescent="0.3">
      <c r="A47" s="261" t="s">
        <v>159</v>
      </c>
      <c r="B47" s="3" t="s">
        <v>29</v>
      </c>
      <c r="C47" s="3" t="s">
        <v>30</v>
      </c>
      <c r="D47" s="126" t="s">
        <v>167</v>
      </c>
      <c r="E47" s="127" t="s">
        <v>173</v>
      </c>
      <c r="F47" s="3" t="s">
        <v>151</v>
      </c>
      <c r="G47" s="3" t="s">
        <v>155</v>
      </c>
      <c r="H47" s="261" t="s">
        <v>156</v>
      </c>
      <c r="I47" s="3" t="s">
        <v>157</v>
      </c>
      <c r="J47" s="3" t="s">
        <v>158</v>
      </c>
      <c r="K47" s="3" t="s">
        <v>180</v>
      </c>
      <c r="L47" s="3" t="s">
        <v>181</v>
      </c>
      <c r="M47" s="250" t="s">
        <v>178</v>
      </c>
      <c r="N47" s="3" t="s">
        <v>188</v>
      </c>
      <c r="O47" s="248" t="s">
        <v>182</v>
      </c>
      <c r="P47" s="248" t="s">
        <v>183</v>
      </c>
      <c r="R47" s="357"/>
      <c r="S47" s="359"/>
      <c r="T47" s="367"/>
      <c r="U47" s="407"/>
      <c r="V47" s="407"/>
      <c r="W47" s="407"/>
      <c r="X47" s="407"/>
      <c r="Y47" s="407"/>
      <c r="Z47" s="407"/>
      <c r="AA47" s="407"/>
      <c r="AB47" s="407"/>
      <c r="AC47" s="368"/>
      <c r="AD47" s="181"/>
      <c r="AG47" s="178"/>
      <c r="AH47" s="178"/>
      <c r="AI47" s="199" t="s">
        <v>73</v>
      </c>
      <c r="AJ47" s="2" t="s">
        <v>69</v>
      </c>
      <c r="AK47" s="116" t="s">
        <v>177</v>
      </c>
      <c r="AL47" s="2" t="s">
        <v>178</v>
      </c>
      <c r="AM47" s="109" t="s">
        <v>173</v>
      </c>
      <c r="AN47" s="2" t="s">
        <v>151</v>
      </c>
      <c r="AO47" s="109" t="s">
        <v>155</v>
      </c>
      <c r="AP47" s="112" t="s">
        <v>156</v>
      </c>
      <c r="AQ47" s="109" t="s">
        <v>157</v>
      </c>
      <c r="AR47" s="2" t="s">
        <v>158</v>
      </c>
      <c r="AS47" s="2" t="s">
        <v>180</v>
      </c>
      <c r="AT47" s="2" t="s">
        <v>181</v>
      </c>
      <c r="AU47" s="2" t="s">
        <v>185</v>
      </c>
      <c r="AV47" s="2" t="s">
        <v>182</v>
      </c>
      <c r="AW47" s="127" t="s">
        <v>183</v>
      </c>
    </row>
    <row r="48" spans="1:49" ht="18.75" thickBot="1" x14ac:dyDescent="0.3">
      <c r="A48" s="96">
        <v>10</v>
      </c>
      <c r="B48" s="97">
        <v>1</v>
      </c>
      <c r="C48" s="210">
        <v>5065.0000000000009</v>
      </c>
      <c r="D48" s="214">
        <v>2390.3031441465077</v>
      </c>
      <c r="E48" s="211">
        <f>(((10^5*($C$4*$C$6)*10^-6)/($C$8*$C$7)))</f>
        <v>6.5681391066181393E-6</v>
      </c>
      <c r="F48" s="153">
        <f>E48/(B48*$G$11*((I48/2)+3.76))</f>
        <v>1.3974764056634339E-7</v>
      </c>
      <c r="G48" s="248">
        <f t="shared" ref="G48:G60" si="56">B48*$G$12</f>
        <v>8</v>
      </c>
      <c r="H48" s="96">
        <f t="shared" ref="H48:H60" si="57">B48*$G$13</f>
        <v>9</v>
      </c>
      <c r="I48" s="137">
        <f t="shared" ref="I48:I60" si="58">(($G$15/2)*(1-B48))</f>
        <v>0</v>
      </c>
      <c r="J48" s="167">
        <f t="shared" ref="J48:J60" si="59">$G$14</f>
        <v>47.023800000000001</v>
      </c>
      <c r="K48" s="170">
        <f t="shared" ref="K48:K60" si="60">((I48*F48)/($C$5*10^-6))</f>
        <v>0</v>
      </c>
      <c r="L48" s="142">
        <f t="shared" ref="L48:L60" si="61">((J48*F48)/($C$5*10^-6))</f>
        <v>0.16428662751159046</v>
      </c>
      <c r="M48" s="165">
        <f>((4.7*10^13*L48*(K48^0.5)*EXP($C$11/D48))/($C$15))*$C$5*10^-6</f>
        <v>0</v>
      </c>
      <c r="N48" s="187">
        <f>SUM(U5:U20)</f>
        <v>0</v>
      </c>
      <c r="O48" s="163">
        <f>F48*(G48+H48+I48+J48)</f>
        <v>8.9471749900914556E-6</v>
      </c>
      <c r="P48" s="144">
        <f>(N48/O48)*10^6</f>
        <v>0</v>
      </c>
      <c r="R48" s="2" t="s">
        <v>73</v>
      </c>
      <c r="S48" s="2" t="s">
        <v>69</v>
      </c>
      <c r="T48" s="116" t="s">
        <v>177</v>
      </c>
      <c r="U48" s="2" t="s">
        <v>178</v>
      </c>
      <c r="V48" s="109" t="s">
        <v>173</v>
      </c>
      <c r="W48" s="2" t="s">
        <v>151</v>
      </c>
      <c r="X48" s="109" t="s">
        <v>155</v>
      </c>
      <c r="Y48" s="112" t="s">
        <v>156</v>
      </c>
      <c r="Z48" s="109" t="s">
        <v>157</v>
      </c>
      <c r="AA48" s="2" t="s">
        <v>158</v>
      </c>
      <c r="AB48" s="2" t="s">
        <v>180</v>
      </c>
      <c r="AC48" s="2" t="s">
        <v>181</v>
      </c>
      <c r="AD48" s="2" t="s">
        <v>185</v>
      </c>
      <c r="AE48" s="2" t="s">
        <v>182</v>
      </c>
      <c r="AF48" s="195" t="s">
        <v>183</v>
      </c>
      <c r="AG48" s="102"/>
      <c r="AH48" s="178"/>
      <c r="AI48" s="212">
        <v>0</v>
      </c>
      <c r="AJ48" s="86">
        <v>10</v>
      </c>
      <c r="AK48" s="216">
        <v>2045.6734007270011</v>
      </c>
      <c r="AL48" s="153">
        <f>((4.7*10^13*AT48*(AS48^0.5)*EXP($C$11/AK48))/($C$14*6))*$C$5*10^-6</f>
        <v>9.6296244859535779E-12</v>
      </c>
      <c r="AM48" s="153">
        <f>(((10^5*($C$4*$C$6)*10^-6)/($C$8*$C$7)))</f>
        <v>6.5681391066181393E-6</v>
      </c>
      <c r="AN48" s="88">
        <f t="shared" ref="AN48:AN63" si="62">AM48/($AK$45*$G$11*((AQ48/2)+3.76))</f>
        <v>1.3110058097042195E-7</v>
      </c>
      <c r="AO48" s="96">
        <f t="shared" ref="AO48:AO63" si="63">$AK$45*$G$12</f>
        <v>6.4</v>
      </c>
      <c r="AP48" s="96">
        <f t="shared" ref="AP48:AP63" si="64">$AK$45*$G$13</f>
        <v>7.2</v>
      </c>
      <c r="AQ48" s="134">
        <f t="shared" ref="AQ48:AQ63" si="65">(($G$15/2)*(1-$AK$45))</f>
        <v>2.4999999999999996</v>
      </c>
      <c r="AR48" s="147">
        <f t="shared" ref="AR48:AR63" si="66">$G$14</f>
        <v>47.023800000000001</v>
      </c>
      <c r="AS48" s="129">
        <f t="shared" ref="AS48:AS63" si="67">((AQ48*AN48)/($C$5*10^-6))</f>
        <v>8.1937863106513707E-3</v>
      </c>
      <c r="AT48" s="137">
        <f t="shared" ref="AT48:AT63" si="68">((AR48*AN48)/($C$5*10^-6))</f>
        <v>0.15412118748592321</v>
      </c>
      <c r="AU48" s="163">
        <f>SUM($AL$48:$AL$63)</f>
        <v>1.8266124154825016E-8</v>
      </c>
      <c r="AV48" s="161">
        <f>AN48*(AO48+AP48+AQ48+AR48)</f>
        <v>8.2755668530607212E-6</v>
      </c>
      <c r="AW48" s="144">
        <f>(AU48/AV48)*10^6</f>
        <v>2207.2354050368504</v>
      </c>
    </row>
    <row r="49" spans="1:49" x14ac:dyDescent="0.25">
      <c r="A49" s="96">
        <v>10</v>
      </c>
      <c r="B49" s="86">
        <v>0.99</v>
      </c>
      <c r="C49" s="88">
        <f t="shared" ref="C49:C60" si="69">(((G49*$L$12)+(H49*$L$13)+($G$14*0)))-$B$30</f>
        <v>5011.7580000000007</v>
      </c>
      <c r="D49" s="86">
        <v>2373.899087881432</v>
      </c>
      <c r="E49" s="211">
        <f t="shared" ref="E49:E60" si="70">(((10^5*($C$4*$C$6)*10^-6)/($C$8*$C$7)))</f>
        <v>6.5681391066181393E-6</v>
      </c>
      <c r="F49" s="153">
        <f t="shared" ref="F49:F60" si="71">E49/(B49*$G$11*((I49/2)+3.76))</f>
        <v>1.3885120096437262E-7</v>
      </c>
      <c r="G49" s="86">
        <f t="shared" si="56"/>
        <v>7.92</v>
      </c>
      <c r="H49" s="96">
        <f t="shared" si="57"/>
        <v>8.91</v>
      </c>
      <c r="I49" s="136">
        <f t="shared" si="58"/>
        <v>0.12500000000000011</v>
      </c>
      <c r="J49" s="168">
        <f t="shared" si="59"/>
        <v>47.023800000000001</v>
      </c>
      <c r="K49" s="170">
        <f t="shared" si="60"/>
        <v>4.3391000301366492E-4</v>
      </c>
      <c r="L49" s="142">
        <f t="shared" si="61"/>
        <v>0.16323277759771165</v>
      </c>
      <c r="M49" s="165">
        <f t="shared" ref="M49:M60" si="72">((4.7*10^13*L49*(K49^0.5)*EXP($C$11/D49))/($C$15))*$C$5*10^-6</f>
        <v>2.3001602133447009E-10</v>
      </c>
      <c r="N49" s="187">
        <f>SUM(U27:U42)</f>
        <v>2.0920717761809234E-7</v>
      </c>
      <c r="O49" s="163">
        <f t="shared" ref="O49:O60" si="73">F49*(G49+H49+I49+J49)</f>
        <v>8.8835332162594029E-6</v>
      </c>
      <c r="P49" s="144">
        <f t="shared" ref="P49:P60" si="74">(N49/O49)*10^6</f>
        <v>23549.996665198873</v>
      </c>
      <c r="R49" s="214">
        <v>0</v>
      </c>
      <c r="S49" s="86">
        <v>10</v>
      </c>
      <c r="T49" s="86">
        <v>2357.4217456957945</v>
      </c>
      <c r="U49" s="191">
        <f>((4.7*10^13*AC49*(AB49^0.5)*EXP($C$11/T49))/($C$14*6))*$C$5*10^-6</f>
        <v>2.6398402420002209E-10</v>
      </c>
      <c r="V49" s="153">
        <f>(((10^5*($C$4*$C$6)*10^-6)/($C$8*$C$7)))</f>
        <v>6.5681391066181393E-6</v>
      </c>
      <c r="W49" s="88">
        <f t="shared" ref="W49:W64" si="75">V49/($T$46*$G$11*((Z49/2)+3.76))</f>
        <v>1.3801148544360864E-7</v>
      </c>
      <c r="X49" s="96">
        <f t="shared" ref="X49:X64" si="76">$T$46*$G$12</f>
        <v>7.84</v>
      </c>
      <c r="Y49" s="96">
        <f t="shared" ref="Y49:Y64" si="77">$T$46*$G$13</f>
        <v>8.82</v>
      </c>
      <c r="Z49" s="134">
        <f t="shared" ref="Z49:Z64" si="78">(($G$15/2)*(1-$T$46))</f>
        <v>0.25000000000000022</v>
      </c>
      <c r="AA49" s="147">
        <f t="shared" ref="AA49:AA64" si="79">$G$14</f>
        <v>47.023800000000001</v>
      </c>
      <c r="AB49" s="129">
        <f t="shared" ref="AB49:AB64" si="80">((Z49*W49)/($C$5*10^-6))</f>
        <v>8.6257178402255491E-4</v>
      </c>
      <c r="AC49" s="137">
        <f t="shared" ref="AC49:AC64" si="81">((AA49*W49)/($C$5*10^-6))</f>
        <v>0.16224561223007913</v>
      </c>
      <c r="AD49" s="163">
        <f>SUM($U$49:$U$64)</f>
        <v>2.4784540561741364E-7</v>
      </c>
      <c r="AE49" s="161">
        <f t="shared" ref="AE49:AE64" si="82">W49*(X49+Y49+Z49+AA49)</f>
        <v>8.8235987080545875E-6</v>
      </c>
      <c r="AF49" s="144">
        <f>(AD49/AE49)*10^6</f>
        <v>28088.925371364512</v>
      </c>
      <c r="AG49" s="178"/>
      <c r="AH49" s="178"/>
      <c r="AI49" s="212">
        <v>1</v>
      </c>
      <c r="AJ49" s="86">
        <f>AJ48+2</f>
        <v>12</v>
      </c>
      <c r="AK49" s="132">
        <f t="shared" ref="AK49:AK63" si="83">(AK48*(($S6/$S5)^(($C$13-1)/$C$13)))</f>
        <v>2100.5898641348913</v>
      </c>
      <c r="AL49" s="153">
        <f t="shared" ref="AL49:AL63" si="84">((4.7*10^13*AT49*(AS49^0.5)*EXP($C$11/AK49))/($C$14*6))*$C$5*10^-6</f>
        <v>2.2914946883891877E-11</v>
      </c>
      <c r="AM49" s="153">
        <f t="shared" ref="AM49:AM63" si="85">(((10^5*($C$4*$C$6)*10^-6)/($C$8*$C$7)))</f>
        <v>6.5681391066181393E-6</v>
      </c>
      <c r="AN49" s="88">
        <f t="shared" si="62"/>
        <v>1.3110058097042195E-7</v>
      </c>
      <c r="AO49" s="96">
        <f t="shared" si="63"/>
        <v>6.4</v>
      </c>
      <c r="AP49" s="96">
        <f t="shared" si="64"/>
        <v>7.2</v>
      </c>
      <c r="AQ49" s="134">
        <f t="shared" si="65"/>
        <v>2.4999999999999996</v>
      </c>
      <c r="AR49" s="148">
        <f t="shared" si="66"/>
        <v>47.023800000000001</v>
      </c>
      <c r="AS49" s="132">
        <f t="shared" si="67"/>
        <v>8.1937863106513707E-3</v>
      </c>
      <c r="AT49" s="136">
        <f t="shared" si="68"/>
        <v>0.15412118748592321</v>
      </c>
      <c r="AU49" s="163">
        <f t="shared" ref="AU49:AU63" si="86">SUM($AL$48:$AL$63)</f>
        <v>1.8266124154825016E-8</v>
      </c>
      <c r="AV49" s="153">
        <f t="shared" ref="AV49:AV63" si="87">AN49*(AO49+AP49+AQ49+AR49)</f>
        <v>8.2755668530607212E-6</v>
      </c>
      <c r="AW49" s="144">
        <f t="shared" ref="AW49:AW63" si="88">(AU49/AV49)*10^6</f>
        <v>2207.2354050368504</v>
      </c>
    </row>
    <row r="50" spans="1:49" x14ac:dyDescent="0.25">
      <c r="A50" s="96">
        <v>10</v>
      </c>
      <c r="B50" s="97">
        <v>0.98</v>
      </c>
      <c r="C50" s="88">
        <f t="shared" si="69"/>
        <v>4958.5160000000005</v>
      </c>
      <c r="D50" s="86">
        <v>2357.4217456957945</v>
      </c>
      <c r="E50" s="211">
        <f t="shared" si="70"/>
        <v>6.5681391066181393E-6</v>
      </c>
      <c r="F50" s="153">
        <f t="shared" si="71"/>
        <v>1.3801148544360864E-7</v>
      </c>
      <c r="G50" s="86">
        <f t="shared" si="56"/>
        <v>7.84</v>
      </c>
      <c r="H50" s="96">
        <f t="shared" si="57"/>
        <v>8.82</v>
      </c>
      <c r="I50" s="136">
        <f t="shared" si="58"/>
        <v>0.25000000000000022</v>
      </c>
      <c r="J50" s="168">
        <f t="shared" si="59"/>
        <v>47.023800000000001</v>
      </c>
      <c r="K50" s="170">
        <f t="shared" si="60"/>
        <v>8.6257178402255491E-4</v>
      </c>
      <c r="L50" s="142">
        <f t="shared" si="61"/>
        <v>0.16224561223007913</v>
      </c>
      <c r="M50" s="165">
        <f t="shared" si="72"/>
        <v>2.6398402420002209E-10</v>
      </c>
      <c r="N50" s="187">
        <f>SUM(U49:U64)</f>
        <v>2.4784540561741364E-7</v>
      </c>
      <c r="O50" s="163">
        <f t="shared" si="73"/>
        <v>8.8235987080545875E-6</v>
      </c>
      <c r="P50" s="144">
        <f t="shared" si="74"/>
        <v>28088.925371364512</v>
      </c>
      <c r="R50" s="86">
        <v>1</v>
      </c>
      <c r="S50" s="86">
        <f>S49+2</f>
        <v>12</v>
      </c>
      <c r="T50" s="132">
        <f t="shared" ref="T50:T64" si="89">(T49*(($S6/$S5)^(($C$13-1)/$C$13)))</f>
        <v>2420.7071484333278</v>
      </c>
      <c r="U50" s="191">
        <f t="shared" ref="U50:U64" si="90">((4.7*10^13*AC50*(AB50^0.5)*EXP($C$11/T50))/($C$14*6))*$C$5*10^-6</f>
        <v>5.6014062197118439E-10</v>
      </c>
      <c r="V50" s="153">
        <f t="shared" ref="V50:V64" si="91">(((10^5*($C$4*$C$6)*10^-6)/($C$8*$C$7)))</f>
        <v>6.5681391066181393E-6</v>
      </c>
      <c r="W50" s="88">
        <f t="shared" si="75"/>
        <v>1.3801148544360864E-7</v>
      </c>
      <c r="X50" s="96">
        <f t="shared" si="76"/>
        <v>7.84</v>
      </c>
      <c r="Y50" s="96">
        <f t="shared" si="77"/>
        <v>8.82</v>
      </c>
      <c r="Z50" s="134">
        <f t="shared" si="78"/>
        <v>0.25000000000000022</v>
      </c>
      <c r="AA50" s="148">
        <f t="shared" si="79"/>
        <v>47.023800000000001</v>
      </c>
      <c r="AB50" s="132">
        <f t="shared" si="80"/>
        <v>8.6257178402255491E-4</v>
      </c>
      <c r="AC50" s="136">
        <f t="shared" si="81"/>
        <v>0.16224561223007913</v>
      </c>
      <c r="AD50" s="163">
        <f t="shared" ref="AD50:AD64" si="92">SUM($U$49:$U$64)</f>
        <v>2.4784540561741364E-7</v>
      </c>
      <c r="AE50" s="153">
        <f t="shared" si="82"/>
        <v>8.8235987080545875E-6</v>
      </c>
      <c r="AF50" s="144">
        <f t="shared" ref="AF50:AF64" si="93">(AD50/AE50)*10^6</f>
        <v>28088.925371364512</v>
      </c>
      <c r="AG50" s="178"/>
      <c r="AH50" s="178"/>
      <c r="AI50" s="212">
        <v>2</v>
      </c>
      <c r="AJ50" s="86">
        <f t="shared" ref="AJ50:AJ63" si="94">AJ49+2</f>
        <v>14</v>
      </c>
      <c r="AK50" s="132">
        <f t="shared" si="83"/>
        <v>2148.1696521965628</v>
      </c>
      <c r="AL50" s="153">
        <f t="shared" si="84"/>
        <v>4.685579486941782E-11</v>
      </c>
      <c r="AM50" s="153">
        <f t="shared" si="85"/>
        <v>6.5681391066181393E-6</v>
      </c>
      <c r="AN50" s="88">
        <f t="shared" si="62"/>
        <v>1.3110058097042195E-7</v>
      </c>
      <c r="AO50" s="96">
        <f t="shared" si="63"/>
        <v>6.4</v>
      </c>
      <c r="AP50" s="96">
        <f t="shared" si="64"/>
        <v>7.2</v>
      </c>
      <c r="AQ50" s="134">
        <f t="shared" si="65"/>
        <v>2.4999999999999996</v>
      </c>
      <c r="AR50" s="148">
        <f t="shared" si="66"/>
        <v>47.023800000000001</v>
      </c>
      <c r="AS50" s="132">
        <f t="shared" si="67"/>
        <v>8.1937863106513707E-3</v>
      </c>
      <c r="AT50" s="136">
        <f t="shared" si="68"/>
        <v>0.15412118748592321</v>
      </c>
      <c r="AU50" s="163">
        <f t="shared" si="86"/>
        <v>1.8266124154825016E-8</v>
      </c>
      <c r="AV50" s="153">
        <f t="shared" si="87"/>
        <v>8.2755668530607212E-6</v>
      </c>
      <c r="AW50" s="144">
        <f t="shared" si="88"/>
        <v>2207.2354050368504</v>
      </c>
    </row>
    <row r="51" spans="1:49" x14ac:dyDescent="0.25">
      <c r="A51" s="96">
        <v>10</v>
      </c>
      <c r="B51" s="86">
        <v>0.97</v>
      </c>
      <c r="C51" s="88">
        <f t="shared" si="69"/>
        <v>4905.2740000000003</v>
      </c>
      <c r="D51" s="86">
        <v>2340.8651830428967</v>
      </c>
      <c r="E51" s="211">
        <f t="shared" si="70"/>
        <v>6.5681391066181393E-6</v>
      </c>
      <c r="F51" s="153">
        <f t="shared" si="71"/>
        <v>1.3722664834965394E-7</v>
      </c>
      <c r="G51" s="86">
        <f t="shared" si="56"/>
        <v>7.76</v>
      </c>
      <c r="H51" s="96">
        <f t="shared" si="57"/>
        <v>8.73</v>
      </c>
      <c r="I51" s="136">
        <f t="shared" si="58"/>
        <v>0.37500000000000033</v>
      </c>
      <c r="J51" s="168">
        <f t="shared" si="59"/>
        <v>47.023800000000001</v>
      </c>
      <c r="K51" s="170">
        <f t="shared" si="60"/>
        <v>1.2864998282780069E-3</v>
      </c>
      <c r="L51" s="142">
        <f t="shared" si="61"/>
        <v>0.16132296166661145</v>
      </c>
      <c r="M51" s="165">
        <f t="shared" si="72"/>
        <v>2.6152742521266248E-10</v>
      </c>
      <c r="N51" s="187">
        <f>SUM(U71:U86)</f>
        <v>2.5361741963246147E-7</v>
      </c>
      <c r="O51" s="163">
        <f t="shared" si="73"/>
        <v>8.7672458910813705E-6</v>
      </c>
      <c r="P51" s="144">
        <f t="shared" si="74"/>
        <v>28927.832386959522</v>
      </c>
      <c r="R51" s="86">
        <v>2</v>
      </c>
      <c r="S51" s="86">
        <f t="shared" ref="S51:S64" si="95">S50+2</f>
        <v>14</v>
      </c>
      <c r="T51" s="132">
        <f t="shared" si="89"/>
        <v>2475.537810547974</v>
      </c>
      <c r="U51" s="191">
        <f t="shared" si="90"/>
        <v>1.0419851273179807E-9</v>
      </c>
      <c r="V51" s="153">
        <f t="shared" si="91"/>
        <v>6.5681391066181393E-6</v>
      </c>
      <c r="W51" s="88">
        <f t="shared" si="75"/>
        <v>1.3801148544360864E-7</v>
      </c>
      <c r="X51" s="96">
        <f t="shared" si="76"/>
        <v>7.84</v>
      </c>
      <c r="Y51" s="96">
        <f t="shared" si="77"/>
        <v>8.82</v>
      </c>
      <c r="Z51" s="134">
        <f t="shared" si="78"/>
        <v>0.25000000000000022</v>
      </c>
      <c r="AA51" s="148">
        <f t="shared" si="79"/>
        <v>47.023800000000001</v>
      </c>
      <c r="AB51" s="132">
        <f t="shared" si="80"/>
        <v>8.6257178402255491E-4</v>
      </c>
      <c r="AC51" s="136">
        <f t="shared" si="81"/>
        <v>0.16224561223007913</v>
      </c>
      <c r="AD51" s="163">
        <f t="shared" si="92"/>
        <v>2.4784540561741364E-7</v>
      </c>
      <c r="AE51" s="153">
        <f t="shared" si="82"/>
        <v>8.8235987080545875E-6</v>
      </c>
      <c r="AF51" s="144">
        <f t="shared" si="93"/>
        <v>28088.925371364512</v>
      </c>
      <c r="AG51" s="178"/>
      <c r="AH51" s="178"/>
      <c r="AI51" s="212">
        <v>3</v>
      </c>
      <c r="AJ51" s="86">
        <f t="shared" si="94"/>
        <v>16</v>
      </c>
      <c r="AK51" s="132">
        <f t="shared" si="83"/>
        <v>2190.2553872591852</v>
      </c>
      <c r="AL51" s="153">
        <f t="shared" si="84"/>
        <v>8.5958482104912579E-11</v>
      </c>
      <c r="AM51" s="153">
        <f t="shared" si="85"/>
        <v>6.5681391066181393E-6</v>
      </c>
      <c r="AN51" s="88">
        <f t="shared" si="62"/>
        <v>1.3110058097042195E-7</v>
      </c>
      <c r="AO51" s="96">
        <f t="shared" si="63"/>
        <v>6.4</v>
      </c>
      <c r="AP51" s="96">
        <f t="shared" si="64"/>
        <v>7.2</v>
      </c>
      <c r="AQ51" s="134">
        <f t="shared" si="65"/>
        <v>2.4999999999999996</v>
      </c>
      <c r="AR51" s="148">
        <f t="shared" si="66"/>
        <v>47.023800000000001</v>
      </c>
      <c r="AS51" s="132">
        <f t="shared" si="67"/>
        <v>8.1937863106513707E-3</v>
      </c>
      <c r="AT51" s="136">
        <f t="shared" si="68"/>
        <v>0.15412118748592321</v>
      </c>
      <c r="AU51" s="163">
        <f t="shared" si="86"/>
        <v>1.8266124154825016E-8</v>
      </c>
      <c r="AV51" s="153">
        <f t="shared" si="87"/>
        <v>8.2755668530607212E-6</v>
      </c>
      <c r="AW51" s="144">
        <f t="shared" si="88"/>
        <v>2207.2354050368504</v>
      </c>
    </row>
    <row r="52" spans="1:49" x14ac:dyDescent="0.25">
      <c r="A52" s="96">
        <v>10</v>
      </c>
      <c r="B52" s="97">
        <v>0.96</v>
      </c>
      <c r="C52" s="88">
        <f t="shared" si="69"/>
        <v>4852.0320000000002</v>
      </c>
      <c r="D52" s="86">
        <v>2324.2344963135702</v>
      </c>
      <c r="E52" s="211">
        <f t="shared" si="70"/>
        <v>6.5681391066181393E-6</v>
      </c>
      <c r="F52" s="153">
        <f t="shared" si="71"/>
        <v>1.3649499390312011E-7</v>
      </c>
      <c r="G52" s="86">
        <f t="shared" si="56"/>
        <v>7.68</v>
      </c>
      <c r="H52" s="96">
        <f t="shared" si="57"/>
        <v>8.64</v>
      </c>
      <c r="I52" s="136">
        <f t="shared" si="58"/>
        <v>0.50000000000000044</v>
      </c>
      <c r="J52" s="168">
        <f t="shared" si="59"/>
        <v>47.023800000000001</v>
      </c>
      <c r="K52" s="170">
        <f t="shared" si="60"/>
        <v>1.7061874237890033E-3</v>
      </c>
      <c r="L52" s="142">
        <f t="shared" si="61"/>
        <v>0.16046283235753853</v>
      </c>
      <c r="M52" s="165">
        <f t="shared" si="72"/>
        <v>2.4347234536183231E-10</v>
      </c>
      <c r="N52" s="187">
        <f>SUM(U92:U107)</f>
        <v>2.4403220949768899E-7</v>
      </c>
      <c r="O52" s="163">
        <f t="shared" si="73"/>
        <v>8.7143590917520203E-6</v>
      </c>
      <c r="P52" s="144">
        <f t="shared" si="74"/>
        <v>28003.460372508744</v>
      </c>
      <c r="R52" s="86">
        <v>3</v>
      </c>
      <c r="S52" s="86">
        <f t="shared" si="95"/>
        <v>16</v>
      </c>
      <c r="T52" s="132">
        <f t="shared" si="89"/>
        <v>2524.0371589703363</v>
      </c>
      <c r="U52" s="191">
        <f t="shared" si="90"/>
        <v>1.7641602091239172E-9</v>
      </c>
      <c r="V52" s="153">
        <f t="shared" si="91"/>
        <v>6.5681391066181393E-6</v>
      </c>
      <c r="W52" s="88">
        <f t="shared" si="75"/>
        <v>1.3801148544360864E-7</v>
      </c>
      <c r="X52" s="96">
        <f t="shared" si="76"/>
        <v>7.84</v>
      </c>
      <c r="Y52" s="96">
        <f t="shared" si="77"/>
        <v>8.82</v>
      </c>
      <c r="Z52" s="134">
        <f t="shared" si="78"/>
        <v>0.25000000000000022</v>
      </c>
      <c r="AA52" s="148">
        <f t="shared" si="79"/>
        <v>47.023800000000001</v>
      </c>
      <c r="AB52" s="132">
        <f t="shared" si="80"/>
        <v>8.6257178402255491E-4</v>
      </c>
      <c r="AC52" s="136">
        <f t="shared" si="81"/>
        <v>0.16224561223007913</v>
      </c>
      <c r="AD52" s="163">
        <f t="shared" si="92"/>
        <v>2.4784540561741364E-7</v>
      </c>
      <c r="AE52" s="153">
        <f t="shared" si="82"/>
        <v>8.8235987080545875E-6</v>
      </c>
      <c r="AF52" s="144">
        <f t="shared" si="93"/>
        <v>28088.925371364512</v>
      </c>
      <c r="AG52" s="178"/>
      <c r="AH52" s="178"/>
      <c r="AI52" s="212">
        <v>4</v>
      </c>
      <c r="AJ52" s="86">
        <f t="shared" si="94"/>
        <v>18</v>
      </c>
      <c r="AK52" s="132">
        <f t="shared" si="83"/>
        <v>2228.0615038148153</v>
      </c>
      <c r="AL52" s="153">
        <f t="shared" si="84"/>
        <v>1.4538793966639442E-10</v>
      </c>
      <c r="AM52" s="153">
        <f t="shared" si="85"/>
        <v>6.5681391066181393E-6</v>
      </c>
      <c r="AN52" s="88">
        <f t="shared" si="62"/>
        <v>1.3110058097042195E-7</v>
      </c>
      <c r="AO52" s="96">
        <f t="shared" si="63"/>
        <v>6.4</v>
      </c>
      <c r="AP52" s="96">
        <f t="shared" si="64"/>
        <v>7.2</v>
      </c>
      <c r="AQ52" s="134">
        <f t="shared" si="65"/>
        <v>2.4999999999999996</v>
      </c>
      <c r="AR52" s="148">
        <f t="shared" si="66"/>
        <v>47.023800000000001</v>
      </c>
      <c r="AS52" s="132">
        <f t="shared" si="67"/>
        <v>8.1937863106513707E-3</v>
      </c>
      <c r="AT52" s="136">
        <f t="shared" si="68"/>
        <v>0.15412118748592321</v>
      </c>
      <c r="AU52" s="163">
        <f t="shared" si="86"/>
        <v>1.8266124154825016E-8</v>
      </c>
      <c r="AV52" s="153">
        <f t="shared" si="87"/>
        <v>8.2755668530607212E-6</v>
      </c>
      <c r="AW52" s="144">
        <f t="shared" si="88"/>
        <v>2207.2354050368504</v>
      </c>
    </row>
    <row r="53" spans="1:49" x14ac:dyDescent="0.25">
      <c r="A53" s="96">
        <v>10</v>
      </c>
      <c r="B53" s="86">
        <v>0.95</v>
      </c>
      <c r="C53" s="88">
        <f t="shared" si="69"/>
        <v>4798.79</v>
      </c>
      <c r="D53" s="86">
        <v>2307.5237408041567</v>
      </c>
      <c r="E53" s="211">
        <f t="shared" si="70"/>
        <v>6.5681391066181393E-6</v>
      </c>
      <c r="F53" s="153">
        <f t="shared" si="71"/>
        <v>1.358149665030406E-7</v>
      </c>
      <c r="G53" s="86">
        <f t="shared" si="56"/>
        <v>7.6</v>
      </c>
      <c r="H53" s="96">
        <f t="shared" si="57"/>
        <v>8.5499999999999989</v>
      </c>
      <c r="I53" s="136">
        <f t="shared" si="58"/>
        <v>0.62500000000000056</v>
      </c>
      <c r="J53" s="168">
        <f t="shared" si="59"/>
        <v>47.023800000000001</v>
      </c>
      <c r="K53" s="170">
        <f t="shared" si="60"/>
        <v>2.1221088516100114E-3</v>
      </c>
      <c r="L53" s="142">
        <f t="shared" si="61"/>
        <v>0.15966339554614201</v>
      </c>
      <c r="M53" s="165">
        <f t="shared" si="72"/>
        <v>2.1870343733231412E-10</v>
      </c>
      <c r="N53" s="187">
        <f>SUM(U114:U129)</f>
        <v>2.2671422806555451E-7</v>
      </c>
      <c r="O53" s="163">
        <f t="shared" si="73"/>
        <v>8.6648318849341872E-6</v>
      </c>
      <c r="P53" s="144">
        <f t="shared" si="74"/>
        <v>26164.87325735074</v>
      </c>
      <c r="Q53" s="216"/>
      <c r="R53" s="86">
        <v>4</v>
      </c>
      <c r="S53" s="86">
        <f t="shared" si="95"/>
        <v>18</v>
      </c>
      <c r="T53" s="132">
        <f t="shared" si="89"/>
        <v>2567.6047007181432</v>
      </c>
      <c r="U53" s="191">
        <f t="shared" si="90"/>
        <v>2.7835240356700612E-9</v>
      </c>
      <c r="V53" s="153">
        <f t="shared" si="91"/>
        <v>6.5681391066181393E-6</v>
      </c>
      <c r="W53" s="88">
        <f t="shared" si="75"/>
        <v>1.3801148544360864E-7</v>
      </c>
      <c r="X53" s="96">
        <f t="shared" si="76"/>
        <v>7.84</v>
      </c>
      <c r="Y53" s="96">
        <f t="shared" si="77"/>
        <v>8.82</v>
      </c>
      <c r="Z53" s="134">
        <f t="shared" si="78"/>
        <v>0.25000000000000022</v>
      </c>
      <c r="AA53" s="148">
        <f t="shared" si="79"/>
        <v>47.023800000000001</v>
      </c>
      <c r="AB53" s="132">
        <f t="shared" si="80"/>
        <v>8.6257178402255491E-4</v>
      </c>
      <c r="AC53" s="136">
        <f t="shared" si="81"/>
        <v>0.16224561223007913</v>
      </c>
      <c r="AD53" s="163">
        <f t="shared" si="92"/>
        <v>2.4784540561741364E-7</v>
      </c>
      <c r="AE53" s="153">
        <f t="shared" si="82"/>
        <v>8.8235987080545875E-6</v>
      </c>
      <c r="AF53" s="144">
        <f t="shared" si="93"/>
        <v>28088.925371364512</v>
      </c>
      <c r="AG53" s="178"/>
      <c r="AH53" s="178"/>
      <c r="AI53" s="212">
        <v>5</v>
      </c>
      <c r="AJ53" s="86">
        <f t="shared" si="94"/>
        <v>20</v>
      </c>
      <c r="AK53" s="132">
        <f t="shared" si="83"/>
        <v>2262.4328565785081</v>
      </c>
      <c r="AL53" s="153">
        <f t="shared" si="84"/>
        <v>2.3089369861354123E-10</v>
      </c>
      <c r="AM53" s="153">
        <f t="shared" si="85"/>
        <v>6.5681391066181393E-6</v>
      </c>
      <c r="AN53" s="88">
        <f t="shared" si="62"/>
        <v>1.3110058097042195E-7</v>
      </c>
      <c r="AO53" s="96">
        <f t="shared" si="63"/>
        <v>6.4</v>
      </c>
      <c r="AP53" s="96">
        <f t="shared" si="64"/>
        <v>7.2</v>
      </c>
      <c r="AQ53" s="134">
        <f t="shared" si="65"/>
        <v>2.4999999999999996</v>
      </c>
      <c r="AR53" s="148">
        <f t="shared" si="66"/>
        <v>47.023800000000001</v>
      </c>
      <c r="AS53" s="132">
        <f t="shared" si="67"/>
        <v>8.1937863106513707E-3</v>
      </c>
      <c r="AT53" s="136">
        <f t="shared" si="68"/>
        <v>0.15412118748592321</v>
      </c>
      <c r="AU53" s="163">
        <f t="shared" si="86"/>
        <v>1.8266124154825016E-8</v>
      </c>
      <c r="AV53" s="153">
        <f t="shared" si="87"/>
        <v>8.2755668530607212E-6</v>
      </c>
      <c r="AW53" s="144">
        <f t="shared" si="88"/>
        <v>2207.2354050368504</v>
      </c>
    </row>
    <row r="54" spans="1:49" x14ac:dyDescent="0.25">
      <c r="A54" s="96">
        <v>10</v>
      </c>
      <c r="B54" s="86">
        <v>0.9</v>
      </c>
      <c r="C54" s="88">
        <f t="shared" si="69"/>
        <v>4532.5800000000008</v>
      </c>
      <c r="D54" s="86">
        <v>2222.6844526653595</v>
      </c>
      <c r="E54" s="211">
        <f t="shared" si="70"/>
        <v>6.5681391066181393E-6</v>
      </c>
      <c r="F54" s="153">
        <f t="shared" si="71"/>
        <v>1.331435774811735E-7</v>
      </c>
      <c r="G54" s="86">
        <f t="shared" si="56"/>
        <v>7.2</v>
      </c>
      <c r="H54" s="96">
        <f t="shared" si="57"/>
        <v>8.1</v>
      </c>
      <c r="I54" s="136">
        <f t="shared" si="58"/>
        <v>1.2499999999999998</v>
      </c>
      <c r="J54" s="168">
        <f t="shared" si="59"/>
        <v>47.023800000000001</v>
      </c>
      <c r="K54" s="170">
        <f t="shared" si="60"/>
        <v>4.160736796286672E-3</v>
      </c>
      <c r="L54" s="142">
        <f t="shared" si="61"/>
        <v>0.15652292396898015</v>
      </c>
      <c r="M54" s="165">
        <f t="shared" si="72"/>
        <v>9.7745904336222125E-11</v>
      </c>
      <c r="N54" s="187">
        <f>SUM(AL5:AL20)</f>
        <v>1.212213677030306E-7</v>
      </c>
      <c r="O54" s="163">
        <f t="shared" si="73"/>
        <v>8.4644431660726279E-6</v>
      </c>
      <c r="P54" s="144">
        <f t="shared" si="74"/>
        <v>14321.245393780046</v>
      </c>
      <c r="Q54" s="216"/>
      <c r="R54" s="86">
        <v>5</v>
      </c>
      <c r="S54" s="86">
        <f t="shared" si="95"/>
        <v>20</v>
      </c>
      <c r="T54" s="132">
        <f t="shared" si="89"/>
        <v>2607.214041292897</v>
      </c>
      <c r="U54" s="191">
        <f t="shared" si="90"/>
        <v>4.1582784493440492E-9</v>
      </c>
      <c r="V54" s="153">
        <f t="shared" si="91"/>
        <v>6.5681391066181393E-6</v>
      </c>
      <c r="W54" s="88">
        <f t="shared" si="75"/>
        <v>1.3801148544360864E-7</v>
      </c>
      <c r="X54" s="96">
        <f t="shared" si="76"/>
        <v>7.84</v>
      </c>
      <c r="Y54" s="96">
        <f t="shared" si="77"/>
        <v>8.82</v>
      </c>
      <c r="Z54" s="134">
        <f t="shared" si="78"/>
        <v>0.25000000000000022</v>
      </c>
      <c r="AA54" s="148">
        <f t="shared" si="79"/>
        <v>47.023800000000001</v>
      </c>
      <c r="AB54" s="132">
        <f t="shared" si="80"/>
        <v>8.6257178402255491E-4</v>
      </c>
      <c r="AC54" s="136">
        <f t="shared" si="81"/>
        <v>0.16224561223007913</v>
      </c>
      <c r="AD54" s="163">
        <f t="shared" si="92"/>
        <v>2.4784540561741364E-7</v>
      </c>
      <c r="AE54" s="153">
        <f t="shared" si="82"/>
        <v>8.8235987080545875E-6</v>
      </c>
      <c r="AF54" s="144">
        <f t="shared" si="93"/>
        <v>28088.925371364512</v>
      </c>
      <c r="AI54" s="86">
        <v>6</v>
      </c>
      <c r="AJ54" s="86">
        <f t="shared" si="94"/>
        <v>22</v>
      </c>
      <c r="AK54" s="132">
        <f t="shared" si="83"/>
        <v>2293.9820803924076</v>
      </c>
      <c r="AL54" s="153">
        <f t="shared" si="84"/>
        <v>3.4874110494765109E-10</v>
      </c>
      <c r="AM54" s="153">
        <f t="shared" si="85"/>
        <v>6.5681391066181393E-6</v>
      </c>
      <c r="AN54" s="88">
        <f t="shared" si="62"/>
        <v>1.3110058097042195E-7</v>
      </c>
      <c r="AO54" s="96">
        <f t="shared" si="63"/>
        <v>6.4</v>
      </c>
      <c r="AP54" s="96">
        <f t="shared" si="64"/>
        <v>7.2</v>
      </c>
      <c r="AQ54" s="134">
        <f t="shared" si="65"/>
        <v>2.4999999999999996</v>
      </c>
      <c r="AR54" s="148">
        <f t="shared" si="66"/>
        <v>47.023800000000001</v>
      </c>
      <c r="AS54" s="132">
        <f t="shared" si="67"/>
        <v>8.1937863106513707E-3</v>
      </c>
      <c r="AT54" s="136">
        <f t="shared" si="68"/>
        <v>0.15412118748592321</v>
      </c>
      <c r="AU54" s="163">
        <f t="shared" si="86"/>
        <v>1.8266124154825016E-8</v>
      </c>
      <c r="AV54" s="153">
        <f t="shared" si="87"/>
        <v>8.2755668530607212E-6</v>
      </c>
      <c r="AW54" s="144">
        <f t="shared" si="88"/>
        <v>2207.2354050368504</v>
      </c>
    </row>
    <row r="55" spans="1:49" x14ac:dyDescent="0.25">
      <c r="A55" s="96">
        <v>10</v>
      </c>
      <c r="B55" s="97">
        <v>0.85</v>
      </c>
      <c r="C55" s="88">
        <f t="shared" si="69"/>
        <v>4266.37</v>
      </c>
      <c r="D55" s="86">
        <v>2135.4957595947385</v>
      </c>
      <c r="E55" s="211">
        <f t="shared" si="70"/>
        <v>6.5681391066181393E-6</v>
      </c>
      <c r="F55" s="153">
        <f t="shared" si="71"/>
        <v>1.3159718962638479E-7</v>
      </c>
      <c r="G55" s="86">
        <f t="shared" si="56"/>
        <v>6.8</v>
      </c>
      <c r="H55" s="96">
        <f t="shared" si="57"/>
        <v>7.6499999999999995</v>
      </c>
      <c r="I55" s="136">
        <f t="shared" si="58"/>
        <v>1.8750000000000002</v>
      </c>
      <c r="J55" s="168">
        <f t="shared" si="59"/>
        <v>47.023800000000001</v>
      </c>
      <c r="K55" s="170">
        <f t="shared" si="60"/>
        <v>6.1686182637367875E-3</v>
      </c>
      <c r="L55" s="142">
        <f t="shared" si="61"/>
        <v>0.15470499813882985</v>
      </c>
      <c r="M55" s="165">
        <f t="shared" si="72"/>
        <v>3.383472866745604E-11</v>
      </c>
      <c r="N55" s="187">
        <f>SUM(AL26:AL41)</f>
        <v>5.1251050348096392E-8</v>
      </c>
      <c r="O55" s="163">
        <f t="shared" si="73"/>
        <v>8.3365240462039239E-6</v>
      </c>
      <c r="P55" s="144">
        <f t="shared" si="74"/>
        <v>6147.7721486851342</v>
      </c>
      <c r="Q55" s="216"/>
      <c r="R55" s="86">
        <v>6</v>
      </c>
      <c r="S55" s="86">
        <f t="shared" si="95"/>
        <v>22</v>
      </c>
      <c r="T55" s="132">
        <f t="shared" si="89"/>
        <v>2643.5711774087008</v>
      </c>
      <c r="U55" s="191">
        <f t="shared" si="90"/>
        <v>5.9473213423923174E-9</v>
      </c>
      <c r="V55" s="153">
        <f t="shared" si="91"/>
        <v>6.5681391066181393E-6</v>
      </c>
      <c r="W55" s="88">
        <f t="shared" si="75"/>
        <v>1.3801148544360864E-7</v>
      </c>
      <c r="X55" s="96">
        <f t="shared" si="76"/>
        <v>7.84</v>
      </c>
      <c r="Y55" s="96">
        <f t="shared" si="77"/>
        <v>8.82</v>
      </c>
      <c r="Z55" s="134">
        <f t="shared" si="78"/>
        <v>0.25000000000000022</v>
      </c>
      <c r="AA55" s="148">
        <f t="shared" si="79"/>
        <v>47.023800000000001</v>
      </c>
      <c r="AB55" s="132">
        <f t="shared" si="80"/>
        <v>8.6257178402255491E-4</v>
      </c>
      <c r="AC55" s="136">
        <f t="shared" si="81"/>
        <v>0.16224561223007913</v>
      </c>
      <c r="AD55" s="163">
        <f t="shared" si="92"/>
        <v>2.4784540561741364E-7</v>
      </c>
      <c r="AE55" s="153">
        <f t="shared" si="82"/>
        <v>8.8235987080545875E-6</v>
      </c>
      <c r="AF55" s="144">
        <f t="shared" si="93"/>
        <v>28088.925371364512</v>
      </c>
      <c r="AI55" s="86">
        <v>7</v>
      </c>
      <c r="AJ55" s="86">
        <f t="shared" si="94"/>
        <v>24</v>
      </c>
      <c r="AK55" s="132">
        <f t="shared" si="83"/>
        <v>2323.1682658266059</v>
      </c>
      <c r="AL55" s="153">
        <f t="shared" si="84"/>
        <v>5.0564872112659776E-10</v>
      </c>
      <c r="AM55" s="153">
        <f t="shared" si="85"/>
        <v>6.5681391066181393E-6</v>
      </c>
      <c r="AN55" s="88">
        <f t="shared" si="62"/>
        <v>1.3110058097042195E-7</v>
      </c>
      <c r="AO55" s="96">
        <f t="shared" si="63"/>
        <v>6.4</v>
      </c>
      <c r="AP55" s="96">
        <f t="shared" si="64"/>
        <v>7.2</v>
      </c>
      <c r="AQ55" s="134">
        <f t="shared" si="65"/>
        <v>2.4999999999999996</v>
      </c>
      <c r="AR55" s="148">
        <f t="shared" si="66"/>
        <v>47.023800000000001</v>
      </c>
      <c r="AS55" s="132">
        <f t="shared" si="67"/>
        <v>8.1937863106513707E-3</v>
      </c>
      <c r="AT55" s="136">
        <f t="shared" si="68"/>
        <v>0.15412118748592321</v>
      </c>
      <c r="AU55" s="163">
        <f t="shared" si="86"/>
        <v>1.8266124154825016E-8</v>
      </c>
      <c r="AV55" s="153">
        <f t="shared" si="87"/>
        <v>8.2755668530607212E-6</v>
      </c>
      <c r="AW55" s="144">
        <f t="shared" si="88"/>
        <v>2207.2354050368504</v>
      </c>
    </row>
    <row r="56" spans="1:49" x14ac:dyDescent="0.25">
      <c r="A56" s="96">
        <v>10</v>
      </c>
      <c r="B56" s="86">
        <v>0.8</v>
      </c>
      <c r="C56" s="88">
        <f t="shared" si="69"/>
        <v>4000.1600000000008</v>
      </c>
      <c r="D56" s="86">
        <v>2045.6734007270011</v>
      </c>
      <c r="E56" s="211">
        <f t="shared" si="70"/>
        <v>6.5681391066181393E-6</v>
      </c>
      <c r="F56" s="153">
        <f t="shared" si="71"/>
        <v>1.3110058097042195E-7</v>
      </c>
      <c r="G56" s="86">
        <f t="shared" si="56"/>
        <v>6.4</v>
      </c>
      <c r="H56" s="96">
        <f t="shared" si="57"/>
        <v>7.2</v>
      </c>
      <c r="I56" s="136">
        <f t="shared" si="58"/>
        <v>2.4999999999999996</v>
      </c>
      <c r="J56" s="168">
        <f t="shared" si="59"/>
        <v>47.023800000000001</v>
      </c>
      <c r="K56" s="170">
        <f t="shared" si="60"/>
        <v>8.1937863106513707E-3</v>
      </c>
      <c r="L56" s="142">
        <f t="shared" si="61"/>
        <v>0.15412118748592321</v>
      </c>
      <c r="M56" s="165">
        <f t="shared" si="72"/>
        <v>9.6296244859535779E-12</v>
      </c>
      <c r="N56" s="187">
        <f>SUM(AL48:AL63)</f>
        <v>1.8266124154825016E-8</v>
      </c>
      <c r="O56" s="163">
        <f t="shared" si="73"/>
        <v>8.2755668530607212E-6</v>
      </c>
      <c r="P56" s="144">
        <f t="shared" si="74"/>
        <v>2207.2354050368504</v>
      </c>
      <c r="Q56" s="216"/>
      <c r="R56" s="86">
        <v>7</v>
      </c>
      <c r="S56" s="86">
        <f t="shared" si="95"/>
        <v>24</v>
      </c>
      <c r="T56" s="132">
        <f t="shared" si="89"/>
        <v>2677.2051622823551</v>
      </c>
      <c r="U56" s="191">
        <f t="shared" si="90"/>
        <v>8.2097629131861301E-9</v>
      </c>
      <c r="V56" s="153">
        <f t="shared" si="91"/>
        <v>6.5681391066181393E-6</v>
      </c>
      <c r="W56" s="88">
        <f t="shared" si="75"/>
        <v>1.3801148544360864E-7</v>
      </c>
      <c r="X56" s="96">
        <f t="shared" si="76"/>
        <v>7.84</v>
      </c>
      <c r="Y56" s="96">
        <f t="shared" si="77"/>
        <v>8.82</v>
      </c>
      <c r="Z56" s="134">
        <f t="shared" si="78"/>
        <v>0.25000000000000022</v>
      </c>
      <c r="AA56" s="148">
        <f t="shared" si="79"/>
        <v>47.023800000000001</v>
      </c>
      <c r="AB56" s="132">
        <f t="shared" si="80"/>
        <v>8.6257178402255491E-4</v>
      </c>
      <c r="AC56" s="136">
        <f t="shared" si="81"/>
        <v>0.16224561223007913</v>
      </c>
      <c r="AD56" s="163">
        <f t="shared" si="92"/>
        <v>2.4784540561741364E-7</v>
      </c>
      <c r="AE56" s="153">
        <f t="shared" si="82"/>
        <v>8.8235987080545875E-6</v>
      </c>
      <c r="AF56" s="144">
        <f t="shared" si="93"/>
        <v>28088.925371364512</v>
      </c>
      <c r="AI56" s="86">
        <v>8</v>
      </c>
      <c r="AJ56" s="86">
        <f t="shared" si="94"/>
        <v>26</v>
      </c>
      <c r="AK56" s="132">
        <f t="shared" si="83"/>
        <v>2350.3447579003159</v>
      </c>
      <c r="AL56" s="153">
        <f t="shared" si="84"/>
        <v>7.0873200167392633E-10</v>
      </c>
      <c r="AM56" s="153">
        <f t="shared" si="85"/>
        <v>6.5681391066181393E-6</v>
      </c>
      <c r="AN56" s="88">
        <f t="shared" si="62"/>
        <v>1.3110058097042195E-7</v>
      </c>
      <c r="AO56" s="96">
        <f t="shared" si="63"/>
        <v>6.4</v>
      </c>
      <c r="AP56" s="96">
        <f t="shared" si="64"/>
        <v>7.2</v>
      </c>
      <c r="AQ56" s="134">
        <f t="shared" si="65"/>
        <v>2.4999999999999996</v>
      </c>
      <c r="AR56" s="148">
        <f t="shared" si="66"/>
        <v>47.023800000000001</v>
      </c>
      <c r="AS56" s="132">
        <f t="shared" si="67"/>
        <v>8.1937863106513707E-3</v>
      </c>
      <c r="AT56" s="136">
        <f t="shared" si="68"/>
        <v>0.15412118748592321</v>
      </c>
      <c r="AU56" s="163">
        <f t="shared" si="86"/>
        <v>1.8266124154825016E-8</v>
      </c>
      <c r="AV56" s="153">
        <f t="shared" si="87"/>
        <v>8.2755668530607212E-6</v>
      </c>
      <c r="AW56" s="144">
        <f t="shared" si="88"/>
        <v>2207.2354050368504</v>
      </c>
    </row>
    <row r="57" spans="1:49" x14ac:dyDescent="0.25">
      <c r="A57" s="96">
        <v>10</v>
      </c>
      <c r="B57" s="97">
        <v>0.75</v>
      </c>
      <c r="C57" s="88">
        <f t="shared" si="69"/>
        <v>3733.9500000000003</v>
      </c>
      <c r="D57" s="86">
        <v>1952.9587154667636</v>
      </c>
      <c r="E57" s="211">
        <f t="shared" si="70"/>
        <v>6.5681391066181393E-6</v>
      </c>
      <c r="F57" s="153">
        <f t="shared" si="71"/>
        <v>1.3163015588650725E-7</v>
      </c>
      <c r="G57" s="86">
        <f t="shared" si="56"/>
        <v>6</v>
      </c>
      <c r="H57" s="96">
        <f t="shared" si="57"/>
        <v>6.75</v>
      </c>
      <c r="I57" s="136">
        <f t="shared" si="58"/>
        <v>3.125</v>
      </c>
      <c r="J57" s="168">
        <f t="shared" si="59"/>
        <v>47.023800000000001</v>
      </c>
      <c r="K57" s="170">
        <f t="shared" si="60"/>
        <v>1.028360592863338E-2</v>
      </c>
      <c r="L57" s="142">
        <f t="shared" si="61"/>
        <v>0.1547437531093985</v>
      </c>
      <c r="M57" s="165">
        <f t="shared" si="72"/>
        <v>2.2437961159591925E-12</v>
      </c>
      <c r="N57" s="187">
        <f>SUM(AL70:AL85)</f>
        <v>5.4934934079127072E-9</v>
      </c>
      <c r="O57" s="163">
        <f t="shared" si="73"/>
        <v>8.279378849074243E-6</v>
      </c>
      <c r="P57" s="144">
        <f t="shared" si="74"/>
        <v>663.51516316069535</v>
      </c>
      <c r="Q57" s="216"/>
      <c r="R57" s="86">
        <v>8</v>
      </c>
      <c r="S57" s="86">
        <f t="shared" si="95"/>
        <v>26</v>
      </c>
      <c r="T57" s="132">
        <f t="shared" si="89"/>
        <v>2708.5231885926769</v>
      </c>
      <c r="U57" s="191">
        <f t="shared" si="90"/>
        <v>1.1004562981307038E-8</v>
      </c>
      <c r="V57" s="153">
        <f t="shared" si="91"/>
        <v>6.5681391066181393E-6</v>
      </c>
      <c r="W57" s="88">
        <f t="shared" si="75"/>
        <v>1.3801148544360864E-7</v>
      </c>
      <c r="X57" s="96">
        <f t="shared" si="76"/>
        <v>7.84</v>
      </c>
      <c r="Y57" s="96">
        <f t="shared" si="77"/>
        <v>8.82</v>
      </c>
      <c r="Z57" s="134">
        <f t="shared" si="78"/>
        <v>0.25000000000000022</v>
      </c>
      <c r="AA57" s="148">
        <f t="shared" si="79"/>
        <v>47.023800000000001</v>
      </c>
      <c r="AB57" s="132">
        <f t="shared" si="80"/>
        <v>8.6257178402255491E-4</v>
      </c>
      <c r="AC57" s="136">
        <f t="shared" si="81"/>
        <v>0.16224561223007913</v>
      </c>
      <c r="AD57" s="163">
        <f t="shared" si="92"/>
        <v>2.4784540561741364E-7</v>
      </c>
      <c r="AE57" s="153">
        <f t="shared" si="82"/>
        <v>8.8235987080545875E-6</v>
      </c>
      <c r="AF57" s="144">
        <f t="shared" si="93"/>
        <v>28088.925371364512</v>
      </c>
      <c r="AI57" s="86">
        <v>9</v>
      </c>
      <c r="AJ57" s="86">
        <f t="shared" si="94"/>
        <v>28</v>
      </c>
      <c r="AK57" s="132">
        <f t="shared" si="83"/>
        <v>2375.7896059591567</v>
      </c>
      <c r="AL57" s="153">
        <f t="shared" si="84"/>
        <v>9.6545292893297675E-10</v>
      </c>
      <c r="AM57" s="153">
        <f t="shared" si="85"/>
        <v>6.5681391066181393E-6</v>
      </c>
      <c r="AN57" s="88">
        <f t="shared" si="62"/>
        <v>1.3110058097042195E-7</v>
      </c>
      <c r="AO57" s="96">
        <f t="shared" si="63"/>
        <v>6.4</v>
      </c>
      <c r="AP57" s="96">
        <f t="shared" si="64"/>
        <v>7.2</v>
      </c>
      <c r="AQ57" s="134">
        <f t="shared" si="65"/>
        <v>2.4999999999999996</v>
      </c>
      <c r="AR57" s="148">
        <f t="shared" si="66"/>
        <v>47.023800000000001</v>
      </c>
      <c r="AS57" s="132">
        <f t="shared" si="67"/>
        <v>8.1937863106513707E-3</v>
      </c>
      <c r="AT57" s="136">
        <f t="shared" si="68"/>
        <v>0.15412118748592321</v>
      </c>
      <c r="AU57" s="163">
        <f t="shared" si="86"/>
        <v>1.8266124154825016E-8</v>
      </c>
      <c r="AV57" s="153">
        <f t="shared" si="87"/>
        <v>8.2755668530607212E-6</v>
      </c>
      <c r="AW57" s="144">
        <f t="shared" si="88"/>
        <v>2207.2354050368504</v>
      </c>
    </row>
    <row r="58" spans="1:49" x14ac:dyDescent="0.25">
      <c r="A58" s="96">
        <v>10</v>
      </c>
      <c r="B58" s="86">
        <v>0.7</v>
      </c>
      <c r="C58" s="88">
        <f t="shared" si="69"/>
        <v>3467.74</v>
      </c>
      <c r="D58" s="86">
        <v>1857.1459153237527</v>
      </c>
      <c r="E58" s="211">
        <f t="shared" si="70"/>
        <v>6.5681391066181393E-6</v>
      </c>
      <c r="F58" s="153">
        <f t="shared" si="71"/>
        <v>1.3321108594991789E-7</v>
      </c>
      <c r="G58" s="86">
        <f t="shared" si="56"/>
        <v>5.6</v>
      </c>
      <c r="H58" s="96">
        <f t="shared" si="57"/>
        <v>6.3</v>
      </c>
      <c r="I58" s="136">
        <f t="shared" si="58"/>
        <v>3.7500000000000004</v>
      </c>
      <c r="J58" s="168">
        <f t="shared" si="59"/>
        <v>47.023800000000001</v>
      </c>
      <c r="K58" s="170">
        <f t="shared" si="60"/>
        <v>1.2488539307804806E-2</v>
      </c>
      <c r="L58" s="142">
        <f t="shared" si="61"/>
        <v>0.15660228658729375</v>
      </c>
      <c r="M58" s="165">
        <f t="shared" si="72"/>
        <v>4.1693882649046407E-13</v>
      </c>
      <c r="N58" s="187">
        <f>SUM(AL91:AL106)</f>
        <v>1.3669992014644977E-9</v>
      </c>
      <c r="O58" s="163">
        <f t="shared" si="73"/>
        <v>8.3488449586079632E-6</v>
      </c>
      <c r="P58" s="144">
        <f t="shared" si="74"/>
        <v>163.73512842097657</v>
      </c>
      <c r="Q58" s="216"/>
      <c r="R58" s="86">
        <v>9</v>
      </c>
      <c r="S58" s="86">
        <f t="shared" si="95"/>
        <v>28</v>
      </c>
      <c r="T58" s="132">
        <f t="shared" si="89"/>
        <v>2737.8456787362743</v>
      </c>
      <c r="U58" s="191">
        <f t="shared" si="90"/>
        <v>1.4390258683430806E-8</v>
      </c>
      <c r="V58" s="153">
        <f t="shared" si="91"/>
        <v>6.5681391066181393E-6</v>
      </c>
      <c r="W58" s="88">
        <f t="shared" si="75"/>
        <v>1.3801148544360864E-7</v>
      </c>
      <c r="X58" s="96">
        <f t="shared" si="76"/>
        <v>7.84</v>
      </c>
      <c r="Y58" s="96">
        <f t="shared" si="77"/>
        <v>8.82</v>
      </c>
      <c r="Z58" s="134">
        <f t="shared" si="78"/>
        <v>0.25000000000000022</v>
      </c>
      <c r="AA58" s="148">
        <f t="shared" si="79"/>
        <v>47.023800000000001</v>
      </c>
      <c r="AB58" s="132">
        <f t="shared" si="80"/>
        <v>8.6257178402255491E-4</v>
      </c>
      <c r="AC58" s="136">
        <f t="shared" si="81"/>
        <v>0.16224561223007913</v>
      </c>
      <c r="AD58" s="163">
        <f t="shared" si="92"/>
        <v>2.4784540561741364E-7</v>
      </c>
      <c r="AE58" s="153">
        <f t="shared" si="82"/>
        <v>8.8235987080545875E-6</v>
      </c>
      <c r="AF58" s="144">
        <f t="shared" si="93"/>
        <v>28088.925371364512</v>
      </c>
      <c r="AI58" s="86">
        <v>10</v>
      </c>
      <c r="AJ58" s="86">
        <f t="shared" si="94"/>
        <v>30</v>
      </c>
      <c r="AK58" s="132">
        <f t="shared" si="83"/>
        <v>2399.7257336021576</v>
      </c>
      <c r="AL58" s="153">
        <f t="shared" si="84"/>
        <v>1.2835751265171249E-9</v>
      </c>
      <c r="AM58" s="153">
        <f t="shared" si="85"/>
        <v>6.5681391066181393E-6</v>
      </c>
      <c r="AN58" s="88">
        <f t="shared" si="62"/>
        <v>1.3110058097042195E-7</v>
      </c>
      <c r="AO58" s="96">
        <f t="shared" si="63"/>
        <v>6.4</v>
      </c>
      <c r="AP58" s="96">
        <f t="shared" si="64"/>
        <v>7.2</v>
      </c>
      <c r="AQ58" s="134">
        <f t="shared" si="65"/>
        <v>2.4999999999999996</v>
      </c>
      <c r="AR58" s="148">
        <f t="shared" si="66"/>
        <v>47.023800000000001</v>
      </c>
      <c r="AS58" s="132">
        <f t="shared" si="67"/>
        <v>8.1937863106513707E-3</v>
      </c>
      <c r="AT58" s="136">
        <f t="shared" si="68"/>
        <v>0.15412118748592321</v>
      </c>
      <c r="AU58" s="163">
        <f t="shared" si="86"/>
        <v>1.8266124154825016E-8</v>
      </c>
      <c r="AV58" s="153">
        <f t="shared" si="87"/>
        <v>8.2755668530607212E-6</v>
      </c>
      <c r="AW58" s="144">
        <f t="shared" si="88"/>
        <v>2207.2354050368504</v>
      </c>
    </row>
    <row r="59" spans="1:49" x14ac:dyDescent="0.25">
      <c r="A59" s="96">
        <v>10</v>
      </c>
      <c r="B59" s="86">
        <v>0.65</v>
      </c>
      <c r="C59" s="88">
        <f t="shared" si="69"/>
        <v>3201.5300000000007</v>
      </c>
      <c r="D59" s="86">
        <v>1758.1155324548247</v>
      </c>
      <c r="E59" s="211">
        <f t="shared" si="70"/>
        <v>6.5681391066181393E-6</v>
      </c>
      <c r="F59" s="153">
        <f t="shared" si="71"/>
        <v>1.3592036176271897E-7</v>
      </c>
      <c r="G59" s="86">
        <f t="shared" si="56"/>
        <v>5.2</v>
      </c>
      <c r="H59" s="96">
        <f t="shared" si="57"/>
        <v>5.8500000000000005</v>
      </c>
      <c r="I59" s="136">
        <f t="shared" si="58"/>
        <v>4.375</v>
      </c>
      <c r="J59" s="168">
        <f t="shared" si="59"/>
        <v>47.023800000000001</v>
      </c>
      <c r="K59" s="170">
        <f t="shared" si="60"/>
        <v>1.486628956779739E-2</v>
      </c>
      <c r="L59" s="142">
        <f t="shared" si="61"/>
        <v>0.15978729768644362</v>
      </c>
      <c r="M59" s="165">
        <f t="shared" si="72"/>
        <v>5.9305824002322983E-14</v>
      </c>
      <c r="N59" s="187">
        <f>SUM(AL113:AL128)</f>
        <v>2.7241245707748222E-10</v>
      </c>
      <c r="O59" s="163">
        <f t="shared" si="73"/>
        <v>8.4880634876476858E-6</v>
      </c>
      <c r="P59" s="144">
        <f t="shared" si="74"/>
        <v>32.093593252914793</v>
      </c>
      <c r="R59" s="86">
        <v>10</v>
      </c>
      <c r="S59" s="86">
        <f t="shared" si="95"/>
        <v>30</v>
      </c>
      <c r="T59" s="132">
        <f t="shared" si="89"/>
        <v>2765.429528530336</v>
      </c>
      <c r="U59" s="191">
        <f t="shared" si="90"/>
        <v>1.8424760315942797E-8</v>
      </c>
      <c r="V59" s="153">
        <f t="shared" si="91"/>
        <v>6.5681391066181393E-6</v>
      </c>
      <c r="W59" s="88">
        <f t="shared" si="75"/>
        <v>1.3801148544360864E-7</v>
      </c>
      <c r="X59" s="96">
        <f t="shared" si="76"/>
        <v>7.84</v>
      </c>
      <c r="Y59" s="96">
        <f t="shared" si="77"/>
        <v>8.82</v>
      </c>
      <c r="Z59" s="134">
        <f t="shared" si="78"/>
        <v>0.25000000000000022</v>
      </c>
      <c r="AA59" s="148">
        <f t="shared" si="79"/>
        <v>47.023800000000001</v>
      </c>
      <c r="AB59" s="132">
        <f t="shared" si="80"/>
        <v>8.6257178402255491E-4</v>
      </c>
      <c r="AC59" s="136">
        <f t="shared" si="81"/>
        <v>0.16224561223007913</v>
      </c>
      <c r="AD59" s="163">
        <f t="shared" si="92"/>
        <v>2.4784540561741364E-7</v>
      </c>
      <c r="AE59" s="153">
        <f t="shared" si="82"/>
        <v>8.8235987080545875E-6</v>
      </c>
      <c r="AF59" s="144">
        <f t="shared" si="93"/>
        <v>28088.925371364512</v>
      </c>
      <c r="AI59" s="86">
        <v>11</v>
      </c>
      <c r="AJ59" s="86">
        <f t="shared" si="94"/>
        <v>32</v>
      </c>
      <c r="AK59" s="132">
        <f t="shared" si="83"/>
        <v>2422.3347434992434</v>
      </c>
      <c r="AL59" s="153">
        <f t="shared" si="84"/>
        <v>1.6711239166591263E-9</v>
      </c>
      <c r="AM59" s="153">
        <f t="shared" si="85"/>
        <v>6.5681391066181393E-6</v>
      </c>
      <c r="AN59" s="88">
        <f t="shared" si="62"/>
        <v>1.3110058097042195E-7</v>
      </c>
      <c r="AO59" s="96">
        <f t="shared" si="63"/>
        <v>6.4</v>
      </c>
      <c r="AP59" s="96">
        <f t="shared" si="64"/>
        <v>7.2</v>
      </c>
      <c r="AQ59" s="134">
        <f t="shared" si="65"/>
        <v>2.4999999999999996</v>
      </c>
      <c r="AR59" s="148">
        <f t="shared" si="66"/>
        <v>47.023800000000001</v>
      </c>
      <c r="AS59" s="132">
        <f t="shared" si="67"/>
        <v>8.1937863106513707E-3</v>
      </c>
      <c r="AT59" s="136">
        <f t="shared" si="68"/>
        <v>0.15412118748592321</v>
      </c>
      <c r="AU59" s="163">
        <f t="shared" si="86"/>
        <v>1.8266124154825016E-8</v>
      </c>
      <c r="AV59" s="153">
        <f t="shared" si="87"/>
        <v>8.2755668530607212E-6</v>
      </c>
      <c r="AW59" s="144">
        <f t="shared" si="88"/>
        <v>2207.2354050368504</v>
      </c>
    </row>
    <row r="60" spans="1:49" ht="15.75" thickBot="1" x14ac:dyDescent="0.3">
      <c r="A60" s="96">
        <v>10</v>
      </c>
      <c r="B60" s="259">
        <v>0.6</v>
      </c>
      <c r="C60" s="247">
        <f t="shared" si="69"/>
        <v>2935.32</v>
      </c>
      <c r="D60" s="215">
        <v>1655.8692558793909</v>
      </c>
      <c r="E60" s="211">
        <f t="shared" si="70"/>
        <v>6.5681391066181393E-6</v>
      </c>
      <c r="F60" s="153">
        <f t="shared" si="71"/>
        <v>1.3989646659463557E-7</v>
      </c>
      <c r="G60" s="249">
        <f t="shared" si="56"/>
        <v>4.8</v>
      </c>
      <c r="H60" s="99">
        <f t="shared" si="57"/>
        <v>5.3999999999999995</v>
      </c>
      <c r="I60" s="125">
        <f t="shared" si="58"/>
        <v>5</v>
      </c>
      <c r="J60" s="169">
        <f t="shared" si="59"/>
        <v>47.023800000000001</v>
      </c>
      <c r="K60" s="170">
        <f t="shared" si="60"/>
        <v>1.7487058324329448E-2</v>
      </c>
      <c r="L60" s="142">
        <f t="shared" si="61"/>
        <v>0.16446158664632063</v>
      </c>
      <c r="M60" s="165">
        <f t="shared" si="72"/>
        <v>6.1115523026862687E-15</v>
      </c>
      <c r="N60" s="187">
        <f>SUM(AL135:AL150)</f>
        <v>4.1576261452221295E-11</v>
      </c>
      <c r="O60" s="163">
        <f t="shared" si="73"/>
        <v>8.7048897580912845E-6</v>
      </c>
      <c r="P60" s="144">
        <f t="shared" si="74"/>
        <v>4.7761962078354561</v>
      </c>
      <c r="R60" s="86">
        <v>11</v>
      </c>
      <c r="S60" s="86">
        <f t="shared" si="95"/>
        <v>32</v>
      </c>
      <c r="T60" s="132">
        <f t="shared" si="89"/>
        <v>2791.4840158014222</v>
      </c>
      <c r="U60" s="191">
        <f t="shared" si="90"/>
        <v>2.3165199015779387E-8</v>
      </c>
      <c r="V60" s="153">
        <f t="shared" si="91"/>
        <v>6.5681391066181393E-6</v>
      </c>
      <c r="W60" s="88">
        <f t="shared" si="75"/>
        <v>1.3801148544360864E-7</v>
      </c>
      <c r="X60" s="96">
        <f t="shared" si="76"/>
        <v>7.84</v>
      </c>
      <c r="Y60" s="96">
        <f t="shared" si="77"/>
        <v>8.82</v>
      </c>
      <c r="Z60" s="134">
        <f t="shared" si="78"/>
        <v>0.25000000000000022</v>
      </c>
      <c r="AA60" s="148">
        <f t="shared" si="79"/>
        <v>47.023800000000001</v>
      </c>
      <c r="AB60" s="132">
        <f t="shared" si="80"/>
        <v>8.6257178402255491E-4</v>
      </c>
      <c r="AC60" s="136">
        <f t="shared" si="81"/>
        <v>0.16224561223007913</v>
      </c>
      <c r="AD60" s="163">
        <f t="shared" si="92"/>
        <v>2.4784540561741364E-7</v>
      </c>
      <c r="AE60" s="153">
        <f t="shared" si="82"/>
        <v>8.8235987080545875E-6</v>
      </c>
      <c r="AF60" s="144">
        <f t="shared" si="93"/>
        <v>28088.925371364512</v>
      </c>
      <c r="AI60" s="86">
        <v>12</v>
      </c>
      <c r="AJ60" s="86">
        <f t="shared" si="94"/>
        <v>34</v>
      </c>
      <c r="AK60" s="132">
        <f t="shared" si="83"/>
        <v>2443.7666324648822</v>
      </c>
      <c r="AL60" s="153">
        <f t="shared" si="84"/>
        <v>2.1363507941979068E-9</v>
      </c>
      <c r="AM60" s="153">
        <f t="shared" si="85"/>
        <v>6.5681391066181393E-6</v>
      </c>
      <c r="AN60" s="88">
        <f t="shared" si="62"/>
        <v>1.3110058097042195E-7</v>
      </c>
      <c r="AO60" s="96">
        <f t="shared" si="63"/>
        <v>6.4</v>
      </c>
      <c r="AP60" s="96">
        <f t="shared" si="64"/>
        <v>7.2</v>
      </c>
      <c r="AQ60" s="134">
        <f t="shared" si="65"/>
        <v>2.4999999999999996</v>
      </c>
      <c r="AR60" s="148">
        <f t="shared" si="66"/>
        <v>47.023800000000001</v>
      </c>
      <c r="AS60" s="132">
        <f t="shared" si="67"/>
        <v>8.1937863106513707E-3</v>
      </c>
      <c r="AT60" s="136">
        <f t="shared" si="68"/>
        <v>0.15412118748592321</v>
      </c>
      <c r="AU60" s="163">
        <f t="shared" si="86"/>
        <v>1.8266124154825016E-8</v>
      </c>
      <c r="AV60" s="153">
        <f t="shared" si="87"/>
        <v>8.2755668530607212E-6</v>
      </c>
      <c r="AW60" s="144">
        <f t="shared" si="88"/>
        <v>2207.2354050368504</v>
      </c>
    </row>
    <row r="61" spans="1:49" x14ac:dyDescent="0.25">
      <c r="R61" s="86">
        <v>12</v>
      </c>
      <c r="S61" s="86">
        <f t="shared" si="95"/>
        <v>34</v>
      </c>
      <c r="T61" s="132">
        <f t="shared" si="89"/>
        <v>2816.1819959780128</v>
      </c>
      <c r="U61" s="191">
        <f t="shared" si="90"/>
        <v>2.8667814178370778E-8</v>
      </c>
      <c r="V61" s="153">
        <f t="shared" si="91"/>
        <v>6.5681391066181393E-6</v>
      </c>
      <c r="W61" s="88">
        <f t="shared" si="75"/>
        <v>1.3801148544360864E-7</v>
      </c>
      <c r="X61" s="96">
        <f t="shared" si="76"/>
        <v>7.84</v>
      </c>
      <c r="Y61" s="96">
        <f t="shared" si="77"/>
        <v>8.82</v>
      </c>
      <c r="Z61" s="134">
        <f t="shared" si="78"/>
        <v>0.25000000000000022</v>
      </c>
      <c r="AA61" s="148">
        <f t="shared" si="79"/>
        <v>47.023800000000001</v>
      </c>
      <c r="AB61" s="132">
        <f t="shared" si="80"/>
        <v>8.6257178402255491E-4</v>
      </c>
      <c r="AC61" s="136">
        <f t="shared" si="81"/>
        <v>0.16224561223007913</v>
      </c>
      <c r="AD61" s="163">
        <f t="shared" si="92"/>
        <v>2.4784540561741364E-7</v>
      </c>
      <c r="AE61" s="153">
        <f t="shared" si="82"/>
        <v>8.8235987080545875E-6</v>
      </c>
      <c r="AF61" s="144">
        <f t="shared" si="93"/>
        <v>28088.925371364512</v>
      </c>
      <c r="AI61" s="86">
        <v>13</v>
      </c>
      <c r="AJ61" s="86">
        <f t="shared" si="94"/>
        <v>36</v>
      </c>
      <c r="AK61" s="132">
        <f t="shared" si="83"/>
        <v>2464.1467943597063</v>
      </c>
      <c r="AL61" s="153">
        <f t="shared" si="84"/>
        <v>2.6877018235538367E-9</v>
      </c>
      <c r="AM61" s="153">
        <f t="shared" si="85"/>
        <v>6.5681391066181393E-6</v>
      </c>
      <c r="AN61" s="88">
        <f t="shared" si="62"/>
        <v>1.3110058097042195E-7</v>
      </c>
      <c r="AO61" s="96">
        <f t="shared" si="63"/>
        <v>6.4</v>
      </c>
      <c r="AP61" s="96">
        <f t="shared" si="64"/>
        <v>7.2</v>
      </c>
      <c r="AQ61" s="134">
        <f t="shared" si="65"/>
        <v>2.4999999999999996</v>
      </c>
      <c r="AR61" s="148">
        <f t="shared" si="66"/>
        <v>47.023800000000001</v>
      </c>
      <c r="AS61" s="132">
        <f t="shared" si="67"/>
        <v>8.1937863106513707E-3</v>
      </c>
      <c r="AT61" s="136">
        <f t="shared" si="68"/>
        <v>0.15412118748592321</v>
      </c>
      <c r="AU61" s="163">
        <f t="shared" si="86"/>
        <v>1.8266124154825016E-8</v>
      </c>
      <c r="AV61" s="153">
        <f t="shared" si="87"/>
        <v>8.2755668530607212E-6</v>
      </c>
      <c r="AW61" s="144">
        <f t="shared" si="88"/>
        <v>2207.2354050368504</v>
      </c>
    </row>
    <row r="62" spans="1:49" x14ac:dyDescent="0.25">
      <c r="R62" s="86">
        <v>13</v>
      </c>
      <c r="S62" s="86">
        <f t="shared" si="95"/>
        <v>36</v>
      </c>
      <c r="T62" s="132">
        <f t="shared" si="89"/>
        <v>2839.6679721922928</v>
      </c>
      <c r="U62" s="191">
        <f t="shared" si="90"/>
        <v>3.4987871536140175E-8</v>
      </c>
      <c r="V62" s="153">
        <f t="shared" si="91"/>
        <v>6.5681391066181393E-6</v>
      </c>
      <c r="W62" s="88">
        <f t="shared" si="75"/>
        <v>1.3801148544360864E-7</v>
      </c>
      <c r="X62" s="96">
        <f t="shared" si="76"/>
        <v>7.84</v>
      </c>
      <c r="Y62" s="96">
        <f t="shared" si="77"/>
        <v>8.82</v>
      </c>
      <c r="Z62" s="134">
        <f t="shared" si="78"/>
        <v>0.25000000000000022</v>
      </c>
      <c r="AA62" s="148">
        <f t="shared" si="79"/>
        <v>47.023800000000001</v>
      </c>
      <c r="AB62" s="132">
        <f t="shared" si="80"/>
        <v>8.6257178402255491E-4</v>
      </c>
      <c r="AC62" s="136">
        <f t="shared" si="81"/>
        <v>0.16224561223007913</v>
      </c>
      <c r="AD62" s="163">
        <f t="shared" si="92"/>
        <v>2.4784540561741364E-7</v>
      </c>
      <c r="AE62" s="153">
        <f t="shared" si="82"/>
        <v>8.8235987080545875E-6</v>
      </c>
      <c r="AF62" s="144">
        <f t="shared" si="93"/>
        <v>28088.925371364512</v>
      </c>
      <c r="AI62" s="86">
        <v>14</v>
      </c>
      <c r="AJ62" s="86">
        <f t="shared" si="94"/>
        <v>38</v>
      </c>
      <c r="AK62" s="132">
        <f t="shared" si="83"/>
        <v>2483.5811745333172</v>
      </c>
      <c r="AL62" s="153">
        <f t="shared" si="84"/>
        <v>3.3337895096434488E-9</v>
      </c>
      <c r="AM62" s="153">
        <f t="shared" si="85"/>
        <v>6.5681391066181393E-6</v>
      </c>
      <c r="AN62" s="88">
        <f t="shared" si="62"/>
        <v>1.3110058097042195E-7</v>
      </c>
      <c r="AO62" s="96">
        <f t="shared" si="63"/>
        <v>6.4</v>
      </c>
      <c r="AP62" s="96">
        <f t="shared" si="64"/>
        <v>7.2</v>
      </c>
      <c r="AQ62" s="134">
        <f t="shared" si="65"/>
        <v>2.4999999999999996</v>
      </c>
      <c r="AR62" s="148">
        <f t="shared" si="66"/>
        <v>47.023800000000001</v>
      </c>
      <c r="AS62" s="132">
        <f t="shared" si="67"/>
        <v>8.1937863106513707E-3</v>
      </c>
      <c r="AT62" s="136">
        <f t="shared" si="68"/>
        <v>0.15412118748592321</v>
      </c>
      <c r="AU62" s="163">
        <f t="shared" si="86"/>
        <v>1.8266124154825016E-8</v>
      </c>
      <c r="AV62" s="153">
        <f t="shared" si="87"/>
        <v>8.2755668530607212E-6</v>
      </c>
      <c r="AW62" s="144">
        <f t="shared" si="88"/>
        <v>2207.2354050368504</v>
      </c>
    </row>
    <row r="63" spans="1:49" x14ac:dyDescent="0.25">
      <c r="R63" s="86">
        <v>14</v>
      </c>
      <c r="S63" s="86">
        <f t="shared" si="95"/>
        <v>38</v>
      </c>
      <c r="T63" s="132">
        <f t="shared" si="89"/>
        <v>2862.0640352290939</v>
      </c>
      <c r="U63" s="191">
        <f t="shared" si="90"/>
        <v>4.2179605021874369E-8</v>
      </c>
      <c r="V63" s="153">
        <f t="shared" si="91"/>
        <v>6.5681391066181393E-6</v>
      </c>
      <c r="W63" s="88">
        <f t="shared" si="75"/>
        <v>1.3801148544360864E-7</v>
      </c>
      <c r="X63" s="96">
        <f t="shared" si="76"/>
        <v>7.84</v>
      </c>
      <c r="Y63" s="96">
        <f t="shared" si="77"/>
        <v>8.82</v>
      </c>
      <c r="Z63" s="134">
        <f t="shared" si="78"/>
        <v>0.25000000000000022</v>
      </c>
      <c r="AA63" s="148">
        <f t="shared" si="79"/>
        <v>47.023800000000001</v>
      </c>
      <c r="AB63" s="132">
        <f t="shared" si="80"/>
        <v>8.6257178402255491E-4</v>
      </c>
      <c r="AC63" s="136">
        <f t="shared" si="81"/>
        <v>0.16224561223007913</v>
      </c>
      <c r="AD63" s="163">
        <f t="shared" si="92"/>
        <v>2.4784540561741364E-7</v>
      </c>
      <c r="AE63" s="153">
        <f t="shared" si="82"/>
        <v>8.8235987080545875E-6</v>
      </c>
      <c r="AF63" s="144">
        <f t="shared" si="93"/>
        <v>28088.925371364512</v>
      </c>
      <c r="AI63" s="86">
        <v>15</v>
      </c>
      <c r="AJ63" s="86">
        <f t="shared" si="94"/>
        <v>40</v>
      </c>
      <c r="AK63" s="132">
        <f t="shared" si="83"/>
        <v>2502.1601340208636</v>
      </c>
      <c r="AL63" s="153">
        <f t="shared" si="84"/>
        <v>4.083367740948308E-9</v>
      </c>
      <c r="AM63" s="153">
        <f t="shared" si="85"/>
        <v>6.5681391066181393E-6</v>
      </c>
      <c r="AN63" s="88">
        <f t="shared" si="62"/>
        <v>1.3110058097042195E-7</v>
      </c>
      <c r="AO63" s="96">
        <f t="shared" si="63"/>
        <v>6.4</v>
      </c>
      <c r="AP63" s="96">
        <f t="shared" si="64"/>
        <v>7.2</v>
      </c>
      <c r="AQ63" s="134">
        <f t="shared" si="65"/>
        <v>2.4999999999999996</v>
      </c>
      <c r="AR63" s="148">
        <f t="shared" si="66"/>
        <v>47.023800000000001</v>
      </c>
      <c r="AS63" s="132">
        <f t="shared" si="67"/>
        <v>8.1937863106513707E-3</v>
      </c>
      <c r="AT63" s="136">
        <f t="shared" si="68"/>
        <v>0.15412118748592321</v>
      </c>
      <c r="AU63" s="163">
        <f t="shared" si="86"/>
        <v>1.8266124154825016E-8</v>
      </c>
      <c r="AV63" s="153">
        <f t="shared" si="87"/>
        <v>8.2755668530607212E-6</v>
      </c>
      <c r="AW63" s="144">
        <f t="shared" si="88"/>
        <v>2207.2354050368504</v>
      </c>
    </row>
    <row r="64" spans="1:49" ht="15.75" thickBot="1" x14ac:dyDescent="0.3">
      <c r="R64" s="86">
        <v>15</v>
      </c>
      <c r="S64" s="86">
        <f t="shared" si="95"/>
        <v>40</v>
      </c>
      <c r="T64" s="132">
        <f t="shared" si="89"/>
        <v>2883.4743166028347</v>
      </c>
      <c r="U64" s="191">
        <f t="shared" si="90"/>
        <v>5.0296177161362625E-8</v>
      </c>
      <c r="V64" s="153">
        <f t="shared" si="91"/>
        <v>6.5681391066181393E-6</v>
      </c>
      <c r="W64" s="88">
        <f t="shared" si="75"/>
        <v>1.3801148544360864E-7</v>
      </c>
      <c r="X64" s="96">
        <f t="shared" si="76"/>
        <v>7.84</v>
      </c>
      <c r="Y64" s="96">
        <f t="shared" si="77"/>
        <v>8.82</v>
      </c>
      <c r="Z64" s="134">
        <f t="shared" si="78"/>
        <v>0.25000000000000022</v>
      </c>
      <c r="AA64" s="148">
        <f t="shared" si="79"/>
        <v>47.023800000000001</v>
      </c>
      <c r="AB64" s="132">
        <f t="shared" si="80"/>
        <v>8.6257178402255491E-4</v>
      </c>
      <c r="AC64" s="136">
        <f t="shared" si="81"/>
        <v>0.16224561223007913</v>
      </c>
      <c r="AD64" s="163">
        <f t="shared" si="92"/>
        <v>2.4784540561741364E-7</v>
      </c>
      <c r="AE64" s="153">
        <f t="shared" si="82"/>
        <v>8.8235987080545875E-6</v>
      </c>
      <c r="AF64" s="144">
        <f t="shared" si="93"/>
        <v>28088.925371364512</v>
      </c>
      <c r="AI64" s="108"/>
      <c r="AJ64" s="108"/>
      <c r="AK64" s="132"/>
      <c r="AL64" s="153"/>
      <c r="AM64" s="86"/>
      <c r="AN64" s="88"/>
      <c r="AO64" s="96"/>
      <c r="AP64" s="96"/>
      <c r="AQ64" s="134"/>
      <c r="AR64" s="149"/>
      <c r="AS64" s="133"/>
      <c r="AT64" s="125"/>
      <c r="AU64" s="125"/>
      <c r="AV64" s="162"/>
      <c r="AW64" s="144"/>
    </row>
    <row r="65" spans="1:49" ht="15.75" thickBot="1" x14ac:dyDescent="0.3">
      <c r="R65" s="215"/>
      <c r="S65" s="108"/>
      <c r="T65" s="132"/>
      <c r="U65" s="153"/>
      <c r="V65" s="86"/>
      <c r="W65" s="88"/>
      <c r="X65" s="96"/>
      <c r="Y65" s="96"/>
      <c r="Z65" s="134"/>
      <c r="AA65" s="149"/>
      <c r="AB65" s="133"/>
      <c r="AC65" s="125"/>
      <c r="AD65" s="125"/>
      <c r="AE65" s="162"/>
      <c r="AF65" s="144"/>
    </row>
    <row r="66" spans="1:49" ht="15.75" thickBot="1" x14ac:dyDescent="0.3">
      <c r="AH66" s="216"/>
    </row>
    <row r="67" spans="1:49" ht="21.75" thickBot="1" x14ac:dyDescent="0.3">
      <c r="AH67" s="216"/>
      <c r="AI67" s="378" t="s">
        <v>29</v>
      </c>
      <c r="AJ67" s="379"/>
      <c r="AK67" s="390">
        <v>0.75</v>
      </c>
      <c r="AL67" s="391"/>
      <c r="AM67" s="391"/>
      <c r="AN67" s="391"/>
      <c r="AO67" s="391"/>
      <c r="AP67" s="391"/>
      <c r="AQ67" s="391"/>
      <c r="AR67" s="391"/>
      <c r="AS67" s="391"/>
      <c r="AT67" s="392"/>
      <c r="AU67" s="186"/>
    </row>
    <row r="68" spans="1:49" ht="21.75" thickBot="1" x14ac:dyDescent="0.3">
      <c r="R68" s="356" t="s">
        <v>29</v>
      </c>
      <c r="S68" s="358"/>
      <c r="T68" s="365">
        <v>0.97</v>
      </c>
      <c r="U68" s="406"/>
      <c r="V68" s="406"/>
      <c r="W68" s="406"/>
      <c r="X68" s="406"/>
      <c r="Y68" s="406"/>
      <c r="Z68" s="406"/>
      <c r="AA68" s="406"/>
      <c r="AB68" s="406"/>
      <c r="AC68" s="366"/>
      <c r="AD68" s="181"/>
      <c r="AH68" s="216"/>
      <c r="AI68" s="380"/>
      <c r="AJ68" s="381"/>
      <c r="AK68" s="393"/>
      <c r="AL68" s="394"/>
      <c r="AM68" s="394"/>
      <c r="AN68" s="394"/>
      <c r="AO68" s="394"/>
      <c r="AP68" s="394"/>
      <c r="AQ68" s="394"/>
      <c r="AR68" s="394"/>
      <c r="AS68" s="394"/>
      <c r="AT68" s="395"/>
      <c r="AU68" s="186"/>
    </row>
    <row r="69" spans="1:49" ht="19.5" thickBot="1" x14ac:dyDescent="0.3">
      <c r="R69" s="357"/>
      <c r="S69" s="359"/>
      <c r="T69" s="367"/>
      <c r="U69" s="407"/>
      <c r="V69" s="407"/>
      <c r="W69" s="407"/>
      <c r="X69" s="407"/>
      <c r="Y69" s="407"/>
      <c r="Z69" s="407"/>
      <c r="AA69" s="407"/>
      <c r="AB69" s="407"/>
      <c r="AC69" s="368"/>
      <c r="AD69" s="181"/>
      <c r="AH69" s="216"/>
      <c r="AI69" s="2" t="s">
        <v>73</v>
      </c>
      <c r="AJ69" s="2" t="s">
        <v>69</v>
      </c>
      <c r="AK69" s="116" t="s">
        <v>177</v>
      </c>
      <c r="AL69" s="2" t="s">
        <v>178</v>
      </c>
      <c r="AM69" s="109" t="s">
        <v>173</v>
      </c>
      <c r="AN69" s="2" t="s">
        <v>151</v>
      </c>
      <c r="AO69" s="109" t="s">
        <v>155</v>
      </c>
      <c r="AP69" s="112" t="s">
        <v>156</v>
      </c>
      <c r="AQ69" s="109" t="s">
        <v>157</v>
      </c>
      <c r="AR69" s="2" t="s">
        <v>158</v>
      </c>
      <c r="AS69" s="2" t="s">
        <v>180</v>
      </c>
      <c r="AT69" s="2" t="s">
        <v>181</v>
      </c>
      <c r="AU69" s="2" t="s">
        <v>185</v>
      </c>
      <c r="AV69" s="2" t="s">
        <v>182</v>
      </c>
      <c r="AW69" s="127" t="s">
        <v>183</v>
      </c>
    </row>
    <row r="70" spans="1:49" ht="18.75" thickBot="1" x14ac:dyDescent="0.3">
      <c r="A70" s="343" t="s">
        <v>187</v>
      </c>
      <c r="B70" s="344"/>
      <c r="C70" s="344"/>
      <c r="D70" s="344"/>
      <c r="E70" s="344"/>
      <c r="F70" s="344"/>
      <c r="G70" s="344"/>
      <c r="H70" s="344"/>
      <c r="I70" s="344"/>
      <c r="J70" s="344"/>
      <c r="K70" s="344"/>
      <c r="L70" s="344"/>
      <c r="M70" s="344"/>
      <c r="N70" s="344"/>
      <c r="O70" s="344"/>
      <c r="P70" s="345"/>
      <c r="R70" s="2" t="s">
        <v>73</v>
      </c>
      <c r="S70" s="2" t="s">
        <v>69</v>
      </c>
      <c r="T70" s="116" t="s">
        <v>177</v>
      </c>
      <c r="U70" s="2" t="s">
        <v>178</v>
      </c>
      <c r="V70" s="109" t="s">
        <v>173</v>
      </c>
      <c r="W70" s="2" t="s">
        <v>151</v>
      </c>
      <c r="X70" s="109" t="s">
        <v>155</v>
      </c>
      <c r="Y70" s="112" t="s">
        <v>156</v>
      </c>
      <c r="Z70" s="109" t="s">
        <v>157</v>
      </c>
      <c r="AA70" s="2" t="s">
        <v>158</v>
      </c>
      <c r="AB70" s="2" t="s">
        <v>180</v>
      </c>
      <c r="AC70" s="2" t="s">
        <v>181</v>
      </c>
      <c r="AD70" s="2" t="s">
        <v>185</v>
      </c>
      <c r="AE70" s="2" t="s">
        <v>182</v>
      </c>
      <c r="AF70" s="127" t="s">
        <v>183</v>
      </c>
      <c r="AH70" s="216"/>
      <c r="AI70" s="86">
        <v>0</v>
      </c>
      <c r="AJ70" s="86">
        <v>10</v>
      </c>
      <c r="AK70" s="216">
        <v>1952.9587154667636</v>
      </c>
      <c r="AL70" s="153">
        <f>((4.7*10^13*AT70*(AS70^0.5)*EXP($C$11/AK70))/($C$14*6))*$C$5*10^-6</f>
        <v>2.2437961159591925E-12</v>
      </c>
      <c r="AM70" s="153">
        <f>(((10^5*($C$4*$C$6)*10^-6)/($C$8*$C$7)))</f>
        <v>6.5681391066181393E-6</v>
      </c>
      <c r="AN70" s="88">
        <f t="shared" ref="AN70:AN85" si="96">AM70/($AK$67*$G$11*((AQ70/2)+3.76))</f>
        <v>1.3163015588650725E-7</v>
      </c>
      <c r="AO70" s="96">
        <f t="shared" ref="AO70:AO85" si="97">$AK$67*$G$12</f>
        <v>6</v>
      </c>
      <c r="AP70" s="96">
        <f t="shared" ref="AP70:AP85" si="98">$AK$67*$G$13</f>
        <v>6.75</v>
      </c>
      <c r="AQ70" s="134">
        <f t="shared" ref="AQ70:AQ85" si="99">(($G$15/2)*(1-$AK$67))</f>
        <v>3.125</v>
      </c>
      <c r="AR70" s="147">
        <f t="shared" ref="AR70:AR85" si="100">$G$14</f>
        <v>47.023800000000001</v>
      </c>
      <c r="AS70" s="129">
        <f t="shared" ref="AS70:AS85" si="101">((AQ70*AN70)/($C$5*10^-6))</f>
        <v>1.028360592863338E-2</v>
      </c>
      <c r="AT70" s="137">
        <f t="shared" ref="AT70:AT85" si="102">((AR70*AN70)/($C$5*10^-6))</f>
        <v>0.1547437531093985</v>
      </c>
      <c r="AU70" s="163">
        <f>SUM($AL$70:$AL$85)</f>
        <v>5.4934934079127072E-9</v>
      </c>
      <c r="AV70" s="161">
        <f>AN70*(AO70+AP70+AQ70+AR70)</f>
        <v>8.279378849074243E-6</v>
      </c>
      <c r="AW70" s="144">
        <f>(AU70/AV70)*10^6</f>
        <v>663.51516316069535</v>
      </c>
    </row>
    <row r="71" spans="1:49" ht="15.75" thickBot="1" x14ac:dyDescent="0.3">
      <c r="A71" s="346"/>
      <c r="B71" s="347"/>
      <c r="C71" s="347"/>
      <c r="D71" s="347"/>
      <c r="E71" s="347"/>
      <c r="F71" s="347"/>
      <c r="G71" s="347"/>
      <c r="H71" s="347"/>
      <c r="I71" s="347"/>
      <c r="J71" s="347"/>
      <c r="K71" s="347"/>
      <c r="L71" s="347"/>
      <c r="M71" s="347"/>
      <c r="N71" s="347"/>
      <c r="O71" s="347"/>
      <c r="P71" s="348"/>
      <c r="R71" s="86">
        <v>0</v>
      </c>
      <c r="S71" s="86">
        <v>10</v>
      </c>
      <c r="T71" s="86">
        <v>2340.8651830428967</v>
      </c>
      <c r="U71" s="153">
        <f>((4.7*10^13*AC71*(AB71^0.5)*EXP($C$11/T71))/($C$14*6))*$C$5*10^-6</f>
        <v>2.6152742521266248E-10</v>
      </c>
      <c r="V71" s="153">
        <f>(((10^5*($C$4*$C$6)*10^-6)/($C$8*$C$7)))</f>
        <v>6.5681391066181393E-6</v>
      </c>
      <c r="W71" s="88">
        <f t="shared" ref="W71:W86" si="103">V71/(T$68*$G$11*((Z71/2)+3.76))</f>
        <v>1.3722664834965394E-7</v>
      </c>
      <c r="X71" s="96">
        <f t="shared" ref="X71:X86" si="104">$T$68*$G$12</f>
        <v>7.76</v>
      </c>
      <c r="Y71" s="96">
        <f t="shared" ref="Y71:Y86" si="105">$T$68*$G$13</f>
        <v>8.73</v>
      </c>
      <c r="Z71" s="134">
        <f t="shared" ref="Z71:Z86" si="106">(($G$15/2)*(1-$T$68))</f>
        <v>0.37500000000000033</v>
      </c>
      <c r="AA71" s="147">
        <f t="shared" ref="AA71:AA86" si="107">$G$14</f>
        <v>47.023800000000001</v>
      </c>
      <c r="AB71" s="129">
        <f>((Z71*W71)/($C$5*10^-6))</f>
        <v>1.2864998282780069E-3</v>
      </c>
      <c r="AC71" s="137">
        <f t="shared" ref="AC71:AC86" si="108">((AA71*W71)/($C$5*10^-6))</f>
        <v>0.16132296166661145</v>
      </c>
      <c r="AD71" s="163">
        <f>SUM($U$71:$U$86)</f>
        <v>2.5361741963246147E-7</v>
      </c>
      <c r="AE71" s="164">
        <f t="shared" ref="AE71:AE86" si="109">W71*(X71+Y71+Z71+AA71)</f>
        <v>8.7672458910813705E-6</v>
      </c>
      <c r="AF71" s="144">
        <f>(AD71/AE71)*10^6</f>
        <v>28927.832386959522</v>
      </c>
      <c r="AH71" s="216"/>
      <c r="AI71" s="86">
        <v>1</v>
      </c>
      <c r="AJ71" s="86">
        <f>AJ70+2</f>
        <v>12</v>
      </c>
      <c r="AK71" s="132">
        <f t="shared" ref="AK71:AK85" si="110">(AK70*(($S6/$S5)^(($C$13-1)/$C$13)))</f>
        <v>2005.3862367890508</v>
      </c>
      <c r="AL71" s="153">
        <f t="shared" ref="AL71:AL85" si="111">((4.7*10^13*AT71*(AS71^0.5)*EXP($C$11/AK71))/($C$14*6))*$C$5*10^-6</f>
        <v>5.5637459650193257E-12</v>
      </c>
      <c r="AM71" s="153">
        <f t="shared" ref="AM71:AM85" si="112">(((10^5*($C$4*$C$6)*10^-6)/($C$8*$C$7)))</f>
        <v>6.5681391066181393E-6</v>
      </c>
      <c r="AN71" s="88">
        <f t="shared" si="96"/>
        <v>1.3163015588650725E-7</v>
      </c>
      <c r="AO71" s="96">
        <f t="shared" si="97"/>
        <v>6</v>
      </c>
      <c r="AP71" s="96">
        <f t="shared" si="98"/>
        <v>6.75</v>
      </c>
      <c r="AQ71" s="134">
        <f t="shared" si="99"/>
        <v>3.125</v>
      </c>
      <c r="AR71" s="148">
        <f t="shared" si="100"/>
        <v>47.023800000000001</v>
      </c>
      <c r="AS71" s="132">
        <f t="shared" si="101"/>
        <v>1.028360592863338E-2</v>
      </c>
      <c r="AT71" s="136">
        <f t="shared" si="102"/>
        <v>0.1547437531093985</v>
      </c>
      <c r="AU71" s="163">
        <f t="shared" ref="AU71:AU85" si="113">SUM($AL$70:$AL$85)</f>
        <v>5.4934934079127072E-9</v>
      </c>
      <c r="AV71" s="153">
        <f t="shared" ref="AV71:AV85" si="114">AN71*(AO71+AP71+AQ71+AR71)</f>
        <v>8.279378849074243E-6</v>
      </c>
      <c r="AW71" s="144">
        <f t="shared" ref="AW71:AW85" si="115">(AU71/AV71)*10^6</f>
        <v>663.51516316069535</v>
      </c>
    </row>
    <row r="72" spans="1:49" ht="18.75" thickBot="1" x14ac:dyDescent="0.3">
      <c r="A72" s="159" t="s">
        <v>159</v>
      </c>
      <c r="B72" s="2" t="s">
        <v>29</v>
      </c>
      <c r="C72" s="2" t="s">
        <v>30</v>
      </c>
      <c r="D72" s="154" t="s">
        <v>167</v>
      </c>
      <c r="E72" s="157" t="s">
        <v>173</v>
      </c>
      <c r="F72" s="2" t="s">
        <v>151</v>
      </c>
      <c r="G72" s="2" t="s">
        <v>155</v>
      </c>
      <c r="H72" s="159" t="s">
        <v>156</v>
      </c>
      <c r="I72" s="2" t="s">
        <v>157</v>
      </c>
      <c r="J72" s="2" t="s">
        <v>158</v>
      </c>
      <c r="K72" s="157" t="s">
        <v>171</v>
      </c>
      <c r="L72" s="2" t="s">
        <v>172</v>
      </c>
      <c r="M72" s="158" t="s">
        <v>178</v>
      </c>
      <c r="N72" s="2" t="s">
        <v>184</v>
      </c>
      <c r="O72" s="157" t="s">
        <v>182</v>
      </c>
      <c r="P72" s="157" t="s">
        <v>183</v>
      </c>
      <c r="R72" s="86">
        <v>1</v>
      </c>
      <c r="S72" s="86">
        <f>S71+2</f>
        <v>12</v>
      </c>
      <c r="T72" s="132">
        <f>(T71*(($S6/$S5)^(($C$13-1)/$C$13)))</f>
        <v>2403.7061219345564</v>
      </c>
      <c r="U72" s="153">
        <f t="shared" ref="U72:U86" si="116">((4.7*10^13*AC72*(AB72^0.5)*EXP($C$11/T72))/($C$14*6))*$C$5*10^-6</f>
        <v>5.5788861188236832E-10</v>
      </c>
      <c r="V72" s="153">
        <f t="shared" ref="V72:V86" si="117">(((10^5*($C$4*$C$6)*10^-6)/($C$8*$C$7)))</f>
        <v>6.5681391066181393E-6</v>
      </c>
      <c r="W72" s="88">
        <f t="shared" si="103"/>
        <v>1.3722664834965394E-7</v>
      </c>
      <c r="X72" s="96">
        <f t="shared" si="104"/>
        <v>7.76</v>
      </c>
      <c r="Y72" s="96">
        <f t="shared" si="105"/>
        <v>8.73</v>
      </c>
      <c r="Z72" s="134">
        <f t="shared" si="106"/>
        <v>0.37500000000000033</v>
      </c>
      <c r="AA72" s="148">
        <f t="shared" si="107"/>
        <v>47.023800000000001</v>
      </c>
      <c r="AB72" s="132">
        <f t="shared" ref="AB72:AB86" si="118">((Z72*W72)/($C$5*10^-6))</f>
        <v>1.2864998282780069E-3</v>
      </c>
      <c r="AC72" s="136">
        <f t="shared" si="108"/>
        <v>0.16132296166661145</v>
      </c>
      <c r="AD72" s="163">
        <f t="shared" ref="AD72:AD86" si="119">SUM($U$71:$U$86)</f>
        <v>2.5361741963246147E-7</v>
      </c>
      <c r="AE72" s="165">
        <f t="shared" si="109"/>
        <v>8.7672458910813705E-6</v>
      </c>
      <c r="AF72" s="144">
        <f t="shared" ref="AF72:AF86" si="120">(AD72/AE72)*10^6</f>
        <v>28927.832386959522</v>
      </c>
      <c r="AH72" s="216"/>
      <c r="AI72" s="86">
        <v>2</v>
      </c>
      <c r="AJ72" s="86">
        <f t="shared" ref="AJ72:AJ85" si="121">AJ71+2</f>
        <v>14</v>
      </c>
      <c r="AK72" s="132">
        <f t="shared" si="110"/>
        <v>2050.8095979874124</v>
      </c>
      <c r="AL72" s="153">
        <f t="shared" si="111"/>
        <v>1.1769534052682063E-11</v>
      </c>
      <c r="AM72" s="153">
        <f t="shared" si="112"/>
        <v>6.5681391066181393E-6</v>
      </c>
      <c r="AN72" s="88">
        <f t="shared" si="96"/>
        <v>1.3163015588650725E-7</v>
      </c>
      <c r="AO72" s="96">
        <f t="shared" si="97"/>
        <v>6</v>
      </c>
      <c r="AP72" s="96">
        <f t="shared" si="98"/>
        <v>6.75</v>
      </c>
      <c r="AQ72" s="134">
        <f t="shared" si="99"/>
        <v>3.125</v>
      </c>
      <c r="AR72" s="148">
        <f t="shared" si="100"/>
        <v>47.023800000000001</v>
      </c>
      <c r="AS72" s="132">
        <f t="shared" si="101"/>
        <v>1.028360592863338E-2</v>
      </c>
      <c r="AT72" s="136">
        <f t="shared" si="102"/>
        <v>0.1547437531093985</v>
      </c>
      <c r="AU72" s="163">
        <f t="shared" si="113"/>
        <v>5.4934934079127072E-9</v>
      </c>
      <c r="AV72" s="153">
        <f t="shared" si="114"/>
        <v>8.279378849074243E-6</v>
      </c>
      <c r="AW72" s="144">
        <f t="shared" si="115"/>
        <v>663.51516316069535</v>
      </c>
    </row>
    <row r="73" spans="1:49" ht="15.75" thickBot="1" x14ac:dyDescent="0.3">
      <c r="A73" s="96">
        <v>10</v>
      </c>
      <c r="B73" s="97">
        <v>1</v>
      </c>
      <c r="C73" s="135">
        <v>5065.0000000000009</v>
      </c>
      <c r="D73" s="130">
        <f>T20</f>
        <v>2923.6931141513533</v>
      </c>
      <c r="E73" s="153">
        <f>(((10^5*($C$4*$C$6)*10^-6)/($C$8*$C$7)))</f>
        <v>6.5681391066181393E-6</v>
      </c>
      <c r="F73" s="153">
        <f>E73/(B73*$G$11*((I73/2)+3.76))</f>
        <v>1.3974764056634339E-7</v>
      </c>
      <c r="G73" s="155">
        <f t="shared" ref="G73:G85" si="122">B73*$G$12</f>
        <v>8</v>
      </c>
      <c r="H73" s="96">
        <f t="shared" ref="H73:H85" si="123">B73*$G$13</f>
        <v>9</v>
      </c>
      <c r="I73" s="137">
        <f t="shared" ref="I73:I85" si="124">(($G$15/2)*(1-B73))</f>
        <v>0</v>
      </c>
      <c r="J73" s="167">
        <f t="shared" ref="J73:J85" si="125">$G$14</f>
        <v>47.023800000000001</v>
      </c>
      <c r="K73" s="170">
        <f t="shared" ref="K73:K85" si="126">((I73*F73)/($C$5*10^-6))</f>
        <v>0</v>
      </c>
      <c r="L73" s="142">
        <f t="shared" ref="L73:L85" si="127">((J73*F73)/($C$5*10^-6))</f>
        <v>0.16428662751159046</v>
      </c>
      <c r="M73" s="165">
        <f>((4.7*10^13*K73*(L73^0.5)*EXP(-67837/(D73)))/($C$15))*$C$5*10^-6</f>
        <v>0</v>
      </c>
      <c r="N73" s="163">
        <f>SUM(U31:U46)</f>
        <v>2.0607531797156681E-7</v>
      </c>
      <c r="O73" s="163">
        <f t="shared" ref="O73:O85" si="128">F73*(G73+H73+I73+J73)</f>
        <v>8.9471749900914556E-6</v>
      </c>
      <c r="P73" s="144">
        <f>AF20</f>
        <v>0</v>
      </c>
      <c r="R73" s="86">
        <v>2</v>
      </c>
      <c r="S73" s="86">
        <f t="shared" ref="S73:S86" si="129">S72+2</f>
        <v>14</v>
      </c>
      <c r="T73" s="132">
        <f t="shared" ref="T73:T86" si="130">(T72*(($S7/$S6)^(($C$13-1)/$C$13)))</f>
        <v>2458.1516992444754</v>
      </c>
      <c r="U73" s="153">
        <f t="shared" si="116"/>
        <v>1.0423619102880809E-9</v>
      </c>
      <c r="V73" s="153">
        <f t="shared" si="117"/>
        <v>6.5681391066181393E-6</v>
      </c>
      <c r="W73" s="88">
        <f t="shared" si="103"/>
        <v>1.3722664834965394E-7</v>
      </c>
      <c r="X73" s="96">
        <f t="shared" si="104"/>
        <v>7.76</v>
      </c>
      <c r="Y73" s="96">
        <f t="shared" si="105"/>
        <v>8.73</v>
      </c>
      <c r="Z73" s="134">
        <f t="shared" si="106"/>
        <v>0.37500000000000033</v>
      </c>
      <c r="AA73" s="148">
        <f t="shared" si="107"/>
        <v>47.023800000000001</v>
      </c>
      <c r="AB73" s="132">
        <f t="shared" si="118"/>
        <v>1.2864998282780069E-3</v>
      </c>
      <c r="AC73" s="136">
        <f t="shared" si="108"/>
        <v>0.16132296166661145</v>
      </c>
      <c r="AD73" s="163">
        <f t="shared" si="119"/>
        <v>2.5361741963246147E-7</v>
      </c>
      <c r="AE73" s="165">
        <f t="shared" si="109"/>
        <v>8.7672458910813705E-6</v>
      </c>
      <c r="AF73" s="144">
        <f t="shared" si="120"/>
        <v>28927.832386959522</v>
      </c>
      <c r="AI73" s="86">
        <v>3</v>
      </c>
      <c r="AJ73" s="86">
        <f t="shared" si="121"/>
        <v>16</v>
      </c>
      <c r="AK73" s="132">
        <f t="shared" si="110"/>
        <v>2090.9879094706453</v>
      </c>
      <c r="AL73" s="153">
        <f t="shared" si="111"/>
        <v>2.2222621727495332E-11</v>
      </c>
      <c r="AM73" s="153">
        <f t="shared" si="112"/>
        <v>6.5681391066181393E-6</v>
      </c>
      <c r="AN73" s="88">
        <f t="shared" si="96"/>
        <v>1.3163015588650725E-7</v>
      </c>
      <c r="AO73" s="96">
        <f t="shared" si="97"/>
        <v>6</v>
      </c>
      <c r="AP73" s="96">
        <f t="shared" si="98"/>
        <v>6.75</v>
      </c>
      <c r="AQ73" s="134">
        <f t="shared" si="99"/>
        <v>3.125</v>
      </c>
      <c r="AR73" s="148">
        <f t="shared" si="100"/>
        <v>47.023800000000001</v>
      </c>
      <c r="AS73" s="132">
        <f t="shared" si="101"/>
        <v>1.028360592863338E-2</v>
      </c>
      <c r="AT73" s="136">
        <f t="shared" si="102"/>
        <v>0.1547437531093985</v>
      </c>
      <c r="AU73" s="163">
        <f t="shared" si="113"/>
        <v>5.4934934079127072E-9</v>
      </c>
      <c r="AV73" s="153">
        <f t="shared" si="114"/>
        <v>8.279378849074243E-6</v>
      </c>
      <c r="AW73" s="144">
        <f t="shared" si="115"/>
        <v>663.51516316069535</v>
      </c>
    </row>
    <row r="74" spans="1:49" x14ac:dyDescent="0.25">
      <c r="A74" s="96">
        <v>10</v>
      </c>
      <c r="B74" s="86">
        <v>0.99</v>
      </c>
      <c r="C74" s="86">
        <f t="shared" ref="C74:C85" si="131">(((G74*$L$12)+(H74*$L$13)+($G$14*0)))-$B$30</f>
        <v>5011.7580000000007</v>
      </c>
      <c r="D74" s="130">
        <f>T64</f>
        <v>2883.4743166028347</v>
      </c>
      <c r="E74" s="153">
        <f t="shared" ref="E74:E85" si="132">(((10^5*($C$4*$C$6)*10^-6)/($C$8*$C$7)))</f>
        <v>6.5681391066181393E-6</v>
      </c>
      <c r="F74" s="153">
        <f t="shared" ref="F74:F85" si="133">E74/(B74*$G$11*((I74/2)+3.76))</f>
        <v>1.3885120096437262E-7</v>
      </c>
      <c r="G74" s="86">
        <f t="shared" si="122"/>
        <v>7.92</v>
      </c>
      <c r="H74" s="96">
        <f t="shared" si="123"/>
        <v>8.91</v>
      </c>
      <c r="I74" s="136">
        <f t="shared" si="124"/>
        <v>0.12500000000000011</v>
      </c>
      <c r="J74" s="168">
        <f t="shared" si="125"/>
        <v>47.023800000000001</v>
      </c>
      <c r="K74" s="170">
        <f t="shared" si="126"/>
        <v>4.3391000301366492E-4</v>
      </c>
      <c r="L74" s="142">
        <f t="shared" si="127"/>
        <v>0.16323277759771165</v>
      </c>
      <c r="M74" s="165">
        <f t="shared" ref="M74:M85" si="134">((4.7*10^13*K74*(L74^0.5)*EXP(-67837/(D74)))/($C$15))*$C$5*10^-6</f>
        <v>1.850409034481708E-9</v>
      </c>
      <c r="N74" s="163">
        <f>SUM(U53:U68)</f>
        <v>2.4421513563480051E-7</v>
      </c>
      <c r="O74" s="163">
        <f t="shared" si="128"/>
        <v>8.8835332162594029E-6</v>
      </c>
      <c r="P74" s="144">
        <f>AF42</f>
        <v>23549.996665198873</v>
      </c>
      <c r="R74" s="86">
        <v>3</v>
      </c>
      <c r="S74" s="86">
        <f t="shared" si="129"/>
        <v>16</v>
      </c>
      <c r="T74" s="132">
        <f t="shared" si="130"/>
        <v>2506.3104287248748</v>
      </c>
      <c r="U74" s="153">
        <f t="shared" si="116"/>
        <v>1.7713828161320736E-9</v>
      </c>
      <c r="V74" s="153">
        <f t="shared" si="117"/>
        <v>6.5681391066181393E-6</v>
      </c>
      <c r="W74" s="88">
        <f t="shared" si="103"/>
        <v>1.3722664834965394E-7</v>
      </c>
      <c r="X74" s="96">
        <f t="shared" si="104"/>
        <v>7.76</v>
      </c>
      <c r="Y74" s="96">
        <f t="shared" si="105"/>
        <v>8.73</v>
      </c>
      <c r="Z74" s="134">
        <f t="shared" si="106"/>
        <v>0.37500000000000033</v>
      </c>
      <c r="AA74" s="148">
        <f t="shared" si="107"/>
        <v>47.023800000000001</v>
      </c>
      <c r="AB74" s="132">
        <f t="shared" si="118"/>
        <v>1.2864998282780069E-3</v>
      </c>
      <c r="AC74" s="136">
        <f t="shared" si="108"/>
        <v>0.16132296166661145</v>
      </c>
      <c r="AD74" s="163">
        <f t="shared" si="119"/>
        <v>2.5361741963246147E-7</v>
      </c>
      <c r="AE74" s="165">
        <f t="shared" si="109"/>
        <v>8.7672458910813705E-6</v>
      </c>
      <c r="AF74" s="144">
        <f t="shared" si="120"/>
        <v>28927.832386959522</v>
      </c>
      <c r="AI74" s="86">
        <v>4</v>
      </c>
      <c r="AJ74" s="86">
        <f t="shared" si="121"/>
        <v>18</v>
      </c>
      <c r="AK74" s="132">
        <f t="shared" si="110"/>
        <v>2127.0805647298039</v>
      </c>
      <c r="AL74" s="153">
        <f t="shared" si="111"/>
        <v>3.8536332263824667E-11</v>
      </c>
      <c r="AM74" s="153">
        <f t="shared" si="112"/>
        <v>6.5681391066181393E-6</v>
      </c>
      <c r="AN74" s="88">
        <f t="shared" si="96"/>
        <v>1.3163015588650725E-7</v>
      </c>
      <c r="AO74" s="96">
        <f t="shared" si="97"/>
        <v>6</v>
      </c>
      <c r="AP74" s="96">
        <f t="shared" si="98"/>
        <v>6.75</v>
      </c>
      <c r="AQ74" s="134">
        <f t="shared" si="99"/>
        <v>3.125</v>
      </c>
      <c r="AR74" s="148">
        <f t="shared" si="100"/>
        <v>47.023800000000001</v>
      </c>
      <c r="AS74" s="132">
        <f t="shared" si="101"/>
        <v>1.028360592863338E-2</v>
      </c>
      <c r="AT74" s="136">
        <f t="shared" si="102"/>
        <v>0.1547437531093985</v>
      </c>
      <c r="AU74" s="163">
        <f t="shared" si="113"/>
        <v>5.4934934079127072E-9</v>
      </c>
      <c r="AV74" s="153">
        <f t="shared" si="114"/>
        <v>8.279378849074243E-6</v>
      </c>
      <c r="AW74" s="144">
        <f t="shared" si="115"/>
        <v>663.51516316069535</v>
      </c>
    </row>
    <row r="75" spans="1:49" x14ac:dyDescent="0.25">
      <c r="A75" s="96">
        <v>10</v>
      </c>
      <c r="B75" s="97">
        <v>0.98</v>
      </c>
      <c r="C75" s="86">
        <f t="shared" si="131"/>
        <v>4958.5160000000005</v>
      </c>
      <c r="D75" s="138">
        <f>T86</f>
        <v>2863.2231997765712</v>
      </c>
      <c r="E75" s="153">
        <f t="shared" si="132"/>
        <v>6.5681391066181393E-6</v>
      </c>
      <c r="F75" s="153">
        <f t="shared" si="133"/>
        <v>1.3801148544360864E-7</v>
      </c>
      <c r="G75" s="86">
        <f t="shared" si="122"/>
        <v>7.84</v>
      </c>
      <c r="H75" s="96">
        <f t="shared" si="123"/>
        <v>8.82</v>
      </c>
      <c r="I75" s="136">
        <f t="shared" si="124"/>
        <v>0.25000000000000022</v>
      </c>
      <c r="J75" s="168">
        <f t="shared" si="125"/>
        <v>47.023800000000001</v>
      </c>
      <c r="K75" s="170">
        <f t="shared" si="126"/>
        <v>8.6257178402255491E-4</v>
      </c>
      <c r="L75" s="142">
        <f t="shared" si="127"/>
        <v>0.16224561223007913</v>
      </c>
      <c r="M75" s="165">
        <f t="shared" si="134"/>
        <v>3.1051387903470987E-9</v>
      </c>
      <c r="N75" s="163">
        <f>SUM(U75:U90)</f>
        <v>2.4998425886894628E-7</v>
      </c>
      <c r="O75" s="163">
        <f t="shared" si="128"/>
        <v>8.8235987080545875E-6</v>
      </c>
      <c r="P75" s="144">
        <f>AF64</f>
        <v>28088.925371364512</v>
      </c>
      <c r="R75" s="86">
        <v>4</v>
      </c>
      <c r="S75" s="86">
        <f t="shared" si="129"/>
        <v>18</v>
      </c>
      <c r="T75" s="132">
        <f t="shared" si="130"/>
        <v>2549.5719884243285</v>
      </c>
      <c r="U75" s="153">
        <f t="shared" si="116"/>
        <v>2.8039496176165006E-9</v>
      </c>
      <c r="V75" s="153">
        <f t="shared" si="117"/>
        <v>6.5681391066181393E-6</v>
      </c>
      <c r="W75" s="88">
        <f t="shared" si="103"/>
        <v>1.3722664834965394E-7</v>
      </c>
      <c r="X75" s="96">
        <f t="shared" si="104"/>
        <v>7.76</v>
      </c>
      <c r="Y75" s="96">
        <f t="shared" si="105"/>
        <v>8.73</v>
      </c>
      <c r="Z75" s="134">
        <f t="shared" si="106"/>
        <v>0.37500000000000033</v>
      </c>
      <c r="AA75" s="148">
        <f t="shared" si="107"/>
        <v>47.023800000000001</v>
      </c>
      <c r="AB75" s="132">
        <f t="shared" si="118"/>
        <v>1.2864998282780069E-3</v>
      </c>
      <c r="AC75" s="136">
        <f t="shared" si="108"/>
        <v>0.16132296166661145</v>
      </c>
      <c r="AD75" s="163">
        <f t="shared" si="119"/>
        <v>2.5361741963246147E-7</v>
      </c>
      <c r="AE75" s="165">
        <f t="shared" si="109"/>
        <v>8.7672458910813705E-6</v>
      </c>
      <c r="AF75" s="144">
        <f t="shared" si="120"/>
        <v>28927.832386959522</v>
      </c>
      <c r="AI75" s="86">
        <v>5</v>
      </c>
      <c r="AJ75" s="86">
        <f t="shared" si="121"/>
        <v>20</v>
      </c>
      <c r="AK75" s="132">
        <f t="shared" si="110"/>
        <v>2159.894127695613</v>
      </c>
      <c r="AL75" s="153">
        <f t="shared" si="111"/>
        <v>6.2559147396087818E-11</v>
      </c>
      <c r="AM75" s="153">
        <f t="shared" si="112"/>
        <v>6.5681391066181393E-6</v>
      </c>
      <c r="AN75" s="88">
        <f t="shared" si="96"/>
        <v>1.3163015588650725E-7</v>
      </c>
      <c r="AO75" s="96">
        <f t="shared" si="97"/>
        <v>6</v>
      </c>
      <c r="AP75" s="96">
        <f t="shared" si="98"/>
        <v>6.75</v>
      </c>
      <c r="AQ75" s="134">
        <f t="shared" si="99"/>
        <v>3.125</v>
      </c>
      <c r="AR75" s="148">
        <f t="shared" si="100"/>
        <v>47.023800000000001</v>
      </c>
      <c r="AS75" s="132">
        <f t="shared" si="101"/>
        <v>1.028360592863338E-2</v>
      </c>
      <c r="AT75" s="136">
        <f t="shared" si="102"/>
        <v>0.1547437531093985</v>
      </c>
      <c r="AU75" s="163">
        <f t="shared" si="113"/>
        <v>5.4934934079127072E-9</v>
      </c>
      <c r="AV75" s="153">
        <f t="shared" si="114"/>
        <v>8.279378849074243E-6</v>
      </c>
      <c r="AW75" s="144">
        <f t="shared" si="115"/>
        <v>663.51516316069535</v>
      </c>
    </row>
    <row r="76" spans="1:49" x14ac:dyDescent="0.25">
      <c r="A76" s="96">
        <v>10</v>
      </c>
      <c r="B76" s="86">
        <v>0.97</v>
      </c>
      <c r="C76" s="86">
        <f t="shared" si="131"/>
        <v>4905.2740000000003</v>
      </c>
      <c r="D76" s="138">
        <f>T107</f>
        <v>2842.8814182777651</v>
      </c>
      <c r="E76" s="153">
        <f t="shared" si="132"/>
        <v>6.5681391066181393E-6</v>
      </c>
      <c r="F76" s="153">
        <f t="shared" si="133"/>
        <v>1.3722664834965394E-7</v>
      </c>
      <c r="G76" s="86">
        <f t="shared" si="122"/>
        <v>7.76</v>
      </c>
      <c r="H76" s="96">
        <f t="shared" si="123"/>
        <v>8.73</v>
      </c>
      <c r="I76" s="136">
        <f t="shared" si="124"/>
        <v>0.37500000000000033</v>
      </c>
      <c r="J76" s="168">
        <f t="shared" si="125"/>
        <v>47.023800000000001</v>
      </c>
      <c r="K76" s="170">
        <f t="shared" si="126"/>
        <v>1.2864998282780069E-3</v>
      </c>
      <c r="L76" s="142">
        <f t="shared" si="127"/>
        <v>0.16132296166661145</v>
      </c>
      <c r="M76" s="165">
        <f t="shared" si="134"/>
        <v>3.897911732767814E-9</v>
      </c>
      <c r="N76" s="163">
        <f>SUM(U97:U112)</f>
        <v>2.3795961126699107E-7</v>
      </c>
      <c r="O76" s="163">
        <f t="shared" si="128"/>
        <v>8.7672458910813705E-6</v>
      </c>
      <c r="P76" s="144">
        <f>AF86</f>
        <v>28927.832386959522</v>
      </c>
      <c r="R76" s="86">
        <v>5</v>
      </c>
      <c r="S76" s="86">
        <f t="shared" si="129"/>
        <v>20</v>
      </c>
      <c r="T76" s="132">
        <f t="shared" si="130"/>
        <v>2588.9031460519436</v>
      </c>
      <c r="U76" s="153">
        <f t="shared" si="116"/>
        <v>4.2007005615854755E-9</v>
      </c>
      <c r="V76" s="153">
        <f t="shared" si="117"/>
        <v>6.5681391066181393E-6</v>
      </c>
      <c r="W76" s="88">
        <f t="shared" si="103"/>
        <v>1.3722664834965394E-7</v>
      </c>
      <c r="X76" s="96">
        <f t="shared" si="104"/>
        <v>7.76</v>
      </c>
      <c r="Y76" s="96">
        <f t="shared" si="105"/>
        <v>8.73</v>
      </c>
      <c r="Z76" s="134">
        <f t="shared" si="106"/>
        <v>0.37500000000000033</v>
      </c>
      <c r="AA76" s="148">
        <f t="shared" si="107"/>
        <v>47.023800000000001</v>
      </c>
      <c r="AB76" s="132">
        <f t="shared" si="118"/>
        <v>1.2864998282780069E-3</v>
      </c>
      <c r="AC76" s="136">
        <f t="shared" si="108"/>
        <v>0.16132296166661145</v>
      </c>
      <c r="AD76" s="163">
        <f t="shared" si="119"/>
        <v>2.5361741963246147E-7</v>
      </c>
      <c r="AE76" s="165">
        <f t="shared" si="109"/>
        <v>8.7672458910813705E-6</v>
      </c>
      <c r="AF76" s="144">
        <f t="shared" si="120"/>
        <v>28927.832386959522</v>
      </c>
      <c r="AI76" s="86">
        <v>6</v>
      </c>
      <c r="AJ76" s="86">
        <f t="shared" si="121"/>
        <v>22</v>
      </c>
      <c r="AK76" s="132">
        <f t="shared" si="110"/>
        <v>2190.013467171636</v>
      </c>
      <c r="AL76" s="153">
        <f t="shared" si="111"/>
        <v>9.6357171186197612E-11</v>
      </c>
      <c r="AM76" s="153">
        <f t="shared" si="112"/>
        <v>6.5681391066181393E-6</v>
      </c>
      <c r="AN76" s="88">
        <f t="shared" si="96"/>
        <v>1.3163015588650725E-7</v>
      </c>
      <c r="AO76" s="96">
        <f t="shared" si="97"/>
        <v>6</v>
      </c>
      <c r="AP76" s="96">
        <f t="shared" si="98"/>
        <v>6.75</v>
      </c>
      <c r="AQ76" s="134">
        <f t="shared" si="99"/>
        <v>3.125</v>
      </c>
      <c r="AR76" s="148">
        <f t="shared" si="100"/>
        <v>47.023800000000001</v>
      </c>
      <c r="AS76" s="132">
        <f t="shared" si="101"/>
        <v>1.028360592863338E-2</v>
      </c>
      <c r="AT76" s="136">
        <f t="shared" si="102"/>
        <v>0.1547437531093985</v>
      </c>
      <c r="AU76" s="163">
        <f t="shared" si="113"/>
        <v>5.4934934079127072E-9</v>
      </c>
      <c r="AV76" s="153">
        <f t="shared" si="114"/>
        <v>8.279378849074243E-6</v>
      </c>
      <c r="AW76" s="144">
        <f t="shared" si="115"/>
        <v>663.51516316069535</v>
      </c>
    </row>
    <row r="77" spans="1:49" x14ac:dyDescent="0.25">
      <c r="A77" s="96">
        <v>10</v>
      </c>
      <c r="B77" s="97">
        <v>0.96</v>
      </c>
      <c r="C77" s="86">
        <f t="shared" si="131"/>
        <v>4852.0320000000002</v>
      </c>
      <c r="D77" s="138">
        <f>T129</f>
        <v>2822.4417008574937</v>
      </c>
      <c r="E77" s="153">
        <f t="shared" si="132"/>
        <v>6.5681391066181393E-6</v>
      </c>
      <c r="F77" s="153">
        <f t="shared" si="133"/>
        <v>1.3649499390312011E-7</v>
      </c>
      <c r="G77" s="86">
        <f t="shared" si="122"/>
        <v>7.68</v>
      </c>
      <c r="H77" s="96">
        <f t="shared" si="123"/>
        <v>8.64</v>
      </c>
      <c r="I77" s="136">
        <f t="shared" si="124"/>
        <v>0.50000000000000044</v>
      </c>
      <c r="J77" s="168">
        <f t="shared" si="125"/>
        <v>47.023800000000001</v>
      </c>
      <c r="K77" s="170">
        <f t="shared" si="126"/>
        <v>1.7061874237890033E-3</v>
      </c>
      <c r="L77" s="142">
        <f t="shared" si="127"/>
        <v>0.16046283235753853</v>
      </c>
      <c r="M77" s="165">
        <f t="shared" si="134"/>
        <v>4.3375013426397035E-9</v>
      </c>
      <c r="N77" s="163">
        <f>SUM(U118:U133)</f>
        <v>2.2361174044493919E-7</v>
      </c>
      <c r="O77" s="163">
        <f t="shared" si="128"/>
        <v>8.7143590917520203E-6</v>
      </c>
      <c r="P77" s="144">
        <f>AF107</f>
        <v>28003.460372508744</v>
      </c>
      <c r="R77" s="86">
        <v>6</v>
      </c>
      <c r="S77" s="86">
        <f t="shared" si="129"/>
        <v>22</v>
      </c>
      <c r="T77" s="132">
        <f t="shared" si="130"/>
        <v>2625.0049399901836</v>
      </c>
      <c r="U77" s="153">
        <f t="shared" si="116"/>
        <v>6.0232201452250481E-9</v>
      </c>
      <c r="V77" s="153">
        <f t="shared" si="117"/>
        <v>6.5681391066181393E-6</v>
      </c>
      <c r="W77" s="88">
        <f t="shared" si="103"/>
        <v>1.3722664834965394E-7</v>
      </c>
      <c r="X77" s="96">
        <f t="shared" si="104"/>
        <v>7.76</v>
      </c>
      <c r="Y77" s="96">
        <f t="shared" si="105"/>
        <v>8.73</v>
      </c>
      <c r="Z77" s="134">
        <f t="shared" si="106"/>
        <v>0.37500000000000033</v>
      </c>
      <c r="AA77" s="148">
        <f t="shared" si="107"/>
        <v>47.023800000000001</v>
      </c>
      <c r="AB77" s="132">
        <f t="shared" si="118"/>
        <v>1.2864998282780069E-3</v>
      </c>
      <c r="AC77" s="136">
        <f t="shared" si="108"/>
        <v>0.16132296166661145</v>
      </c>
      <c r="AD77" s="163">
        <f t="shared" si="119"/>
        <v>2.5361741963246147E-7</v>
      </c>
      <c r="AE77" s="165">
        <f t="shared" si="109"/>
        <v>8.7672458910813705E-6</v>
      </c>
      <c r="AF77" s="144">
        <f t="shared" si="120"/>
        <v>28927.832386959522</v>
      </c>
      <c r="AI77" s="86">
        <v>7</v>
      </c>
      <c r="AJ77" s="86">
        <f t="shared" si="121"/>
        <v>24</v>
      </c>
      <c r="AK77" s="132">
        <f t="shared" si="110"/>
        <v>2217.876866673575</v>
      </c>
      <c r="AL77" s="153">
        <f t="shared" si="111"/>
        <v>1.4219670682076002E-10</v>
      </c>
      <c r="AM77" s="153">
        <f t="shared" si="112"/>
        <v>6.5681391066181393E-6</v>
      </c>
      <c r="AN77" s="88">
        <f t="shared" si="96"/>
        <v>1.3163015588650725E-7</v>
      </c>
      <c r="AO77" s="96">
        <f t="shared" si="97"/>
        <v>6</v>
      </c>
      <c r="AP77" s="96">
        <f t="shared" si="98"/>
        <v>6.75</v>
      </c>
      <c r="AQ77" s="134">
        <f t="shared" si="99"/>
        <v>3.125</v>
      </c>
      <c r="AR77" s="148">
        <f t="shared" si="100"/>
        <v>47.023800000000001</v>
      </c>
      <c r="AS77" s="132">
        <f t="shared" si="101"/>
        <v>1.028360592863338E-2</v>
      </c>
      <c r="AT77" s="136">
        <f t="shared" si="102"/>
        <v>0.1547437531093985</v>
      </c>
      <c r="AU77" s="163">
        <f t="shared" si="113"/>
        <v>5.4934934079127072E-9</v>
      </c>
      <c r="AV77" s="153">
        <f t="shared" si="114"/>
        <v>8.279378849074243E-6</v>
      </c>
      <c r="AW77" s="144">
        <f t="shared" si="115"/>
        <v>663.51516316069535</v>
      </c>
    </row>
    <row r="78" spans="1:49" x14ac:dyDescent="0.25">
      <c r="A78" s="96">
        <v>10</v>
      </c>
      <c r="B78" s="86">
        <v>0.95</v>
      </c>
      <c r="C78" s="86">
        <f t="shared" si="131"/>
        <v>4798.79</v>
      </c>
      <c r="D78" s="138">
        <f>AK20</f>
        <v>2718.6707447976632</v>
      </c>
      <c r="E78" s="153">
        <f t="shared" si="132"/>
        <v>6.5681391066181393E-6</v>
      </c>
      <c r="F78" s="153">
        <f t="shared" si="133"/>
        <v>1.358149665030406E-7</v>
      </c>
      <c r="G78" s="86">
        <f t="shared" si="122"/>
        <v>7.6</v>
      </c>
      <c r="H78" s="96">
        <f t="shared" si="123"/>
        <v>8.5499999999999989</v>
      </c>
      <c r="I78" s="136">
        <f t="shared" si="124"/>
        <v>0.62500000000000056</v>
      </c>
      <c r="J78" s="168">
        <f t="shared" si="125"/>
        <v>47.023800000000001</v>
      </c>
      <c r="K78" s="170">
        <f t="shared" si="126"/>
        <v>2.1221088516100114E-3</v>
      </c>
      <c r="L78" s="142">
        <f t="shared" si="127"/>
        <v>0.15966339554614201</v>
      </c>
      <c r="M78" s="165">
        <f t="shared" si="134"/>
        <v>2.1501674944772114E-9</v>
      </c>
      <c r="N78" s="163">
        <f>SUM(U140:U155)</f>
        <v>0</v>
      </c>
      <c r="O78" s="163">
        <f t="shared" si="128"/>
        <v>8.6648318849341872E-6</v>
      </c>
      <c r="P78" s="144">
        <f>AF129</f>
        <v>26164.87325735074</v>
      </c>
      <c r="R78" s="86">
        <v>7</v>
      </c>
      <c r="S78" s="86">
        <f t="shared" si="129"/>
        <v>24</v>
      </c>
      <c r="T78" s="132">
        <f t="shared" si="130"/>
        <v>2658.402707827644</v>
      </c>
      <c r="U78" s="153">
        <f t="shared" si="116"/>
        <v>8.3335147810235697E-9</v>
      </c>
      <c r="V78" s="153">
        <f t="shared" si="117"/>
        <v>6.5681391066181393E-6</v>
      </c>
      <c r="W78" s="88">
        <f t="shared" si="103"/>
        <v>1.3722664834965394E-7</v>
      </c>
      <c r="X78" s="96">
        <f t="shared" si="104"/>
        <v>7.76</v>
      </c>
      <c r="Y78" s="96">
        <f t="shared" si="105"/>
        <v>8.73</v>
      </c>
      <c r="Z78" s="134">
        <f t="shared" si="106"/>
        <v>0.37500000000000033</v>
      </c>
      <c r="AA78" s="148">
        <f t="shared" si="107"/>
        <v>47.023800000000001</v>
      </c>
      <c r="AB78" s="132">
        <f t="shared" si="118"/>
        <v>1.2864998282780069E-3</v>
      </c>
      <c r="AC78" s="136">
        <f t="shared" si="108"/>
        <v>0.16132296166661145</v>
      </c>
      <c r="AD78" s="163">
        <f t="shared" si="119"/>
        <v>2.5361741963246147E-7</v>
      </c>
      <c r="AE78" s="165">
        <f t="shared" si="109"/>
        <v>8.7672458910813705E-6</v>
      </c>
      <c r="AF78" s="144">
        <f t="shared" si="120"/>
        <v>28927.832386959522</v>
      </c>
      <c r="AI78" s="86">
        <v>8</v>
      </c>
      <c r="AJ78" s="86">
        <f t="shared" si="121"/>
        <v>26</v>
      </c>
      <c r="AK78" s="132">
        <f t="shared" si="110"/>
        <v>2243.8216568010234</v>
      </c>
      <c r="AL78" s="153">
        <f t="shared" si="111"/>
        <v>2.0252746366879562E-10</v>
      </c>
      <c r="AM78" s="153">
        <f t="shared" si="112"/>
        <v>6.5681391066181393E-6</v>
      </c>
      <c r="AN78" s="88">
        <f t="shared" si="96"/>
        <v>1.3163015588650725E-7</v>
      </c>
      <c r="AO78" s="96">
        <f t="shared" si="97"/>
        <v>6</v>
      </c>
      <c r="AP78" s="96">
        <f t="shared" si="98"/>
        <v>6.75</v>
      </c>
      <c r="AQ78" s="134">
        <f t="shared" si="99"/>
        <v>3.125</v>
      </c>
      <c r="AR78" s="148">
        <f t="shared" si="100"/>
        <v>47.023800000000001</v>
      </c>
      <c r="AS78" s="132">
        <f t="shared" si="101"/>
        <v>1.028360592863338E-2</v>
      </c>
      <c r="AT78" s="136">
        <f t="shared" si="102"/>
        <v>0.1547437531093985</v>
      </c>
      <c r="AU78" s="163">
        <f t="shared" si="113"/>
        <v>5.4934934079127072E-9</v>
      </c>
      <c r="AV78" s="153">
        <f t="shared" si="114"/>
        <v>8.279378849074243E-6</v>
      </c>
      <c r="AW78" s="144">
        <f t="shared" si="115"/>
        <v>663.51516316069535</v>
      </c>
    </row>
    <row r="79" spans="1:49" x14ac:dyDescent="0.25">
      <c r="A79" s="96">
        <v>10</v>
      </c>
      <c r="B79" s="86">
        <v>0.9</v>
      </c>
      <c r="C79" s="86">
        <f t="shared" si="131"/>
        <v>4532.5800000000008</v>
      </c>
      <c r="D79" s="138">
        <f>AK20</f>
        <v>2718.6707447976632</v>
      </c>
      <c r="E79" s="153">
        <f t="shared" si="132"/>
        <v>6.5681391066181393E-6</v>
      </c>
      <c r="F79" s="153">
        <f t="shared" si="133"/>
        <v>1.331435774811735E-7</v>
      </c>
      <c r="G79" s="86">
        <f t="shared" si="122"/>
        <v>7.2</v>
      </c>
      <c r="H79" s="96">
        <f t="shared" si="123"/>
        <v>8.1</v>
      </c>
      <c r="I79" s="136">
        <f t="shared" si="124"/>
        <v>1.2499999999999998</v>
      </c>
      <c r="J79" s="168">
        <f t="shared" si="125"/>
        <v>47.023800000000001</v>
      </c>
      <c r="K79" s="170">
        <f t="shared" si="126"/>
        <v>4.160736796286672E-3</v>
      </c>
      <c r="L79" s="142">
        <f t="shared" si="127"/>
        <v>0.15652292396898015</v>
      </c>
      <c r="M79" s="165">
        <f t="shared" si="134"/>
        <v>4.1740839017010276E-9</v>
      </c>
      <c r="N79" s="163">
        <f>SUM(AL31:AL46)</f>
        <v>5.0254377514888762E-8</v>
      </c>
      <c r="O79" s="163">
        <f t="shared" si="128"/>
        <v>8.4644431660726279E-6</v>
      </c>
      <c r="P79" s="144">
        <f>AW20</f>
        <v>14321.245393780046</v>
      </c>
      <c r="R79" s="86">
        <v>8</v>
      </c>
      <c r="S79" s="86">
        <f t="shared" si="129"/>
        <v>26</v>
      </c>
      <c r="T79" s="132">
        <f t="shared" si="130"/>
        <v>2689.50078246164</v>
      </c>
      <c r="U79" s="153">
        <f t="shared" si="116"/>
        <v>1.1193614818499427E-8</v>
      </c>
      <c r="V79" s="153">
        <f t="shared" si="117"/>
        <v>6.5681391066181393E-6</v>
      </c>
      <c r="W79" s="88">
        <f t="shared" si="103"/>
        <v>1.3722664834965394E-7</v>
      </c>
      <c r="X79" s="96">
        <f t="shared" si="104"/>
        <v>7.76</v>
      </c>
      <c r="Y79" s="96">
        <f t="shared" si="105"/>
        <v>8.73</v>
      </c>
      <c r="Z79" s="134">
        <f t="shared" si="106"/>
        <v>0.37500000000000033</v>
      </c>
      <c r="AA79" s="148">
        <f t="shared" si="107"/>
        <v>47.023800000000001</v>
      </c>
      <c r="AB79" s="132">
        <f t="shared" si="118"/>
        <v>1.2864998282780069E-3</v>
      </c>
      <c r="AC79" s="136">
        <f t="shared" si="108"/>
        <v>0.16132296166661145</v>
      </c>
      <c r="AD79" s="163">
        <f t="shared" si="119"/>
        <v>2.5361741963246147E-7</v>
      </c>
      <c r="AE79" s="165">
        <f t="shared" si="109"/>
        <v>8.7672458910813705E-6</v>
      </c>
      <c r="AF79" s="144">
        <f t="shared" si="120"/>
        <v>28927.832386959522</v>
      </c>
      <c r="AI79" s="86">
        <v>9</v>
      </c>
      <c r="AJ79" s="86">
        <f t="shared" si="121"/>
        <v>28</v>
      </c>
      <c r="AK79" s="132">
        <f t="shared" si="110"/>
        <v>2268.1132850553581</v>
      </c>
      <c r="AL79" s="153">
        <f t="shared" si="111"/>
        <v>2.7996666238248145E-10</v>
      </c>
      <c r="AM79" s="153">
        <f t="shared" si="112"/>
        <v>6.5681391066181393E-6</v>
      </c>
      <c r="AN79" s="88">
        <f t="shared" si="96"/>
        <v>1.3163015588650725E-7</v>
      </c>
      <c r="AO79" s="96">
        <f t="shared" si="97"/>
        <v>6</v>
      </c>
      <c r="AP79" s="96">
        <f t="shared" si="98"/>
        <v>6.75</v>
      </c>
      <c r="AQ79" s="134">
        <f t="shared" si="99"/>
        <v>3.125</v>
      </c>
      <c r="AR79" s="148">
        <f t="shared" si="100"/>
        <v>47.023800000000001</v>
      </c>
      <c r="AS79" s="132">
        <f t="shared" si="101"/>
        <v>1.028360592863338E-2</v>
      </c>
      <c r="AT79" s="136">
        <f t="shared" si="102"/>
        <v>0.1547437531093985</v>
      </c>
      <c r="AU79" s="163">
        <f t="shared" si="113"/>
        <v>5.4934934079127072E-9</v>
      </c>
      <c r="AV79" s="153">
        <f t="shared" si="114"/>
        <v>8.279378849074243E-6</v>
      </c>
      <c r="AW79" s="144">
        <f t="shared" si="115"/>
        <v>663.51516316069535</v>
      </c>
    </row>
    <row r="80" spans="1:49" x14ac:dyDescent="0.25">
      <c r="A80" s="96">
        <v>10</v>
      </c>
      <c r="B80" s="97">
        <v>0.85</v>
      </c>
      <c r="C80" s="86">
        <f t="shared" si="131"/>
        <v>4266.37</v>
      </c>
      <c r="D80" s="138">
        <f>AK41</f>
        <v>2612.0261201664007</v>
      </c>
      <c r="E80" s="153">
        <f t="shared" si="132"/>
        <v>6.5681391066181393E-6</v>
      </c>
      <c r="F80" s="153">
        <f t="shared" si="133"/>
        <v>1.3159718962638479E-7</v>
      </c>
      <c r="G80" s="86">
        <f t="shared" si="122"/>
        <v>6.8</v>
      </c>
      <c r="H80" s="96">
        <f t="shared" si="123"/>
        <v>7.6499999999999995</v>
      </c>
      <c r="I80" s="136">
        <f t="shared" si="124"/>
        <v>1.8750000000000002</v>
      </c>
      <c r="J80" s="168">
        <f t="shared" si="125"/>
        <v>47.023800000000001</v>
      </c>
      <c r="K80" s="170">
        <f t="shared" si="126"/>
        <v>6.1686182637367875E-3</v>
      </c>
      <c r="L80" s="142">
        <f t="shared" si="127"/>
        <v>0.15470499813882985</v>
      </c>
      <c r="M80" s="165">
        <f t="shared" si="134"/>
        <v>2.2212661293516389E-9</v>
      </c>
      <c r="N80" s="163">
        <f>SUM(AL52:AL67)</f>
        <v>1.8100765306480838E-8</v>
      </c>
      <c r="O80" s="163">
        <f t="shared" si="128"/>
        <v>8.3365240462039239E-6</v>
      </c>
      <c r="P80" s="144">
        <f>AW41</f>
        <v>6147.7721486851342</v>
      </c>
      <c r="R80" s="86">
        <v>9</v>
      </c>
      <c r="S80" s="86">
        <f t="shared" si="129"/>
        <v>28</v>
      </c>
      <c r="T80" s="132">
        <f t="shared" si="130"/>
        <v>2718.6173359093159</v>
      </c>
      <c r="U80" s="153">
        <f t="shared" si="116"/>
        <v>1.4665271756703888E-8</v>
      </c>
      <c r="V80" s="153">
        <f t="shared" si="117"/>
        <v>6.5681391066181393E-6</v>
      </c>
      <c r="W80" s="88">
        <f t="shared" si="103"/>
        <v>1.3722664834965394E-7</v>
      </c>
      <c r="X80" s="96">
        <f t="shared" si="104"/>
        <v>7.76</v>
      </c>
      <c r="Y80" s="96">
        <f t="shared" si="105"/>
        <v>8.73</v>
      </c>
      <c r="Z80" s="134">
        <f t="shared" si="106"/>
        <v>0.37500000000000033</v>
      </c>
      <c r="AA80" s="148">
        <f t="shared" si="107"/>
        <v>47.023800000000001</v>
      </c>
      <c r="AB80" s="132">
        <f t="shared" si="118"/>
        <v>1.2864998282780069E-3</v>
      </c>
      <c r="AC80" s="136">
        <f t="shared" si="108"/>
        <v>0.16132296166661145</v>
      </c>
      <c r="AD80" s="163">
        <f t="shared" si="119"/>
        <v>2.5361741963246147E-7</v>
      </c>
      <c r="AE80" s="165">
        <f t="shared" si="109"/>
        <v>8.7672458910813705E-6</v>
      </c>
      <c r="AF80" s="144">
        <f t="shared" si="120"/>
        <v>28927.832386959522</v>
      </c>
      <c r="AI80" s="86">
        <v>10</v>
      </c>
      <c r="AJ80" s="86">
        <f t="shared" si="121"/>
        <v>30</v>
      </c>
      <c r="AK80" s="132">
        <f t="shared" si="110"/>
        <v>2290.9645716186533</v>
      </c>
      <c r="AL80" s="153">
        <f t="shared" si="111"/>
        <v>3.7728415928929586E-10</v>
      </c>
      <c r="AM80" s="153">
        <f t="shared" si="112"/>
        <v>6.5681391066181393E-6</v>
      </c>
      <c r="AN80" s="88">
        <f t="shared" si="96"/>
        <v>1.3163015588650725E-7</v>
      </c>
      <c r="AO80" s="96">
        <f t="shared" si="97"/>
        <v>6</v>
      </c>
      <c r="AP80" s="96">
        <f t="shared" si="98"/>
        <v>6.75</v>
      </c>
      <c r="AQ80" s="134">
        <f t="shared" si="99"/>
        <v>3.125</v>
      </c>
      <c r="AR80" s="148">
        <f t="shared" si="100"/>
        <v>47.023800000000001</v>
      </c>
      <c r="AS80" s="132">
        <f t="shared" si="101"/>
        <v>1.028360592863338E-2</v>
      </c>
      <c r="AT80" s="136">
        <f t="shared" si="102"/>
        <v>0.1547437531093985</v>
      </c>
      <c r="AU80" s="163">
        <f t="shared" si="113"/>
        <v>5.4934934079127072E-9</v>
      </c>
      <c r="AV80" s="153">
        <f t="shared" si="114"/>
        <v>8.279378849074243E-6</v>
      </c>
      <c r="AW80" s="144">
        <f t="shared" si="115"/>
        <v>663.51516316069535</v>
      </c>
    </row>
    <row r="81" spans="1:49" x14ac:dyDescent="0.25">
      <c r="A81" s="96">
        <v>10</v>
      </c>
      <c r="B81" s="86">
        <v>0.8</v>
      </c>
      <c r="C81" s="86">
        <f t="shared" si="131"/>
        <v>4000.1600000000008</v>
      </c>
      <c r="D81" s="138">
        <f>AK63</f>
        <v>2502.1601340208636</v>
      </c>
      <c r="E81" s="153">
        <f t="shared" si="132"/>
        <v>6.5681391066181393E-6</v>
      </c>
      <c r="F81" s="153">
        <f t="shared" si="133"/>
        <v>1.3110058097042195E-7</v>
      </c>
      <c r="G81" s="86">
        <f t="shared" si="122"/>
        <v>6.4</v>
      </c>
      <c r="H81" s="96">
        <f t="shared" si="123"/>
        <v>7.2</v>
      </c>
      <c r="I81" s="136">
        <f t="shared" si="124"/>
        <v>2.4999999999999996</v>
      </c>
      <c r="J81" s="168">
        <f t="shared" si="125"/>
        <v>47.023800000000001</v>
      </c>
      <c r="K81" s="170">
        <f t="shared" si="126"/>
        <v>8.1937863106513707E-3</v>
      </c>
      <c r="L81" s="142">
        <f t="shared" si="127"/>
        <v>0.15412118748592321</v>
      </c>
      <c r="M81" s="165">
        <f t="shared" si="134"/>
        <v>9.4152018899276542E-10</v>
      </c>
      <c r="N81" s="163">
        <f>SUM(AL74:AL89)</f>
        <v>5.4516937100515511E-9</v>
      </c>
      <c r="O81" s="163">
        <f t="shared" si="128"/>
        <v>8.2755668530607212E-6</v>
      </c>
      <c r="P81" s="144">
        <f>AW63</f>
        <v>2207.2354050368504</v>
      </c>
      <c r="R81" s="86">
        <v>10</v>
      </c>
      <c r="S81" s="86">
        <f t="shared" si="129"/>
        <v>30</v>
      </c>
      <c r="T81" s="132">
        <f t="shared" si="130"/>
        <v>2746.0074597660659</v>
      </c>
      <c r="U81" s="153">
        <f t="shared" si="116"/>
        <v>1.8809727843407391E-8</v>
      </c>
      <c r="V81" s="153">
        <f t="shared" si="117"/>
        <v>6.5681391066181393E-6</v>
      </c>
      <c r="W81" s="88">
        <f t="shared" si="103"/>
        <v>1.3722664834965394E-7</v>
      </c>
      <c r="X81" s="96">
        <f t="shared" si="104"/>
        <v>7.76</v>
      </c>
      <c r="Y81" s="96">
        <f t="shared" si="105"/>
        <v>8.73</v>
      </c>
      <c r="Z81" s="134">
        <f t="shared" si="106"/>
        <v>0.37500000000000033</v>
      </c>
      <c r="AA81" s="148">
        <f t="shared" si="107"/>
        <v>47.023800000000001</v>
      </c>
      <c r="AB81" s="132">
        <f t="shared" si="118"/>
        <v>1.2864998282780069E-3</v>
      </c>
      <c r="AC81" s="136">
        <f t="shared" si="108"/>
        <v>0.16132296166661145</v>
      </c>
      <c r="AD81" s="163">
        <f t="shared" si="119"/>
        <v>2.5361741963246147E-7</v>
      </c>
      <c r="AE81" s="165">
        <f t="shared" si="109"/>
        <v>8.7672458910813705E-6</v>
      </c>
      <c r="AF81" s="144">
        <f t="shared" si="120"/>
        <v>28927.832386959522</v>
      </c>
      <c r="AI81" s="86">
        <v>11</v>
      </c>
      <c r="AJ81" s="86">
        <f t="shared" si="121"/>
        <v>32</v>
      </c>
      <c r="AK81" s="132">
        <f t="shared" si="110"/>
        <v>2312.5488885046702</v>
      </c>
      <c r="AL81" s="153">
        <f t="shared" si="111"/>
        <v>4.9738862535555816E-10</v>
      </c>
      <c r="AM81" s="153">
        <f t="shared" si="112"/>
        <v>6.5681391066181393E-6</v>
      </c>
      <c r="AN81" s="88">
        <f t="shared" si="96"/>
        <v>1.3163015588650725E-7</v>
      </c>
      <c r="AO81" s="96">
        <f t="shared" si="97"/>
        <v>6</v>
      </c>
      <c r="AP81" s="96">
        <f t="shared" si="98"/>
        <v>6.75</v>
      </c>
      <c r="AQ81" s="134">
        <f t="shared" si="99"/>
        <v>3.125</v>
      </c>
      <c r="AR81" s="148">
        <f t="shared" si="100"/>
        <v>47.023800000000001</v>
      </c>
      <c r="AS81" s="132">
        <f t="shared" si="101"/>
        <v>1.028360592863338E-2</v>
      </c>
      <c r="AT81" s="136">
        <f t="shared" si="102"/>
        <v>0.1547437531093985</v>
      </c>
      <c r="AU81" s="163">
        <f t="shared" si="113"/>
        <v>5.4934934079127072E-9</v>
      </c>
      <c r="AV81" s="153">
        <f t="shared" si="114"/>
        <v>8.279378849074243E-6</v>
      </c>
      <c r="AW81" s="144">
        <f t="shared" si="115"/>
        <v>663.51516316069535</v>
      </c>
    </row>
    <row r="82" spans="1:49" x14ac:dyDescent="0.25">
      <c r="A82" s="96">
        <v>10</v>
      </c>
      <c r="B82" s="97">
        <v>0.75</v>
      </c>
      <c r="C82" s="86">
        <f t="shared" si="131"/>
        <v>3733.9500000000003</v>
      </c>
      <c r="D82" s="138">
        <f>AK85</f>
        <v>2388.756406322193</v>
      </c>
      <c r="E82" s="153">
        <f t="shared" si="132"/>
        <v>6.5681391066181393E-6</v>
      </c>
      <c r="F82" s="153">
        <f t="shared" si="133"/>
        <v>1.3163015588650725E-7</v>
      </c>
      <c r="G82" s="86">
        <f t="shared" si="122"/>
        <v>6</v>
      </c>
      <c r="H82" s="96">
        <f t="shared" si="123"/>
        <v>6.75</v>
      </c>
      <c r="I82" s="136">
        <f t="shared" si="124"/>
        <v>3.125</v>
      </c>
      <c r="J82" s="168">
        <f t="shared" si="125"/>
        <v>47.023800000000001</v>
      </c>
      <c r="K82" s="170">
        <f t="shared" si="126"/>
        <v>1.028360592863338E-2</v>
      </c>
      <c r="L82" s="142">
        <f t="shared" si="127"/>
        <v>0.1547437531093985</v>
      </c>
      <c r="M82" s="165">
        <f t="shared" si="134"/>
        <v>3.2688289973691868E-10</v>
      </c>
      <c r="N82" s="163">
        <f>SUM(AL96:AL111)</f>
        <v>1.350176490132485E-9</v>
      </c>
      <c r="O82" s="163">
        <f t="shared" si="128"/>
        <v>8.279378849074243E-6</v>
      </c>
      <c r="P82" s="144">
        <f>AW85</f>
        <v>663.51516316069535</v>
      </c>
      <c r="R82" s="86">
        <v>11</v>
      </c>
      <c r="S82" s="86">
        <f t="shared" si="129"/>
        <v>32</v>
      </c>
      <c r="T82" s="132">
        <f t="shared" si="130"/>
        <v>2771.8789620656762</v>
      </c>
      <c r="U82" s="153">
        <f t="shared" si="116"/>
        <v>2.3687541193187949E-8</v>
      </c>
      <c r="V82" s="153">
        <f t="shared" si="117"/>
        <v>6.5681391066181393E-6</v>
      </c>
      <c r="W82" s="88">
        <f t="shared" si="103"/>
        <v>1.3722664834965394E-7</v>
      </c>
      <c r="X82" s="96">
        <f t="shared" si="104"/>
        <v>7.76</v>
      </c>
      <c r="Y82" s="96">
        <f t="shared" si="105"/>
        <v>8.73</v>
      </c>
      <c r="Z82" s="134">
        <f t="shared" si="106"/>
        <v>0.37500000000000033</v>
      </c>
      <c r="AA82" s="148">
        <f t="shared" si="107"/>
        <v>47.023800000000001</v>
      </c>
      <c r="AB82" s="132">
        <f t="shared" si="118"/>
        <v>1.2864998282780069E-3</v>
      </c>
      <c r="AC82" s="136">
        <f t="shared" si="108"/>
        <v>0.16132296166661145</v>
      </c>
      <c r="AD82" s="163">
        <f t="shared" si="119"/>
        <v>2.5361741963246147E-7</v>
      </c>
      <c r="AE82" s="165">
        <f t="shared" si="109"/>
        <v>8.7672458910813705E-6</v>
      </c>
      <c r="AF82" s="144">
        <f t="shared" si="120"/>
        <v>28927.832386959522</v>
      </c>
      <c r="AI82" s="86">
        <v>12</v>
      </c>
      <c r="AJ82" s="86">
        <f t="shared" si="121"/>
        <v>34</v>
      </c>
      <c r="AK82" s="132">
        <f t="shared" si="110"/>
        <v>2333.0094343227297</v>
      </c>
      <c r="AL82" s="153">
        <f t="shared" si="111"/>
        <v>6.433147652135874E-10</v>
      </c>
      <c r="AM82" s="153">
        <f t="shared" si="112"/>
        <v>6.5681391066181393E-6</v>
      </c>
      <c r="AN82" s="88">
        <f t="shared" si="96"/>
        <v>1.3163015588650725E-7</v>
      </c>
      <c r="AO82" s="96">
        <f t="shared" si="97"/>
        <v>6</v>
      </c>
      <c r="AP82" s="96">
        <f t="shared" si="98"/>
        <v>6.75</v>
      </c>
      <c r="AQ82" s="134">
        <f t="shared" si="99"/>
        <v>3.125</v>
      </c>
      <c r="AR82" s="148">
        <f t="shared" si="100"/>
        <v>47.023800000000001</v>
      </c>
      <c r="AS82" s="132">
        <f t="shared" si="101"/>
        <v>1.028360592863338E-2</v>
      </c>
      <c r="AT82" s="136">
        <f t="shared" si="102"/>
        <v>0.1547437531093985</v>
      </c>
      <c r="AU82" s="163">
        <f t="shared" si="113"/>
        <v>5.4934934079127072E-9</v>
      </c>
      <c r="AV82" s="153">
        <f t="shared" si="114"/>
        <v>8.279378849074243E-6</v>
      </c>
      <c r="AW82" s="144">
        <f t="shared" si="115"/>
        <v>663.51516316069535</v>
      </c>
    </row>
    <row r="83" spans="1:49" x14ac:dyDescent="0.25">
      <c r="A83" s="96">
        <v>10</v>
      </c>
      <c r="B83" s="86">
        <v>0.7</v>
      </c>
      <c r="C83" s="86">
        <f t="shared" si="131"/>
        <v>3467.74</v>
      </c>
      <c r="D83" s="138">
        <f>AK106</f>
        <v>2271.563227410275</v>
      </c>
      <c r="E83" s="153">
        <f t="shared" si="132"/>
        <v>6.5681391066181393E-6</v>
      </c>
      <c r="F83" s="153">
        <f t="shared" si="133"/>
        <v>1.3321108594991789E-7</v>
      </c>
      <c r="G83" s="86">
        <f t="shared" si="122"/>
        <v>5.6</v>
      </c>
      <c r="H83" s="96">
        <f t="shared" si="123"/>
        <v>6.3</v>
      </c>
      <c r="I83" s="136">
        <f t="shared" si="124"/>
        <v>3.7500000000000004</v>
      </c>
      <c r="J83" s="168">
        <f t="shared" si="125"/>
        <v>47.023800000000001</v>
      </c>
      <c r="K83" s="170">
        <f t="shared" si="126"/>
        <v>1.2488539307804806E-2</v>
      </c>
      <c r="L83" s="142">
        <f t="shared" si="127"/>
        <v>0.15660228658729375</v>
      </c>
      <c r="M83" s="165">
        <f t="shared" si="134"/>
        <v>9.2269619207164672E-11</v>
      </c>
      <c r="N83" s="163">
        <f>SUM(AL117:AL132)</f>
        <v>2.7105941924404025E-10</v>
      </c>
      <c r="O83" s="163">
        <f t="shared" si="128"/>
        <v>8.3488449586079632E-6</v>
      </c>
      <c r="P83" s="144">
        <f>AW106</f>
        <v>163.73512842097657</v>
      </c>
      <c r="R83" s="86">
        <v>12</v>
      </c>
      <c r="S83" s="86">
        <f t="shared" si="129"/>
        <v>34</v>
      </c>
      <c r="T83" s="132">
        <f t="shared" si="130"/>
        <v>2796.4034842443757</v>
      </c>
      <c r="U83" s="153">
        <f t="shared" si="116"/>
        <v>2.9358453812464625E-8</v>
      </c>
      <c r="V83" s="153">
        <f t="shared" si="117"/>
        <v>6.5681391066181393E-6</v>
      </c>
      <c r="W83" s="88">
        <f t="shared" si="103"/>
        <v>1.3722664834965394E-7</v>
      </c>
      <c r="X83" s="96">
        <f t="shared" si="104"/>
        <v>7.76</v>
      </c>
      <c r="Y83" s="96">
        <f t="shared" si="105"/>
        <v>8.73</v>
      </c>
      <c r="Z83" s="134">
        <f t="shared" si="106"/>
        <v>0.37500000000000033</v>
      </c>
      <c r="AA83" s="148">
        <f t="shared" si="107"/>
        <v>47.023800000000001</v>
      </c>
      <c r="AB83" s="132">
        <f t="shared" si="118"/>
        <v>1.2864998282780069E-3</v>
      </c>
      <c r="AC83" s="136">
        <f t="shared" si="108"/>
        <v>0.16132296166661145</v>
      </c>
      <c r="AD83" s="163">
        <f t="shared" si="119"/>
        <v>2.5361741963246147E-7</v>
      </c>
      <c r="AE83" s="165">
        <f t="shared" si="109"/>
        <v>8.7672458910813705E-6</v>
      </c>
      <c r="AF83" s="144">
        <f t="shared" si="120"/>
        <v>28927.832386959522</v>
      </c>
      <c r="AI83" s="86">
        <v>13</v>
      </c>
      <c r="AJ83" s="86">
        <f t="shared" si="121"/>
        <v>36</v>
      </c>
      <c r="AK83" s="132">
        <f t="shared" si="110"/>
        <v>2352.4659197915125</v>
      </c>
      <c r="AL83" s="153">
        <f t="shared" si="111"/>
        <v>8.18211533818862E-10</v>
      </c>
      <c r="AM83" s="153">
        <f t="shared" si="112"/>
        <v>6.5681391066181393E-6</v>
      </c>
      <c r="AN83" s="88">
        <f t="shared" si="96"/>
        <v>1.3163015588650725E-7</v>
      </c>
      <c r="AO83" s="96">
        <f t="shared" si="97"/>
        <v>6</v>
      </c>
      <c r="AP83" s="96">
        <f t="shared" si="98"/>
        <v>6.75</v>
      </c>
      <c r="AQ83" s="134">
        <f t="shared" si="99"/>
        <v>3.125</v>
      </c>
      <c r="AR83" s="148">
        <f t="shared" si="100"/>
        <v>47.023800000000001</v>
      </c>
      <c r="AS83" s="132">
        <f t="shared" si="101"/>
        <v>1.028360592863338E-2</v>
      </c>
      <c r="AT83" s="136">
        <f t="shared" si="102"/>
        <v>0.1547437531093985</v>
      </c>
      <c r="AU83" s="163">
        <f t="shared" si="113"/>
        <v>5.4934934079127072E-9</v>
      </c>
      <c r="AV83" s="153">
        <f t="shared" si="114"/>
        <v>8.279378849074243E-6</v>
      </c>
      <c r="AW83" s="144">
        <f t="shared" si="115"/>
        <v>663.51516316069535</v>
      </c>
    </row>
    <row r="84" spans="1:49" x14ac:dyDescent="0.25">
      <c r="A84" s="96">
        <v>10</v>
      </c>
      <c r="B84" s="86">
        <v>0.65</v>
      </c>
      <c r="C84" s="86">
        <f t="shared" si="131"/>
        <v>3201.5300000000007</v>
      </c>
      <c r="D84" s="138">
        <f>AK128</f>
        <v>2150.4344705014764</v>
      </c>
      <c r="E84" s="153">
        <f t="shared" si="132"/>
        <v>6.5681391066181393E-6</v>
      </c>
      <c r="F84" s="153">
        <f t="shared" si="133"/>
        <v>1.3592036176271897E-7</v>
      </c>
      <c r="G84" s="86">
        <f t="shared" si="122"/>
        <v>5.2</v>
      </c>
      <c r="H84" s="96">
        <f t="shared" si="123"/>
        <v>5.8500000000000005</v>
      </c>
      <c r="I84" s="136">
        <f t="shared" si="124"/>
        <v>4.375</v>
      </c>
      <c r="J84" s="168">
        <f t="shared" si="125"/>
        <v>47.023800000000001</v>
      </c>
      <c r="K84" s="170">
        <f t="shared" si="126"/>
        <v>1.486628956779739E-2</v>
      </c>
      <c r="L84" s="142">
        <f t="shared" si="127"/>
        <v>0.15978729768644362</v>
      </c>
      <c r="M84" s="165">
        <f t="shared" si="134"/>
        <v>2.0633667512161246E-11</v>
      </c>
      <c r="N84" s="163">
        <f>SUM(AL139:AL154)</f>
        <v>4.1417822428978206E-11</v>
      </c>
      <c r="O84" s="163">
        <f t="shared" si="128"/>
        <v>8.4880634876476858E-6</v>
      </c>
      <c r="P84" s="144">
        <f>AW128</f>
        <v>32.093593252914793</v>
      </c>
      <c r="R84" s="86">
        <v>13</v>
      </c>
      <c r="S84" s="86">
        <f t="shared" si="129"/>
        <v>36</v>
      </c>
      <c r="T84" s="132">
        <f t="shared" si="130"/>
        <v>2819.7245145649622</v>
      </c>
      <c r="U84" s="153">
        <f t="shared" si="116"/>
        <v>3.5881293004496534E-8</v>
      </c>
      <c r="V84" s="153">
        <f t="shared" si="117"/>
        <v>6.5681391066181393E-6</v>
      </c>
      <c r="W84" s="88">
        <f t="shared" si="103"/>
        <v>1.3722664834965394E-7</v>
      </c>
      <c r="X84" s="96">
        <f t="shared" si="104"/>
        <v>7.76</v>
      </c>
      <c r="Y84" s="96">
        <f t="shared" si="105"/>
        <v>8.73</v>
      </c>
      <c r="Z84" s="134">
        <f t="shared" si="106"/>
        <v>0.37500000000000033</v>
      </c>
      <c r="AA84" s="148">
        <f t="shared" si="107"/>
        <v>47.023800000000001</v>
      </c>
      <c r="AB84" s="132">
        <f t="shared" si="118"/>
        <v>1.2864998282780069E-3</v>
      </c>
      <c r="AC84" s="136">
        <f t="shared" si="108"/>
        <v>0.16132296166661145</v>
      </c>
      <c r="AD84" s="163">
        <f t="shared" si="119"/>
        <v>2.5361741963246147E-7</v>
      </c>
      <c r="AE84" s="165">
        <f t="shared" si="109"/>
        <v>8.7672458910813705E-6</v>
      </c>
      <c r="AF84" s="144">
        <f t="shared" si="120"/>
        <v>28927.832386959522</v>
      </c>
      <c r="AI84" s="86">
        <v>14</v>
      </c>
      <c r="AJ84" s="86">
        <f t="shared" si="121"/>
        <v>38</v>
      </c>
      <c r="AK84" s="132">
        <f t="shared" si="110"/>
        <v>2371.0194885705068</v>
      </c>
      <c r="AL84" s="153">
        <f t="shared" si="111"/>
        <v>1.0253312936711516E-9</v>
      </c>
      <c r="AM84" s="153">
        <f t="shared" si="112"/>
        <v>6.5681391066181393E-6</v>
      </c>
      <c r="AN84" s="88">
        <f t="shared" si="96"/>
        <v>1.3163015588650725E-7</v>
      </c>
      <c r="AO84" s="96">
        <f t="shared" si="97"/>
        <v>6</v>
      </c>
      <c r="AP84" s="96">
        <f t="shared" si="98"/>
        <v>6.75</v>
      </c>
      <c r="AQ84" s="134">
        <f t="shared" si="99"/>
        <v>3.125</v>
      </c>
      <c r="AR84" s="148">
        <f t="shared" si="100"/>
        <v>47.023800000000001</v>
      </c>
      <c r="AS84" s="132">
        <f t="shared" si="101"/>
        <v>1.028360592863338E-2</v>
      </c>
      <c r="AT84" s="136">
        <f t="shared" si="102"/>
        <v>0.1547437531093985</v>
      </c>
      <c r="AU84" s="163">
        <f t="shared" si="113"/>
        <v>5.4934934079127072E-9</v>
      </c>
      <c r="AV84" s="153">
        <f t="shared" si="114"/>
        <v>8.279378849074243E-6</v>
      </c>
      <c r="AW84" s="144">
        <f t="shared" si="115"/>
        <v>663.51516316069535</v>
      </c>
    </row>
    <row r="85" spans="1:49" ht="15.75" thickBot="1" x14ac:dyDescent="0.3">
      <c r="A85" s="96">
        <v>10</v>
      </c>
      <c r="B85" s="160">
        <v>0.6</v>
      </c>
      <c r="C85" s="156">
        <f t="shared" si="131"/>
        <v>2935.32</v>
      </c>
      <c r="D85" s="139">
        <f>AK150</f>
        <v>2025.3722015155279</v>
      </c>
      <c r="E85" s="153">
        <f t="shared" si="132"/>
        <v>6.5681391066181393E-6</v>
      </c>
      <c r="F85" s="153">
        <f t="shared" si="133"/>
        <v>1.3989646659463557E-7</v>
      </c>
      <c r="G85" s="156">
        <f t="shared" si="122"/>
        <v>4.8</v>
      </c>
      <c r="H85" s="99">
        <f t="shared" si="123"/>
        <v>5.3999999999999995</v>
      </c>
      <c r="I85" s="125">
        <f t="shared" si="124"/>
        <v>5</v>
      </c>
      <c r="J85" s="169">
        <f t="shared" si="125"/>
        <v>47.023800000000001</v>
      </c>
      <c r="K85" s="170">
        <f t="shared" si="126"/>
        <v>1.7487058324329448E-2</v>
      </c>
      <c r="L85" s="142">
        <f t="shared" si="127"/>
        <v>0.16446158664632063</v>
      </c>
      <c r="M85" s="165">
        <f t="shared" si="134"/>
        <v>3.5107410451108067E-12</v>
      </c>
      <c r="N85" s="163">
        <f>SUM(AL161:AL176)</f>
        <v>0</v>
      </c>
      <c r="O85" s="163">
        <f t="shared" si="128"/>
        <v>8.7048897580912845E-6</v>
      </c>
      <c r="P85" s="144">
        <f>AW150</f>
        <v>4.7761962078354561</v>
      </c>
      <c r="R85" s="86">
        <v>14</v>
      </c>
      <c r="S85" s="86">
        <f t="shared" si="129"/>
        <v>38</v>
      </c>
      <c r="T85" s="132">
        <f t="shared" si="130"/>
        <v>2841.9632863485012</v>
      </c>
      <c r="U85" s="153">
        <f t="shared" si="116"/>
        <v>4.331389888886097E-8</v>
      </c>
      <c r="V85" s="153">
        <f t="shared" si="117"/>
        <v>6.5681391066181393E-6</v>
      </c>
      <c r="W85" s="88">
        <f t="shared" si="103"/>
        <v>1.3722664834965394E-7</v>
      </c>
      <c r="X85" s="96">
        <f t="shared" si="104"/>
        <v>7.76</v>
      </c>
      <c r="Y85" s="96">
        <f t="shared" si="105"/>
        <v>8.73</v>
      </c>
      <c r="Z85" s="134">
        <f t="shared" si="106"/>
        <v>0.37500000000000033</v>
      </c>
      <c r="AA85" s="148">
        <f t="shared" si="107"/>
        <v>47.023800000000001</v>
      </c>
      <c r="AB85" s="132">
        <f t="shared" si="118"/>
        <v>1.2864998282780069E-3</v>
      </c>
      <c r="AC85" s="136">
        <f t="shared" si="108"/>
        <v>0.16132296166661145</v>
      </c>
      <c r="AD85" s="163">
        <f t="shared" si="119"/>
        <v>2.5361741963246147E-7</v>
      </c>
      <c r="AE85" s="165">
        <f t="shared" si="109"/>
        <v>8.7672458910813705E-6</v>
      </c>
      <c r="AF85" s="144">
        <f t="shared" si="120"/>
        <v>28927.832386959522</v>
      </c>
      <c r="AI85" s="86">
        <v>15</v>
      </c>
      <c r="AJ85" s="86">
        <f t="shared" si="121"/>
        <v>40</v>
      </c>
      <c r="AK85" s="132">
        <f t="shared" si="110"/>
        <v>2388.756406322193</v>
      </c>
      <c r="AL85" s="153">
        <f t="shared" si="111"/>
        <v>1.2680198489849488E-9</v>
      </c>
      <c r="AM85" s="153">
        <f t="shared" si="112"/>
        <v>6.5681391066181393E-6</v>
      </c>
      <c r="AN85" s="88">
        <f t="shared" si="96"/>
        <v>1.3163015588650725E-7</v>
      </c>
      <c r="AO85" s="96">
        <f t="shared" si="97"/>
        <v>6</v>
      </c>
      <c r="AP85" s="96">
        <f t="shared" si="98"/>
        <v>6.75</v>
      </c>
      <c r="AQ85" s="134">
        <f t="shared" si="99"/>
        <v>3.125</v>
      </c>
      <c r="AR85" s="148">
        <f t="shared" si="100"/>
        <v>47.023800000000001</v>
      </c>
      <c r="AS85" s="132">
        <f t="shared" si="101"/>
        <v>1.028360592863338E-2</v>
      </c>
      <c r="AT85" s="136">
        <f t="shared" si="102"/>
        <v>0.1547437531093985</v>
      </c>
      <c r="AU85" s="163">
        <f t="shared" si="113"/>
        <v>5.4934934079127072E-9</v>
      </c>
      <c r="AV85" s="153">
        <f t="shared" si="114"/>
        <v>8.279378849074243E-6</v>
      </c>
      <c r="AW85" s="144">
        <f t="shared" si="115"/>
        <v>663.51516316069535</v>
      </c>
    </row>
    <row r="86" spans="1:49" ht="15.75" thickBot="1" x14ac:dyDescent="0.3">
      <c r="R86" s="86">
        <v>15</v>
      </c>
      <c r="S86" s="86">
        <f t="shared" si="129"/>
        <v>40</v>
      </c>
      <c r="T86" s="132">
        <f t="shared" si="130"/>
        <v>2863.2231997765712</v>
      </c>
      <c r="U86" s="153">
        <f t="shared" si="116"/>
        <v>5.1713072445874932E-8</v>
      </c>
      <c r="V86" s="153">
        <f t="shared" si="117"/>
        <v>6.5681391066181393E-6</v>
      </c>
      <c r="W86" s="88">
        <f t="shared" si="103"/>
        <v>1.3722664834965394E-7</v>
      </c>
      <c r="X86" s="96">
        <f t="shared" si="104"/>
        <v>7.76</v>
      </c>
      <c r="Y86" s="96">
        <f t="shared" si="105"/>
        <v>8.73</v>
      </c>
      <c r="Z86" s="134">
        <f t="shared" si="106"/>
        <v>0.37500000000000033</v>
      </c>
      <c r="AA86" s="148">
        <f t="shared" si="107"/>
        <v>47.023800000000001</v>
      </c>
      <c r="AB86" s="132">
        <f t="shared" si="118"/>
        <v>1.2864998282780069E-3</v>
      </c>
      <c r="AC86" s="136">
        <f t="shared" si="108"/>
        <v>0.16132296166661145</v>
      </c>
      <c r="AD86" s="163">
        <f t="shared" si="119"/>
        <v>2.5361741963246147E-7</v>
      </c>
      <c r="AE86" s="165">
        <f t="shared" si="109"/>
        <v>8.7672458910813705E-6</v>
      </c>
      <c r="AF86" s="144">
        <f t="shared" si="120"/>
        <v>28927.832386959522</v>
      </c>
      <c r="AI86" s="108"/>
      <c r="AJ86" s="108"/>
      <c r="AK86" s="132"/>
      <c r="AL86" s="153"/>
      <c r="AM86" s="86"/>
      <c r="AN86" s="88"/>
      <c r="AO86" s="96"/>
      <c r="AP86" s="96"/>
      <c r="AQ86" s="134"/>
      <c r="AR86" s="149"/>
      <c r="AS86" s="133"/>
      <c r="AT86" s="125"/>
      <c r="AU86" s="125"/>
      <c r="AV86" s="162"/>
      <c r="AW86" s="144"/>
    </row>
    <row r="87" spans="1:49" ht="15.75" thickBot="1" x14ac:dyDescent="0.3">
      <c r="O87" s="102"/>
      <c r="P87" s="102"/>
      <c r="R87" s="108"/>
      <c r="S87" s="108"/>
      <c r="T87" s="132"/>
      <c r="U87" s="153"/>
      <c r="V87" s="86"/>
      <c r="W87" s="88"/>
      <c r="X87" s="96"/>
      <c r="Y87" s="96"/>
      <c r="Z87" s="134"/>
      <c r="AA87" s="149"/>
      <c r="AB87" s="133"/>
      <c r="AC87" s="125"/>
      <c r="AD87" s="182"/>
      <c r="AE87" s="166"/>
      <c r="AF87" s="144"/>
    </row>
    <row r="88" spans="1:49" ht="21.75" thickBot="1" x14ac:dyDescent="0.3">
      <c r="O88" s="102"/>
      <c r="P88" s="102"/>
      <c r="AI88" s="378" t="s">
        <v>29</v>
      </c>
      <c r="AJ88" s="379"/>
      <c r="AK88" s="390">
        <v>0.7</v>
      </c>
      <c r="AL88" s="391"/>
      <c r="AM88" s="391"/>
      <c r="AN88" s="391"/>
      <c r="AO88" s="391"/>
      <c r="AP88" s="391"/>
      <c r="AQ88" s="391"/>
      <c r="AR88" s="391"/>
      <c r="AS88" s="391"/>
      <c r="AT88" s="392"/>
      <c r="AU88" s="186"/>
    </row>
    <row r="89" spans="1:49" ht="21.75" thickBot="1" x14ac:dyDescent="0.3">
      <c r="O89" s="102"/>
      <c r="P89" s="102"/>
      <c r="R89" s="293" t="s">
        <v>29</v>
      </c>
      <c r="S89" s="295"/>
      <c r="T89" s="384">
        <v>0.96</v>
      </c>
      <c r="U89" s="385"/>
      <c r="V89" s="385"/>
      <c r="W89" s="385"/>
      <c r="X89" s="385"/>
      <c r="Y89" s="385"/>
      <c r="Z89" s="385"/>
      <c r="AA89" s="385"/>
      <c r="AB89" s="385"/>
      <c r="AC89" s="386"/>
      <c r="AD89" s="183"/>
      <c r="AI89" s="380"/>
      <c r="AJ89" s="381"/>
      <c r="AK89" s="393"/>
      <c r="AL89" s="394"/>
      <c r="AM89" s="394"/>
      <c r="AN89" s="394"/>
      <c r="AO89" s="394"/>
      <c r="AP89" s="394"/>
      <c r="AQ89" s="394"/>
      <c r="AR89" s="394"/>
      <c r="AS89" s="394"/>
      <c r="AT89" s="395"/>
      <c r="AU89" s="186"/>
    </row>
    <row r="90" spans="1:49" ht="21.75" thickBot="1" x14ac:dyDescent="0.3">
      <c r="O90" s="102"/>
      <c r="P90" s="102"/>
      <c r="R90" s="296"/>
      <c r="S90" s="298"/>
      <c r="T90" s="387"/>
      <c r="U90" s="388"/>
      <c r="V90" s="388"/>
      <c r="W90" s="388"/>
      <c r="X90" s="388"/>
      <c r="Y90" s="388"/>
      <c r="Z90" s="388"/>
      <c r="AA90" s="388"/>
      <c r="AB90" s="388"/>
      <c r="AC90" s="389"/>
      <c r="AD90" s="183"/>
      <c r="AI90" s="2" t="s">
        <v>73</v>
      </c>
      <c r="AJ90" s="2" t="s">
        <v>69</v>
      </c>
      <c r="AK90" s="116" t="s">
        <v>177</v>
      </c>
      <c r="AL90" s="2" t="s">
        <v>178</v>
      </c>
      <c r="AM90" s="109" t="s">
        <v>173</v>
      </c>
      <c r="AN90" s="2" t="s">
        <v>151</v>
      </c>
      <c r="AO90" s="109" t="s">
        <v>155</v>
      </c>
      <c r="AP90" s="112" t="s">
        <v>156</v>
      </c>
      <c r="AQ90" s="109" t="s">
        <v>157</v>
      </c>
      <c r="AR90" s="2" t="s">
        <v>158</v>
      </c>
      <c r="AS90" s="2" t="s">
        <v>180</v>
      </c>
      <c r="AT90" s="2" t="s">
        <v>181</v>
      </c>
      <c r="AU90" s="2" t="s">
        <v>185</v>
      </c>
      <c r="AV90" s="2" t="s">
        <v>182</v>
      </c>
      <c r="AW90" s="127" t="s">
        <v>183</v>
      </c>
    </row>
    <row r="91" spans="1:49" ht="18.75" thickBot="1" x14ac:dyDescent="0.3">
      <c r="O91" s="102"/>
      <c r="P91" s="102"/>
      <c r="R91" s="2" t="s">
        <v>73</v>
      </c>
      <c r="S91" s="2" t="s">
        <v>69</v>
      </c>
      <c r="T91" s="116" t="s">
        <v>177</v>
      </c>
      <c r="U91" s="2" t="s">
        <v>178</v>
      </c>
      <c r="V91" s="109" t="s">
        <v>173</v>
      </c>
      <c r="W91" s="2" t="s">
        <v>151</v>
      </c>
      <c r="X91" s="109" t="s">
        <v>155</v>
      </c>
      <c r="Y91" s="112" t="s">
        <v>156</v>
      </c>
      <c r="Z91" s="109" t="s">
        <v>157</v>
      </c>
      <c r="AA91" s="2" t="s">
        <v>158</v>
      </c>
      <c r="AB91" s="2" t="s">
        <v>180</v>
      </c>
      <c r="AC91" s="2" t="s">
        <v>181</v>
      </c>
      <c r="AD91" s="2" t="s">
        <v>185</v>
      </c>
      <c r="AE91" s="2" t="s">
        <v>182</v>
      </c>
      <c r="AF91" s="127" t="s">
        <v>183</v>
      </c>
      <c r="AI91" s="86">
        <v>0</v>
      </c>
      <c r="AJ91" s="86">
        <v>10</v>
      </c>
      <c r="AK91" s="216">
        <v>1857.1459153237527</v>
      </c>
      <c r="AL91" s="153">
        <f>((4.7*10^13*AT91*(AS91^0.5)*EXP($C$11/AK91))/($C$14*6))*$C$5*10^-6</f>
        <v>4.1693882649046407E-13</v>
      </c>
      <c r="AM91" s="153">
        <f>(((10^5*($C$4*$C$6)*10^-6)/($C$8*$C$7)))</f>
        <v>6.5681391066181393E-6</v>
      </c>
      <c r="AN91" s="88">
        <f t="shared" ref="AN91:AN106" si="135">AM91/($AK$88*$G$11*((AQ91/2)+3.76))</f>
        <v>1.3321108594991789E-7</v>
      </c>
      <c r="AO91" s="96">
        <f t="shared" ref="AO91:AO106" si="136">$AK$88*$G$12</f>
        <v>5.6</v>
      </c>
      <c r="AP91" s="96">
        <f t="shared" ref="AP91:AP106" si="137">$AK$88*$G$13</f>
        <v>6.3</v>
      </c>
      <c r="AQ91" s="134">
        <f t="shared" ref="AQ91:AQ106" si="138">(($G$15/2)*(1-$AK$88))</f>
        <v>3.7500000000000004</v>
      </c>
      <c r="AR91" s="147">
        <f t="shared" ref="AR91:AR106" si="139">$G$14</f>
        <v>47.023800000000001</v>
      </c>
      <c r="AS91" s="129">
        <f t="shared" ref="AS91:AS106" si="140">((AQ91*AN91)/($C$5*10^-6))</f>
        <v>1.2488539307804806E-2</v>
      </c>
      <c r="AT91" s="137">
        <f t="shared" ref="AT91:AT106" si="141">((AR91*AN91)/($C$5*10^-6))</f>
        <v>0.15660228658729375</v>
      </c>
      <c r="AU91" s="163">
        <f>SUM($AL$91:$AL$106)</f>
        <v>1.3669992014644977E-9</v>
      </c>
      <c r="AV91" s="161">
        <f>AN91*(AO91+AP91+AQ91+AR91)</f>
        <v>8.3488449586079632E-6</v>
      </c>
      <c r="AW91" s="144">
        <f>(AU91/AV91)*10^6</f>
        <v>163.73512842097657</v>
      </c>
    </row>
    <row r="92" spans="1:49" x14ac:dyDescent="0.25">
      <c r="O92" s="102"/>
      <c r="P92" s="102"/>
      <c r="R92" s="86">
        <v>0</v>
      </c>
      <c r="S92" s="86">
        <v>10</v>
      </c>
      <c r="T92" s="86">
        <v>2324.2344963135702</v>
      </c>
      <c r="U92" s="153">
        <f>((4.7*10^13*AC92*(AB92^0.5)*EXP($C$11/T92))/($C$14*6))*$C$5*10^-6</f>
        <v>2.4347234536183231E-10</v>
      </c>
      <c r="V92" s="153">
        <f>(((10^5*($C$4*$C$6)*10^-6)/($C$8*$C$7)))</f>
        <v>6.5681391066181393E-6</v>
      </c>
      <c r="W92" s="88">
        <f t="shared" ref="W92:W107" si="142">V92/($T$89*$G$11*((Z92/2)+3.76))</f>
        <v>1.3649499390312011E-7</v>
      </c>
      <c r="X92" s="96">
        <f t="shared" ref="X92:X107" si="143">$T$89*$G$12</f>
        <v>7.68</v>
      </c>
      <c r="Y92" s="96">
        <f t="shared" ref="Y92:Y107" si="144">$T$89*$G$13</f>
        <v>8.64</v>
      </c>
      <c r="Z92" s="134">
        <f t="shared" ref="Z92:Z107" si="145">(($G$15/2)*(1-$T$89))</f>
        <v>0.50000000000000044</v>
      </c>
      <c r="AA92" s="147">
        <f t="shared" ref="AA92:AA107" si="146">$G$14</f>
        <v>47.023800000000001</v>
      </c>
      <c r="AB92" s="129">
        <f t="shared" ref="AB92:AB107" si="147">((Z92*W92)/($C$5*10^-6))</f>
        <v>1.7061874237890033E-3</v>
      </c>
      <c r="AC92" s="137">
        <f t="shared" ref="AC92:AC107" si="148">((AA92*W92)/($C$5*10^-6))</f>
        <v>0.16046283235753853</v>
      </c>
      <c r="AD92" s="163">
        <f>SUM($U$92:$U$107)</f>
        <v>2.4403220949768899E-7</v>
      </c>
      <c r="AE92" s="161">
        <f t="shared" ref="AE92:AE107" si="149">W92*(X92+Y92+Z92+AA92)</f>
        <v>8.7143590917520203E-6</v>
      </c>
      <c r="AF92" s="144">
        <f>(AD92/AE92)*10^6</f>
        <v>28003.460372508744</v>
      </c>
      <c r="AI92" s="86">
        <v>1</v>
      </c>
      <c r="AJ92" s="86">
        <f>AJ91+2</f>
        <v>12</v>
      </c>
      <c r="AK92" s="132">
        <f t="shared" ref="AK92:AK106" si="150">(AK91*(($S6/$S5)^(($C$13-1)/$C$13)))</f>
        <v>1907.0013251197372</v>
      </c>
      <c r="AL92" s="153">
        <f t="shared" ref="AL92:AL106" si="151">((4.7*10^13*AT92*(AS92^0.5)*EXP($C$11/AK92))/($C$14*6))*$C$5*10^-6</f>
        <v>1.0834355125632766E-12</v>
      </c>
      <c r="AM92" s="153">
        <f t="shared" ref="AM92:AM106" si="152">(((10^5*($C$4*$C$6)*10^-6)/($C$8*$C$7)))</f>
        <v>6.5681391066181393E-6</v>
      </c>
      <c r="AN92" s="88">
        <f t="shared" si="135"/>
        <v>1.3321108594991789E-7</v>
      </c>
      <c r="AO92" s="96">
        <f t="shared" si="136"/>
        <v>5.6</v>
      </c>
      <c r="AP92" s="96">
        <f t="shared" si="137"/>
        <v>6.3</v>
      </c>
      <c r="AQ92" s="134">
        <f t="shared" si="138"/>
        <v>3.7500000000000004</v>
      </c>
      <c r="AR92" s="148">
        <f t="shared" si="139"/>
        <v>47.023800000000001</v>
      </c>
      <c r="AS92" s="132">
        <f t="shared" si="140"/>
        <v>1.2488539307804806E-2</v>
      </c>
      <c r="AT92" s="136">
        <f t="shared" si="141"/>
        <v>0.15660228658729375</v>
      </c>
      <c r="AU92" s="163">
        <f t="shared" ref="AU92:AU106" si="153">SUM($AL$91:$AL$106)</f>
        <v>1.3669992014644977E-9</v>
      </c>
      <c r="AV92" s="153">
        <f t="shared" ref="AV92:AV106" si="154">AN92*(AO92+AP92+AQ92+AR92)</f>
        <v>8.3488449586079632E-6</v>
      </c>
      <c r="AW92" s="144">
        <f t="shared" ref="AW92:AW106" si="155">(AU92/AV92)*10^6</f>
        <v>163.73512842097657</v>
      </c>
    </row>
    <row r="93" spans="1:49" x14ac:dyDescent="0.25">
      <c r="O93" s="102"/>
      <c r="P93" s="102"/>
      <c r="R93" s="86">
        <v>1</v>
      </c>
      <c r="S93" s="86">
        <f>S92+2</f>
        <v>12</v>
      </c>
      <c r="T93" s="132">
        <f t="shared" ref="T93:T107" si="156">(T92*(($S6/$S5)^(($C$13-1)/$C$13)))</f>
        <v>2386.6289814854454</v>
      </c>
      <c r="U93" s="153">
        <f t="shared" ref="U93:U107" si="157">((4.7*10^13*AC93*(AB93^0.5)*EXP($C$11/T93))/($C$14*6))*$C$5*10^-6</f>
        <v>5.2219681745699566E-10</v>
      </c>
      <c r="V93" s="153">
        <f t="shared" ref="V93:V107" si="158">(((10^5*($C$4*$C$6)*10^-6)/($C$8*$C$7)))</f>
        <v>6.5681391066181393E-6</v>
      </c>
      <c r="W93" s="88">
        <f t="shared" si="142"/>
        <v>1.3649499390312011E-7</v>
      </c>
      <c r="X93" s="96">
        <f t="shared" si="143"/>
        <v>7.68</v>
      </c>
      <c r="Y93" s="96">
        <f t="shared" si="144"/>
        <v>8.64</v>
      </c>
      <c r="Z93" s="134">
        <f t="shared" si="145"/>
        <v>0.50000000000000044</v>
      </c>
      <c r="AA93" s="148">
        <f t="shared" si="146"/>
        <v>47.023800000000001</v>
      </c>
      <c r="AB93" s="132">
        <f t="shared" si="147"/>
        <v>1.7061874237890033E-3</v>
      </c>
      <c r="AC93" s="136">
        <f t="shared" si="148"/>
        <v>0.16046283235753853</v>
      </c>
      <c r="AD93" s="163">
        <f t="shared" ref="AD93:AD107" si="159">SUM($U$92:$U$107)</f>
        <v>2.4403220949768899E-7</v>
      </c>
      <c r="AE93" s="153">
        <f t="shared" si="149"/>
        <v>8.7143590917520203E-6</v>
      </c>
      <c r="AF93" s="144">
        <f t="shared" ref="AF93:AF107" si="160">(AD93/AE93)*10^6</f>
        <v>28003.460372508744</v>
      </c>
      <c r="AI93" s="86">
        <v>2</v>
      </c>
      <c r="AJ93" s="86">
        <f t="shared" ref="AJ93:AJ106" si="161">AJ92+2</f>
        <v>14</v>
      </c>
      <c r="AK93" s="132">
        <f t="shared" si="150"/>
        <v>1950.1962012027427</v>
      </c>
      <c r="AL93" s="153">
        <f t="shared" si="151"/>
        <v>2.3822233611475099E-12</v>
      </c>
      <c r="AM93" s="153">
        <f t="shared" si="152"/>
        <v>6.5681391066181393E-6</v>
      </c>
      <c r="AN93" s="88">
        <f t="shared" si="135"/>
        <v>1.3321108594991789E-7</v>
      </c>
      <c r="AO93" s="96">
        <f t="shared" si="136"/>
        <v>5.6</v>
      </c>
      <c r="AP93" s="96">
        <f t="shared" si="137"/>
        <v>6.3</v>
      </c>
      <c r="AQ93" s="134">
        <f t="shared" si="138"/>
        <v>3.7500000000000004</v>
      </c>
      <c r="AR93" s="148">
        <f t="shared" si="139"/>
        <v>47.023800000000001</v>
      </c>
      <c r="AS93" s="132">
        <f t="shared" si="140"/>
        <v>1.2488539307804806E-2</v>
      </c>
      <c r="AT93" s="136">
        <f t="shared" si="141"/>
        <v>0.15660228658729375</v>
      </c>
      <c r="AU93" s="163">
        <f t="shared" si="153"/>
        <v>1.3669992014644977E-9</v>
      </c>
      <c r="AV93" s="153">
        <f t="shared" si="154"/>
        <v>8.3488449586079632E-6</v>
      </c>
      <c r="AW93" s="144">
        <f t="shared" si="155"/>
        <v>163.73512842097657</v>
      </c>
    </row>
    <row r="94" spans="1:49" x14ac:dyDescent="0.25">
      <c r="O94" s="102"/>
      <c r="P94" s="102"/>
      <c r="R94" s="86">
        <v>2</v>
      </c>
      <c r="S94" s="86">
        <f t="shared" ref="S94:S107" si="162">S93+2</f>
        <v>14</v>
      </c>
      <c r="T94" s="132">
        <f t="shared" si="156"/>
        <v>2440.6877499579323</v>
      </c>
      <c r="U94" s="153">
        <f t="shared" si="157"/>
        <v>9.8004885340644576E-10</v>
      </c>
      <c r="V94" s="153">
        <f t="shared" si="158"/>
        <v>6.5681391066181393E-6</v>
      </c>
      <c r="W94" s="88">
        <f t="shared" si="142"/>
        <v>1.3649499390312011E-7</v>
      </c>
      <c r="X94" s="96">
        <f t="shared" si="143"/>
        <v>7.68</v>
      </c>
      <c r="Y94" s="96">
        <f t="shared" si="144"/>
        <v>8.64</v>
      </c>
      <c r="Z94" s="134">
        <f t="shared" si="145"/>
        <v>0.50000000000000044</v>
      </c>
      <c r="AA94" s="148">
        <f t="shared" si="146"/>
        <v>47.023800000000001</v>
      </c>
      <c r="AB94" s="132">
        <f t="shared" si="147"/>
        <v>1.7061874237890033E-3</v>
      </c>
      <c r="AC94" s="136">
        <f t="shared" si="148"/>
        <v>0.16046283235753853</v>
      </c>
      <c r="AD94" s="163">
        <f t="shared" si="159"/>
        <v>2.4403220949768899E-7</v>
      </c>
      <c r="AE94" s="153">
        <f t="shared" si="149"/>
        <v>8.7143590917520203E-6</v>
      </c>
      <c r="AF94" s="144">
        <f t="shared" si="160"/>
        <v>28003.460372508744</v>
      </c>
      <c r="AI94" s="86">
        <v>3</v>
      </c>
      <c r="AJ94" s="86">
        <f t="shared" si="161"/>
        <v>16</v>
      </c>
      <c r="AK94" s="132">
        <f t="shared" si="150"/>
        <v>1988.4033514434263</v>
      </c>
      <c r="AL94" s="153">
        <f t="shared" si="151"/>
        <v>4.6479301679597661E-12</v>
      </c>
      <c r="AM94" s="153">
        <f t="shared" si="152"/>
        <v>6.5681391066181393E-6</v>
      </c>
      <c r="AN94" s="88">
        <f t="shared" si="135"/>
        <v>1.3321108594991789E-7</v>
      </c>
      <c r="AO94" s="96">
        <f t="shared" si="136"/>
        <v>5.6</v>
      </c>
      <c r="AP94" s="96">
        <f t="shared" si="137"/>
        <v>6.3</v>
      </c>
      <c r="AQ94" s="134">
        <f t="shared" si="138"/>
        <v>3.7500000000000004</v>
      </c>
      <c r="AR94" s="148">
        <f t="shared" si="139"/>
        <v>47.023800000000001</v>
      </c>
      <c r="AS94" s="132">
        <f t="shared" si="140"/>
        <v>1.2488539307804806E-2</v>
      </c>
      <c r="AT94" s="136">
        <f t="shared" si="141"/>
        <v>0.15660228658729375</v>
      </c>
      <c r="AU94" s="163">
        <f t="shared" si="153"/>
        <v>1.3669992014644977E-9</v>
      </c>
      <c r="AV94" s="153">
        <f t="shared" si="154"/>
        <v>8.3488449586079632E-6</v>
      </c>
      <c r="AW94" s="144">
        <f t="shared" si="155"/>
        <v>163.73512842097657</v>
      </c>
    </row>
    <row r="95" spans="1:49" x14ac:dyDescent="0.25">
      <c r="O95" s="102"/>
      <c r="P95" s="102"/>
      <c r="R95" s="86">
        <v>3</v>
      </c>
      <c r="S95" s="86">
        <f t="shared" si="162"/>
        <v>16</v>
      </c>
      <c r="T95" s="132">
        <f t="shared" si="156"/>
        <v>2488.5043355382591</v>
      </c>
      <c r="U95" s="153">
        <f t="shared" si="157"/>
        <v>1.6718197448807939E-9</v>
      </c>
      <c r="V95" s="153">
        <f t="shared" si="158"/>
        <v>6.5681391066181393E-6</v>
      </c>
      <c r="W95" s="88">
        <f t="shared" si="142"/>
        <v>1.3649499390312011E-7</v>
      </c>
      <c r="X95" s="96">
        <f t="shared" si="143"/>
        <v>7.68</v>
      </c>
      <c r="Y95" s="96">
        <f t="shared" si="144"/>
        <v>8.64</v>
      </c>
      <c r="Z95" s="134">
        <f t="shared" si="145"/>
        <v>0.50000000000000044</v>
      </c>
      <c r="AA95" s="148">
        <f t="shared" si="146"/>
        <v>47.023800000000001</v>
      </c>
      <c r="AB95" s="132">
        <f t="shared" si="147"/>
        <v>1.7061874237890033E-3</v>
      </c>
      <c r="AC95" s="136">
        <f t="shared" si="148"/>
        <v>0.16046283235753853</v>
      </c>
      <c r="AD95" s="163">
        <f t="shared" si="159"/>
        <v>2.4403220949768899E-7</v>
      </c>
      <c r="AE95" s="153">
        <f t="shared" si="149"/>
        <v>8.7143590917520203E-6</v>
      </c>
      <c r="AF95" s="144">
        <f t="shared" si="160"/>
        <v>28003.460372508744</v>
      </c>
      <c r="AI95" s="86">
        <v>4</v>
      </c>
      <c r="AJ95" s="86">
        <f t="shared" si="161"/>
        <v>18</v>
      </c>
      <c r="AK95" s="132">
        <f t="shared" si="150"/>
        <v>2022.7252891049268</v>
      </c>
      <c r="AL95" s="153">
        <f t="shared" si="151"/>
        <v>8.2921834638517806E-12</v>
      </c>
      <c r="AM95" s="153">
        <f t="shared" si="152"/>
        <v>6.5681391066181393E-6</v>
      </c>
      <c r="AN95" s="88">
        <f t="shared" si="135"/>
        <v>1.3321108594991789E-7</v>
      </c>
      <c r="AO95" s="96">
        <f t="shared" si="136"/>
        <v>5.6</v>
      </c>
      <c r="AP95" s="96">
        <f t="shared" si="137"/>
        <v>6.3</v>
      </c>
      <c r="AQ95" s="134">
        <f t="shared" si="138"/>
        <v>3.7500000000000004</v>
      </c>
      <c r="AR95" s="148">
        <f t="shared" si="139"/>
        <v>47.023800000000001</v>
      </c>
      <c r="AS95" s="132">
        <f t="shared" si="140"/>
        <v>1.2488539307804806E-2</v>
      </c>
      <c r="AT95" s="136">
        <f t="shared" si="141"/>
        <v>0.15660228658729375</v>
      </c>
      <c r="AU95" s="163">
        <f t="shared" si="153"/>
        <v>1.3669992014644977E-9</v>
      </c>
      <c r="AV95" s="153">
        <f t="shared" si="154"/>
        <v>8.3488449586079632E-6</v>
      </c>
      <c r="AW95" s="144">
        <f t="shared" si="155"/>
        <v>163.73512842097657</v>
      </c>
    </row>
    <row r="96" spans="1:49" x14ac:dyDescent="0.25">
      <c r="O96" s="102"/>
      <c r="P96" s="102"/>
      <c r="R96" s="86">
        <v>4</v>
      </c>
      <c r="S96" s="86">
        <f t="shared" si="162"/>
        <v>18</v>
      </c>
      <c r="T96" s="132">
        <f t="shared" si="156"/>
        <v>2531.4585433013453</v>
      </c>
      <c r="U96" s="153">
        <f t="shared" si="157"/>
        <v>2.6550604695918955E-9</v>
      </c>
      <c r="V96" s="153">
        <f t="shared" si="158"/>
        <v>6.5681391066181393E-6</v>
      </c>
      <c r="W96" s="88">
        <f t="shared" si="142"/>
        <v>1.3649499390312011E-7</v>
      </c>
      <c r="X96" s="96">
        <f t="shared" si="143"/>
        <v>7.68</v>
      </c>
      <c r="Y96" s="96">
        <f t="shared" si="144"/>
        <v>8.64</v>
      </c>
      <c r="Z96" s="134">
        <f t="shared" si="145"/>
        <v>0.50000000000000044</v>
      </c>
      <c r="AA96" s="148">
        <f t="shared" si="146"/>
        <v>47.023800000000001</v>
      </c>
      <c r="AB96" s="132">
        <f t="shared" si="147"/>
        <v>1.7061874237890033E-3</v>
      </c>
      <c r="AC96" s="136">
        <f t="shared" si="148"/>
        <v>0.16046283235753853</v>
      </c>
      <c r="AD96" s="163">
        <f t="shared" si="159"/>
        <v>2.4403220949768899E-7</v>
      </c>
      <c r="AE96" s="153">
        <f t="shared" si="149"/>
        <v>8.7143590917520203E-6</v>
      </c>
      <c r="AF96" s="144">
        <f t="shared" si="160"/>
        <v>28003.460372508744</v>
      </c>
      <c r="AI96" s="86">
        <v>5</v>
      </c>
      <c r="AJ96" s="86">
        <f t="shared" si="161"/>
        <v>20</v>
      </c>
      <c r="AK96" s="132">
        <f t="shared" si="150"/>
        <v>2053.9290078249132</v>
      </c>
      <c r="AL96" s="153">
        <f t="shared" si="151"/>
        <v>1.380210209746848E-11</v>
      </c>
      <c r="AM96" s="153">
        <f t="shared" si="152"/>
        <v>6.5681391066181393E-6</v>
      </c>
      <c r="AN96" s="88">
        <f t="shared" si="135"/>
        <v>1.3321108594991789E-7</v>
      </c>
      <c r="AO96" s="96">
        <f t="shared" si="136"/>
        <v>5.6</v>
      </c>
      <c r="AP96" s="96">
        <f t="shared" si="137"/>
        <v>6.3</v>
      </c>
      <c r="AQ96" s="134">
        <f t="shared" si="138"/>
        <v>3.7500000000000004</v>
      </c>
      <c r="AR96" s="148">
        <f t="shared" si="139"/>
        <v>47.023800000000001</v>
      </c>
      <c r="AS96" s="132">
        <f t="shared" si="140"/>
        <v>1.2488539307804806E-2</v>
      </c>
      <c r="AT96" s="136">
        <f t="shared" si="141"/>
        <v>0.15660228658729375</v>
      </c>
      <c r="AU96" s="163">
        <f t="shared" si="153"/>
        <v>1.3669992014644977E-9</v>
      </c>
      <c r="AV96" s="153">
        <f t="shared" si="154"/>
        <v>8.3488449586079632E-6</v>
      </c>
      <c r="AW96" s="144">
        <f t="shared" si="155"/>
        <v>163.73512842097657</v>
      </c>
    </row>
    <row r="97" spans="15:49" x14ac:dyDescent="0.25">
      <c r="O97" s="102"/>
      <c r="P97" s="102"/>
      <c r="R97" s="86">
        <v>5</v>
      </c>
      <c r="S97" s="86">
        <f t="shared" si="162"/>
        <v>20</v>
      </c>
      <c r="T97" s="132">
        <f t="shared" si="156"/>
        <v>2570.5102725509637</v>
      </c>
      <c r="U97" s="153">
        <f t="shared" si="157"/>
        <v>3.9891656102663032E-9</v>
      </c>
      <c r="V97" s="153">
        <f t="shared" si="158"/>
        <v>6.5681391066181393E-6</v>
      </c>
      <c r="W97" s="88">
        <f t="shared" si="142"/>
        <v>1.3649499390312011E-7</v>
      </c>
      <c r="X97" s="96">
        <f t="shared" si="143"/>
        <v>7.68</v>
      </c>
      <c r="Y97" s="96">
        <f t="shared" si="144"/>
        <v>8.64</v>
      </c>
      <c r="Z97" s="134">
        <f t="shared" si="145"/>
        <v>0.50000000000000044</v>
      </c>
      <c r="AA97" s="148">
        <f t="shared" si="146"/>
        <v>47.023800000000001</v>
      </c>
      <c r="AB97" s="132">
        <f t="shared" si="147"/>
        <v>1.7061874237890033E-3</v>
      </c>
      <c r="AC97" s="136">
        <f t="shared" si="148"/>
        <v>0.16046283235753853</v>
      </c>
      <c r="AD97" s="163">
        <f t="shared" si="159"/>
        <v>2.4403220949768899E-7</v>
      </c>
      <c r="AE97" s="153">
        <f t="shared" si="149"/>
        <v>8.7143590917520203E-6</v>
      </c>
      <c r="AF97" s="144">
        <f t="shared" si="160"/>
        <v>28003.460372508744</v>
      </c>
      <c r="AI97" s="86">
        <v>6</v>
      </c>
      <c r="AJ97" s="86">
        <f t="shared" si="161"/>
        <v>22</v>
      </c>
      <c r="AK97" s="132">
        <f t="shared" si="150"/>
        <v>2082.5706825501143</v>
      </c>
      <c r="AL97" s="153">
        <f t="shared" si="151"/>
        <v>2.173785348765977E-11</v>
      </c>
      <c r="AM97" s="153">
        <f t="shared" si="152"/>
        <v>6.5681391066181393E-6</v>
      </c>
      <c r="AN97" s="88">
        <f t="shared" si="135"/>
        <v>1.3321108594991789E-7</v>
      </c>
      <c r="AO97" s="96">
        <f t="shared" si="136"/>
        <v>5.6</v>
      </c>
      <c r="AP97" s="96">
        <f t="shared" si="137"/>
        <v>6.3</v>
      </c>
      <c r="AQ97" s="134">
        <f t="shared" si="138"/>
        <v>3.7500000000000004</v>
      </c>
      <c r="AR97" s="148">
        <f t="shared" si="139"/>
        <v>47.023800000000001</v>
      </c>
      <c r="AS97" s="132">
        <f t="shared" si="140"/>
        <v>1.2488539307804806E-2</v>
      </c>
      <c r="AT97" s="136">
        <f t="shared" si="141"/>
        <v>0.15660228658729375</v>
      </c>
      <c r="AU97" s="163">
        <f t="shared" si="153"/>
        <v>1.3669992014644977E-9</v>
      </c>
      <c r="AV97" s="153">
        <f t="shared" si="154"/>
        <v>8.3488449586079632E-6</v>
      </c>
      <c r="AW97" s="144">
        <f t="shared" si="155"/>
        <v>163.73512842097657</v>
      </c>
    </row>
    <row r="98" spans="15:49" x14ac:dyDescent="0.25">
      <c r="O98" s="102"/>
      <c r="P98" s="102"/>
      <c r="R98" s="86">
        <v>6</v>
      </c>
      <c r="S98" s="86">
        <f t="shared" si="162"/>
        <v>22</v>
      </c>
      <c r="T98" s="132">
        <f t="shared" si="156"/>
        <v>2606.355581139384</v>
      </c>
      <c r="U98" s="153">
        <f t="shared" si="157"/>
        <v>5.7346767006705582E-9</v>
      </c>
      <c r="V98" s="153">
        <f t="shared" si="158"/>
        <v>6.5681391066181393E-6</v>
      </c>
      <c r="W98" s="88">
        <f t="shared" si="142"/>
        <v>1.3649499390312011E-7</v>
      </c>
      <c r="X98" s="96">
        <f t="shared" si="143"/>
        <v>7.68</v>
      </c>
      <c r="Y98" s="96">
        <f t="shared" si="144"/>
        <v>8.64</v>
      </c>
      <c r="Z98" s="134">
        <f t="shared" si="145"/>
        <v>0.50000000000000044</v>
      </c>
      <c r="AA98" s="148">
        <f t="shared" si="146"/>
        <v>47.023800000000001</v>
      </c>
      <c r="AB98" s="132">
        <f t="shared" si="147"/>
        <v>1.7061874237890033E-3</v>
      </c>
      <c r="AC98" s="136">
        <f t="shared" si="148"/>
        <v>0.16046283235753853</v>
      </c>
      <c r="AD98" s="163">
        <f t="shared" si="159"/>
        <v>2.4403220949768899E-7</v>
      </c>
      <c r="AE98" s="153">
        <f t="shared" si="149"/>
        <v>8.7143590917520203E-6</v>
      </c>
      <c r="AF98" s="144">
        <f t="shared" si="160"/>
        <v>28003.460372508744</v>
      </c>
      <c r="AI98" s="86">
        <v>7</v>
      </c>
      <c r="AJ98" s="86">
        <f t="shared" si="161"/>
        <v>24</v>
      </c>
      <c r="AK98" s="132">
        <f t="shared" si="150"/>
        <v>2109.0670944620747</v>
      </c>
      <c r="AL98" s="153">
        <f t="shared" si="151"/>
        <v>3.2729652040974591E-11</v>
      </c>
      <c r="AM98" s="153">
        <f t="shared" si="152"/>
        <v>6.5681391066181393E-6</v>
      </c>
      <c r="AN98" s="88">
        <f t="shared" si="135"/>
        <v>1.3321108594991789E-7</v>
      </c>
      <c r="AO98" s="96">
        <f t="shared" si="136"/>
        <v>5.6</v>
      </c>
      <c r="AP98" s="96">
        <f t="shared" si="137"/>
        <v>6.3</v>
      </c>
      <c r="AQ98" s="134">
        <f t="shared" si="138"/>
        <v>3.7500000000000004</v>
      </c>
      <c r="AR98" s="148">
        <f t="shared" si="139"/>
        <v>47.023800000000001</v>
      </c>
      <c r="AS98" s="132">
        <f t="shared" si="140"/>
        <v>1.2488539307804806E-2</v>
      </c>
      <c r="AT98" s="136">
        <f t="shared" si="141"/>
        <v>0.15660228658729375</v>
      </c>
      <c r="AU98" s="163">
        <f t="shared" si="153"/>
        <v>1.3669992014644977E-9</v>
      </c>
      <c r="AV98" s="153">
        <f t="shared" si="154"/>
        <v>8.3488449586079632E-6</v>
      </c>
      <c r="AW98" s="144">
        <f t="shared" si="155"/>
        <v>163.73512842097657</v>
      </c>
    </row>
    <row r="99" spans="15:49" x14ac:dyDescent="0.25">
      <c r="O99" s="102"/>
      <c r="P99" s="102"/>
      <c r="R99" s="86">
        <v>7</v>
      </c>
      <c r="S99" s="86">
        <f t="shared" si="162"/>
        <v>24</v>
      </c>
      <c r="T99" s="132">
        <f t="shared" si="156"/>
        <v>2639.516074392051</v>
      </c>
      <c r="U99" s="153">
        <f t="shared" si="157"/>
        <v>7.9527496556450219E-9</v>
      </c>
      <c r="V99" s="153">
        <f t="shared" si="158"/>
        <v>6.5681391066181393E-6</v>
      </c>
      <c r="W99" s="88">
        <f t="shared" si="142"/>
        <v>1.3649499390312011E-7</v>
      </c>
      <c r="X99" s="96">
        <f t="shared" si="143"/>
        <v>7.68</v>
      </c>
      <c r="Y99" s="96">
        <f t="shared" si="144"/>
        <v>8.64</v>
      </c>
      <c r="Z99" s="134">
        <f t="shared" si="145"/>
        <v>0.50000000000000044</v>
      </c>
      <c r="AA99" s="148">
        <f t="shared" si="146"/>
        <v>47.023800000000001</v>
      </c>
      <c r="AB99" s="132">
        <f t="shared" si="147"/>
        <v>1.7061874237890033E-3</v>
      </c>
      <c r="AC99" s="136">
        <f t="shared" si="148"/>
        <v>0.16046283235753853</v>
      </c>
      <c r="AD99" s="163">
        <f t="shared" si="159"/>
        <v>2.4403220949768899E-7</v>
      </c>
      <c r="AE99" s="153">
        <f t="shared" si="149"/>
        <v>8.7143590917520203E-6</v>
      </c>
      <c r="AF99" s="144">
        <f t="shared" si="160"/>
        <v>28003.460372508744</v>
      </c>
      <c r="AI99" s="86">
        <v>8</v>
      </c>
      <c r="AJ99" s="86">
        <f t="shared" si="161"/>
        <v>26</v>
      </c>
      <c r="AK99" s="132">
        <f t="shared" si="150"/>
        <v>2133.7390246096643</v>
      </c>
      <c r="AL99" s="153">
        <f t="shared" si="151"/>
        <v>4.747444829346551E-11</v>
      </c>
      <c r="AM99" s="153">
        <f t="shared" si="152"/>
        <v>6.5681391066181393E-6</v>
      </c>
      <c r="AN99" s="88">
        <f t="shared" si="135"/>
        <v>1.3321108594991789E-7</v>
      </c>
      <c r="AO99" s="96">
        <f t="shared" si="136"/>
        <v>5.6</v>
      </c>
      <c r="AP99" s="96">
        <f t="shared" si="137"/>
        <v>6.3</v>
      </c>
      <c r="AQ99" s="134">
        <f t="shared" si="138"/>
        <v>3.7500000000000004</v>
      </c>
      <c r="AR99" s="148">
        <f t="shared" si="139"/>
        <v>47.023800000000001</v>
      </c>
      <c r="AS99" s="132">
        <f t="shared" si="140"/>
        <v>1.2488539307804806E-2</v>
      </c>
      <c r="AT99" s="136">
        <f t="shared" si="141"/>
        <v>0.15660228658729375</v>
      </c>
      <c r="AU99" s="163">
        <f t="shared" si="153"/>
        <v>1.3669992014644977E-9</v>
      </c>
      <c r="AV99" s="153">
        <f t="shared" si="154"/>
        <v>8.3488449586079632E-6</v>
      </c>
      <c r="AW99" s="144">
        <f t="shared" si="155"/>
        <v>163.73512842097657</v>
      </c>
    </row>
    <row r="100" spans="15:49" x14ac:dyDescent="0.25">
      <c r="O100" s="102"/>
      <c r="P100" s="102"/>
      <c r="R100" s="86">
        <v>8</v>
      </c>
      <c r="S100" s="86">
        <f t="shared" si="162"/>
        <v>26</v>
      </c>
      <c r="T100" s="132">
        <f t="shared" si="156"/>
        <v>2670.3932126214777</v>
      </c>
      <c r="U100" s="153">
        <f t="shared" si="157"/>
        <v>1.0704745840499349E-8</v>
      </c>
      <c r="V100" s="153">
        <f t="shared" si="158"/>
        <v>6.5681391066181393E-6</v>
      </c>
      <c r="W100" s="88">
        <f t="shared" si="142"/>
        <v>1.3649499390312011E-7</v>
      </c>
      <c r="X100" s="96">
        <f t="shared" si="143"/>
        <v>7.68</v>
      </c>
      <c r="Y100" s="96">
        <f t="shared" si="144"/>
        <v>8.64</v>
      </c>
      <c r="Z100" s="134">
        <f t="shared" si="145"/>
        <v>0.50000000000000044</v>
      </c>
      <c r="AA100" s="148">
        <f t="shared" si="146"/>
        <v>47.023800000000001</v>
      </c>
      <c r="AB100" s="132">
        <f t="shared" si="147"/>
        <v>1.7061874237890033E-3</v>
      </c>
      <c r="AC100" s="136">
        <f t="shared" si="148"/>
        <v>0.16046283235753853</v>
      </c>
      <c r="AD100" s="163">
        <f t="shared" si="159"/>
        <v>2.4403220949768899E-7</v>
      </c>
      <c r="AE100" s="153">
        <f t="shared" si="149"/>
        <v>8.7143590917520203E-6</v>
      </c>
      <c r="AF100" s="144">
        <f t="shared" si="160"/>
        <v>28003.460372508744</v>
      </c>
      <c r="AI100" s="86">
        <v>9</v>
      </c>
      <c r="AJ100" s="86">
        <f t="shared" si="161"/>
        <v>28</v>
      </c>
      <c r="AK100" s="132">
        <f t="shared" si="150"/>
        <v>2156.8388975520979</v>
      </c>
      <c r="AL100" s="153">
        <f t="shared" si="151"/>
        <v>6.6732474922715132E-11</v>
      </c>
      <c r="AM100" s="153">
        <f t="shared" si="152"/>
        <v>6.5681391066181393E-6</v>
      </c>
      <c r="AN100" s="88">
        <f t="shared" si="135"/>
        <v>1.3321108594991789E-7</v>
      </c>
      <c r="AO100" s="96">
        <f t="shared" si="136"/>
        <v>5.6</v>
      </c>
      <c r="AP100" s="96">
        <f t="shared" si="137"/>
        <v>6.3</v>
      </c>
      <c r="AQ100" s="134">
        <f t="shared" si="138"/>
        <v>3.7500000000000004</v>
      </c>
      <c r="AR100" s="148">
        <f t="shared" si="139"/>
        <v>47.023800000000001</v>
      </c>
      <c r="AS100" s="132">
        <f t="shared" si="140"/>
        <v>1.2488539307804806E-2</v>
      </c>
      <c r="AT100" s="136">
        <f t="shared" si="141"/>
        <v>0.15660228658729375</v>
      </c>
      <c r="AU100" s="163">
        <f t="shared" si="153"/>
        <v>1.3669992014644977E-9</v>
      </c>
      <c r="AV100" s="153">
        <f t="shared" si="154"/>
        <v>8.3488449586079632E-6</v>
      </c>
      <c r="AW100" s="144">
        <f t="shared" si="155"/>
        <v>163.73512842097657</v>
      </c>
    </row>
    <row r="101" spans="15:49" x14ac:dyDescent="0.25">
      <c r="O101" s="102"/>
      <c r="P101" s="102"/>
      <c r="R101" s="86">
        <v>9</v>
      </c>
      <c r="S101" s="86">
        <f t="shared" si="162"/>
        <v>28</v>
      </c>
      <c r="T101" s="132">
        <f t="shared" si="156"/>
        <v>2699.3029073903481</v>
      </c>
      <c r="U101" s="153">
        <f t="shared" si="157"/>
        <v>1.4051917128200724E-8</v>
      </c>
      <c r="V101" s="153">
        <f t="shared" si="158"/>
        <v>6.5681391066181393E-6</v>
      </c>
      <c r="W101" s="88">
        <f t="shared" si="142"/>
        <v>1.3649499390312011E-7</v>
      </c>
      <c r="X101" s="96">
        <f t="shared" si="143"/>
        <v>7.68</v>
      </c>
      <c r="Y101" s="96">
        <f t="shared" si="144"/>
        <v>8.64</v>
      </c>
      <c r="Z101" s="134">
        <f t="shared" si="145"/>
        <v>0.50000000000000044</v>
      </c>
      <c r="AA101" s="148">
        <f t="shared" si="146"/>
        <v>47.023800000000001</v>
      </c>
      <c r="AB101" s="132">
        <f t="shared" si="147"/>
        <v>1.7061874237890033E-3</v>
      </c>
      <c r="AC101" s="136">
        <f t="shared" si="148"/>
        <v>0.16046283235753853</v>
      </c>
      <c r="AD101" s="163">
        <f t="shared" si="159"/>
        <v>2.4403220949768899E-7</v>
      </c>
      <c r="AE101" s="153">
        <f t="shared" si="149"/>
        <v>8.7143590917520203E-6</v>
      </c>
      <c r="AF101" s="144">
        <f t="shared" si="160"/>
        <v>28003.460372508744</v>
      </c>
      <c r="AI101" s="86">
        <v>10</v>
      </c>
      <c r="AJ101" s="86">
        <f t="shared" si="161"/>
        <v>30</v>
      </c>
      <c r="AK101" s="132">
        <f t="shared" si="150"/>
        <v>2178.5690924429682</v>
      </c>
      <c r="AL101" s="153">
        <f t="shared" si="151"/>
        <v>9.1323760022633911E-11</v>
      </c>
      <c r="AM101" s="153">
        <f t="shared" si="152"/>
        <v>6.5681391066181393E-6</v>
      </c>
      <c r="AN101" s="88">
        <f t="shared" si="135"/>
        <v>1.3321108594991789E-7</v>
      </c>
      <c r="AO101" s="96">
        <f t="shared" si="136"/>
        <v>5.6</v>
      </c>
      <c r="AP101" s="96">
        <f t="shared" si="137"/>
        <v>6.3</v>
      </c>
      <c r="AQ101" s="134">
        <f t="shared" si="138"/>
        <v>3.7500000000000004</v>
      </c>
      <c r="AR101" s="148">
        <f t="shared" si="139"/>
        <v>47.023800000000001</v>
      </c>
      <c r="AS101" s="132">
        <f t="shared" si="140"/>
        <v>1.2488539307804806E-2</v>
      </c>
      <c r="AT101" s="136">
        <f t="shared" si="141"/>
        <v>0.15660228658729375</v>
      </c>
      <c r="AU101" s="163">
        <f t="shared" si="153"/>
        <v>1.3669992014644977E-9</v>
      </c>
      <c r="AV101" s="153">
        <f t="shared" si="154"/>
        <v>8.3488449586079632E-6</v>
      </c>
      <c r="AW101" s="144">
        <f t="shared" si="155"/>
        <v>163.73512842097657</v>
      </c>
    </row>
    <row r="102" spans="15:49" x14ac:dyDescent="0.25">
      <c r="O102" s="102"/>
      <c r="P102" s="102"/>
      <c r="R102" s="86">
        <v>10</v>
      </c>
      <c r="S102" s="86">
        <f t="shared" si="162"/>
        <v>30</v>
      </c>
      <c r="T102" s="132">
        <f t="shared" si="156"/>
        <v>2726.4984379947232</v>
      </c>
      <c r="U102" s="153">
        <f t="shared" si="157"/>
        <v>1.8055163032478023E-8</v>
      </c>
      <c r="V102" s="153">
        <f t="shared" si="158"/>
        <v>6.5681391066181393E-6</v>
      </c>
      <c r="W102" s="88">
        <f t="shared" si="142"/>
        <v>1.3649499390312011E-7</v>
      </c>
      <c r="X102" s="96">
        <f t="shared" si="143"/>
        <v>7.68</v>
      </c>
      <c r="Y102" s="96">
        <f t="shared" si="144"/>
        <v>8.64</v>
      </c>
      <c r="Z102" s="134">
        <f t="shared" si="145"/>
        <v>0.50000000000000044</v>
      </c>
      <c r="AA102" s="148">
        <f t="shared" si="146"/>
        <v>47.023800000000001</v>
      </c>
      <c r="AB102" s="132">
        <f t="shared" si="147"/>
        <v>1.7061874237890033E-3</v>
      </c>
      <c r="AC102" s="136">
        <f t="shared" si="148"/>
        <v>0.16046283235753853</v>
      </c>
      <c r="AD102" s="163">
        <f t="shared" si="159"/>
        <v>2.4403220949768899E-7</v>
      </c>
      <c r="AE102" s="153">
        <f t="shared" si="149"/>
        <v>8.7143590917520203E-6</v>
      </c>
      <c r="AF102" s="144">
        <f t="shared" si="160"/>
        <v>28003.460372508744</v>
      </c>
      <c r="AI102" s="86">
        <v>11</v>
      </c>
      <c r="AJ102" s="86">
        <f t="shared" si="161"/>
        <v>32</v>
      </c>
      <c r="AK102" s="132">
        <f t="shared" si="150"/>
        <v>2199.094475607732</v>
      </c>
      <c r="AL102" s="153">
        <f t="shared" si="151"/>
        <v>1.2212468042254299E-10</v>
      </c>
      <c r="AM102" s="153">
        <f t="shared" si="152"/>
        <v>6.5681391066181393E-6</v>
      </c>
      <c r="AN102" s="88">
        <f t="shared" si="135"/>
        <v>1.3321108594991789E-7</v>
      </c>
      <c r="AO102" s="96">
        <f t="shared" si="136"/>
        <v>5.6</v>
      </c>
      <c r="AP102" s="96">
        <f t="shared" si="137"/>
        <v>6.3</v>
      </c>
      <c r="AQ102" s="134">
        <f t="shared" si="138"/>
        <v>3.7500000000000004</v>
      </c>
      <c r="AR102" s="148">
        <f t="shared" si="139"/>
        <v>47.023800000000001</v>
      </c>
      <c r="AS102" s="132">
        <f t="shared" si="140"/>
        <v>1.2488539307804806E-2</v>
      </c>
      <c r="AT102" s="136">
        <f t="shared" si="141"/>
        <v>0.15660228658729375</v>
      </c>
      <c r="AU102" s="163">
        <f t="shared" si="153"/>
        <v>1.3669992014644977E-9</v>
      </c>
      <c r="AV102" s="153">
        <f t="shared" si="154"/>
        <v>8.3488449586079632E-6</v>
      </c>
      <c r="AW102" s="144">
        <f t="shared" si="155"/>
        <v>163.73512842097657</v>
      </c>
    </row>
    <row r="103" spans="15:49" x14ac:dyDescent="0.25">
      <c r="O103" s="102"/>
      <c r="P103" s="102"/>
      <c r="R103" s="86">
        <v>11</v>
      </c>
      <c r="S103" s="86">
        <f t="shared" si="162"/>
        <v>32</v>
      </c>
      <c r="T103" s="132">
        <f t="shared" si="156"/>
        <v>2752.1861360953226</v>
      </c>
      <c r="U103" s="153">
        <f t="shared" si="157"/>
        <v>2.2774843568550646E-8</v>
      </c>
      <c r="V103" s="153">
        <f t="shared" si="158"/>
        <v>6.5681391066181393E-6</v>
      </c>
      <c r="W103" s="88">
        <f t="shared" si="142"/>
        <v>1.3649499390312011E-7</v>
      </c>
      <c r="X103" s="96">
        <f t="shared" si="143"/>
        <v>7.68</v>
      </c>
      <c r="Y103" s="96">
        <f t="shared" si="144"/>
        <v>8.64</v>
      </c>
      <c r="Z103" s="134">
        <f t="shared" si="145"/>
        <v>0.50000000000000044</v>
      </c>
      <c r="AA103" s="148">
        <f t="shared" si="146"/>
        <v>47.023800000000001</v>
      </c>
      <c r="AB103" s="132">
        <f t="shared" si="147"/>
        <v>1.7061874237890033E-3</v>
      </c>
      <c r="AC103" s="136">
        <f t="shared" si="148"/>
        <v>0.16046283235753853</v>
      </c>
      <c r="AD103" s="163">
        <f t="shared" si="159"/>
        <v>2.4403220949768899E-7</v>
      </c>
      <c r="AE103" s="153">
        <f t="shared" si="149"/>
        <v>8.7143590917520203E-6</v>
      </c>
      <c r="AF103" s="144">
        <f t="shared" si="160"/>
        <v>28003.460372508744</v>
      </c>
      <c r="AI103" s="86">
        <v>12</v>
      </c>
      <c r="AJ103" s="86">
        <f t="shared" si="161"/>
        <v>34</v>
      </c>
      <c r="AK103" s="132">
        <f t="shared" si="150"/>
        <v>2218.5512202846012</v>
      </c>
      <c r="AL103" s="153">
        <f t="shared" si="151"/>
        <v>1.6006460225522931E-10</v>
      </c>
      <c r="AM103" s="153">
        <f t="shared" si="152"/>
        <v>6.5681391066181393E-6</v>
      </c>
      <c r="AN103" s="88">
        <f t="shared" si="135"/>
        <v>1.3321108594991789E-7</v>
      </c>
      <c r="AO103" s="96">
        <f t="shared" si="136"/>
        <v>5.6</v>
      </c>
      <c r="AP103" s="96">
        <f t="shared" si="137"/>
        <v>6.3</v>
      </c>
      <c r="AQ103" s="134">
        <f t="shared" si="138"/>
        <v>3.7500000000000004</v>
      </c>
      <c r="AR103" s="148">
        <f t="shared" si="139"/>
        <v>47.023800000000001</v>
      </c>
      <c r="AS103" s="132">
        <f t="shared" si="140"/>
        <v>1.2488539307804806E-2</v>
      </c>
      <c r="AT103" s="136">
        <f t="shared" si="141"/>
        <v>0.15660228658729375</v>
      </c>
      <c r="AU103" s="163">
        <f t="shared" si="153"/>
        <v>1.3669992014644977E-9</v>
      </c>
      <c r="AV103" s="153">
        <f t="shared" si="154"/>
        <v>8.3488449586079632E-6</v>
      </c>
      <c r="AW103" s="144">
        <f t="shared" si="155"/>
        <v>163.73512842097657</v>
      </c>
    </row>
    <row r="104" spans="15:49" x14ac:dyDescent="0.25">
      <c r="R104" s="86">
        <v>12</v>
      </c>
      <c r="S104" s="86">
        <f t="shared" si="162"/>
        <v>34</v>
      </c>
      <c r="T104" s="132">
        <f t="shared" si="156"/>
        <v>2776.5364237010554</v>
      </c>
      <c r="U104" s="153">
        <f t="shared" si="157"/>
        <v>2.8270635522789369E-8</v>
      </c>
      <c r="V104" s="153">
        <f t="shared" si="158"/>
        <v>6.5681391066181393E-6</v>
      </c>
      <c r="W104" s="88">
        <f t="shared" si="142"/>
        <v>1.3649499390312011E-7</v>
      </c>
      <c r="X104" s="96">
        <f t="shared" si="143"/>
        <v>7.68</v>
      </c>
      <c r="Y104" s="96">
        <f t="shared" si="144"/>
        <v>8.64</v>
      </c>
      <c r="Z104" s="134">
        <f t="shared" si="145"/>
        <v>0.50000000000000044</v>
      </c>
      <c r="AA104" s="148">
        <f t="shared" si="146"/>
        <v>47.023800000000001</v>
      </c>
      <c r="AB104" s="132">
        <f t="shared" si="147"/>
        <v>1.7061874237890033E-3</v>
      </c>
      <c r="AC104" s="136">
        <f t="shared" si="148"/>
        <v>0.16046283235753853</v>
      </c>
      <c r="AD104" s="163">
        <f t="shared" si="159"/>
        <v>2.4403220949768899E-7</v>
      </c>
      <c r="AE104" s="153">
        <f t="shared" si="149"/>
        <v>8.7143590917520203E-6</v>
      </c>
      <c r="AF104" s="144">
        <f t="shared" si="160"/>
        <v>28003.460372508744</v>
      </c>
      <c r="AI104" s="86">
        <v>13</v>
      </c>
      <c r="AJ104" s="86">
        <f t="shared" si="161"/>
        <v>36</v>
      </c>
      <c r="AK104" s="132">
        <f t="shared" si="150"/>
        <v>2237.0531641448279</v>
      </c>
      <c r="AL104" s="153">
        <f t="shared" si="151"/>
        <v>2.0612263847842846E-10</v>
      </c>
      <c r="AM104" s="153">
        <f t="shared" si="152"/>
        <v>6.5681391066181393E-6</v>
      </c>
      <c r="AN104" s="88">
        <f t="shared" si="135"/>
        <v>1.3321108594991789E-7</v>
      </c>
      <c r="AO104" s="96">
        <f t="shared" si="136"/>
        <v>5.6</v>
      </c>
      <c r="AP104" s="96">
        <f t="shared" si="137"/>
        <v>6.3</v>
      </c>
      <c r="AQ104" s="134">
        <f t="shared" si="138"/>
        <v>3.7500000000000004</v>
      </c>
      <c r="AR104" s="148">
        <f t="shared" si="139"/>
        <v>47.023800000000001</v>
      </c>
      <c r="AS104" s="132">
        <f t="shared" si="140"/>
        <v>1.2488539307804806E-2</v>
      </c>
      <c r="AT104" s="136">
        <f t="shared" si="141"/>
        <v>0.15660228658729375</v>
      </c>
      <c r="AU104" s="163">
        <f t="shared" si="153"/>
        <v>1.3669992014644977E-9</v>
      </c>
      <c r="AV104" s="153">
        <f t="shared" si="154"/>
        <v>8.3488449586079632E-6</v>
      </c>
      <c r="AW104" s="144">
        <f t="shared" si="155"/>
        <v>163.73512842097657</v>
      </c>
    </row>
    <row r="105" spans="15:49" x14ac:dyDescent="0.25">
      <c r="R105" s="86">
        <v>13</v>
      </c>
      <c r="S105" s="86">
        <f t="shared" si="162"/>
        <v>36</v>
      </c>
      <c r="T105" s="132">
        <f t="shared" si="156"/>
        <v>2799.6917696617411</v>
      </c>
      <c r="U105" s="153">
        <f t="shared" si="157"/>
        <v>3.4601422759220408E-8</v>
      </c>
      <c r="V105" s="153">
        <f t="shared" si="158"/>
        <v>6.5681391066181393E-6</v>
      </c>
      <c r="W105" s="88">
        <f t="shared" si="142"/>
        <v>1.3649499390312011E-7</v>
      </c>
      <c r="X105" s="96">
        <f t="shared" si="143"/>
        <v>7.68</v>
      </c>
      <c r="Y105" s="96">
        <f t="shared" si="144"/>
        <v>8.64</v>
      </c>
      <c r="Z105" s="134">
        <f t="shared" si="145"/>
        <v>0.50000000000000044</v>
      </c>
      <c r="AA105" s="148">
        <f t="shared" si="146"/>
        <v>47.023800000000001</v>
      </c>
      <c r="AB105" s="132">
        <f t="shared" si="147"/>
        <v>1.7061874237890033E-3</v>
      </c>
      <c r="AC105" s="136">
        <f t="shared" si="148"/>
        <v>0.16046283235753853</v>
      </c>
      <c r="AD105" s="163">
        <f t="shared" si="159"/>
        <v>2.4403220949768899E-7</v>
      </c>
      <c r="AE105" s="153">
        <f t="shared" si="149"/>
        <v>8.7143590917520203E-6</v>
      </c>
      <c r="AF105" s="144">
        <f t="shared" si="160"/>
        <v>28003.460372508744</v>
      </c>
      <c r="AI105" s="86">
        <v>14</v>
      </c>
      <c r="AJ105" s="86">
        <f t="shared" si="161"/>
        <v>38</v>
      </c>
      <c r="AK105" s="132">
        <f t="shared" si="150"/>
        <v>2254.696488706531</v>
      </c>
      <c r="AL105" s="153">
        <f t="shared" si="151"/>
        <v>2.6132454103513712E-10</v>
      </c>
      <c r="AM105" s="153">
        <f t="shared" si="152"/>
        <v>6.5681391066181393E-6</v>
      </c>
      <c r="AN105" s="88">
        <f t="shared" si="135"/>
        <v>1.3321108594991789E-7</v>
      </c>
      <c r="AO105" s="96">
        <f t="shared" si="136"/>
        <v>5.6</v>
      </c>
      <c r="AP105" s="96">
        <f t="shared" si="137"/>
        <v>6.3</v>
      </c>
      <c r="AQ105" s="134">
        <f t="shared" si="138"/>
        <v>3.7500000000000004</v>
      </c>
      <c r="AR105" s="148">
        <f t="shared" si="139"/>
        <v>47.023800000000001</v>
      </c>
      <c r="AS105" s="132">
        <f t="shared" si="140"/>
        <v>1.2488539307804806E-2</v>
      </c>
      <c r="AT105" s="136">
        <f t="shared" si="141"/>
        <v>0.15660228658729375</v>
      </c>
      <c r="AU105" s="163">
        <f t="shared" si="153"/>
        <v>1.3669992014644977E-9</v>
      </c>
      <c r="AV105" s="153">
        <f t="shared" si="154"/>
        <v>8.3488449586079632E-6</v>
      </c>
      <c r="AW105" s="144">
        <f t="shared" si="155"/>
        <v>163.73512842097657</v>
      </c>
    </row>
    <row r="106" spans="15:49" x14ac:dyDescent="0.25">
      <c r="R106" s="86">
        <v>14</v>
      </c>
      <c r="S106" s="86">
        <f t="shared" si="162"/>
        <v>38</v>
      </c>
      <c r="T106" s="132">
        <f t="shared" si="156"/>
        <v>2821.772545995796</v>
      </c>
      <c r="U106" s="153">
        <f t="shared" si="157"/>
        <v>4.1825213367485553E-8</v>
      </c>
      <c r="V106" s="153">
        <f t="shared" si="158"/>
        <v>6.5681391066181393E-6</v>
      </c>
      <c r="W106" s="88">
        <f t="shared" si="142"/>
        <v>1.3649499390312011E-7</v>
      </c>
      <c r="X106" s="96">
        <f t="shared" si="143"/>
        <v>7.68</v>
      </c>
      <c r="Y106" s="96">
        <f t="shared" si="144"/>
        <v>8.64</v>
      </c>
      <c r="Z106" s="134">
        <f t="shared" si="145"/>
        <v>0.50000000000000044</v>
      </c>
      <c r="AA106" s="148">
        <f t="shared" si="146"/>
        <v>47.023800000000001</v>
      </c>
      <c r="AB106" s="132">
        <f t="shared" si="147"/>
        <v>1.7061874237890033E-3</v>
      </c>
      <c r="AC106" s="136">
        <f t="shared" si="148"/>
        <v>0.16046283235753853</v>
      </c>
      <c r="AD106" s="163">
        <f t="shared" si="159"/>
        <v>2.4403220949768899E-7</v>
      </c>
      <c r="AE106" s="153">
        <f t="shared" si="149"/>
        <v>8.7143590917520203E-6</v>
      </c>
      <c r="AF106" s="144">
        <f t="shared" si="160"/>
        <v>28003.460372508744</v>
      </c>
      <c r="AI106" s="86">
        <v>15</v>
      </c>
      <c r="AJ106" s="86">
        <f t="shared" si="161"/>
        <v>40</v>
      </c>
      <c r="AK106" s="132">
        <f t="shared" si="150"/>
        <v>2271.563227410275</v>
      </c>
      <c r="AL106" s="153">
        <f t="shared" si="151"/>
        <v>3.2673973707622981E-10</v>
      </c>
      <c r="AM106" s="153">
        <f t="shared" si="152"/>
        <v>6.5681391066181393E-6</v>
      </c>
      <c r="AN106" s="88">
        <f t="shared" si="135"/>
        <v>1.3321108594991789E-7</v>
      </c>
      <c r="AO106" s="96">
        <f t="shared" si="136"/>
        <v>5.6</v>
      </c>
      <c r="AP106" s="96">
        <f t="shared" si="137"/>
        <v>6.3</v>
      </c>
      <c r="AQ106" s="134">
        <f t="shared" si="138"/>
        <v>3.7500000000000004</v>
      </c>
      <c r="AR106" s="148">
        <f t="shared" si="139"/>
        <v>47.023800000000001</v>
      </c>
      <c r="AS106" s="132">
        <f t="shared" si="140"/>
        <v>1.2488539307804806E-2</v>
      </c>
      <c r="AT106" s="136">
        <f t="shared" si="141"/>
        <v>0.15660228658729375</v>
      </c>
      <c r="AU106" s="163">
        <f t="shared" si="153"/>
        <v>1.3669992014644977E-9</v>
      </c>
      <c r="AV106" s="153">
        <f t="shared" si="154"/>
        <v>8.3488449586079632E-6</v>
      </c>
      <c r="AW106" s="144">
        <f t="shared" si="155"/>
        <v>163.73512842097657</v>
      </c>
    </row>
    <row r="107" spans="15:49" ht="15.75" thickBot="1" x14ac:dyDescent="0.3">
      <c r="R107" s="86">
        <v>15</v>
      </c>
      <c r="S107" s="86">
        <f t="shared" si="162"/>
        <v>40</v>
      </c>
      <c r="T107" s="132">
        <f t="shared" si="156"/>
        <v>2842.8814182777651</v>
      </c>
      <c r="U107" s="153">
        <f t="shared" si="157"/>
        <v>4.9999078081185099E-8</v>
      </c>
      <c r="V107" s="153">
        <f t="shared" si="158"/>
        <v>6.5681391066181393E-6</v>
      </c>
      <c r="W107" s="88">
        <f t="shared" si="142"/>
        <v>1.3649499390312011E-7</v>
      </c>
      <c r="X107" s="96">
        <f t="shared" si="143"/>
        <v>7.68</v>
      </c>
      <c r="Y107" s="96">
        <f t="shared" si="144"/>
        <v>8.64</v>
      </c>
      <c r="Z107" s="134">
        <f t="shared" si="145"/>
        <v>0.50000000000000044</v>
      </c>
      <c r="AA107" s="148">
        <f t="shared" si="146"/>
        <v>47.023800000000001</v>
      </c>
      <c r="AB107" s="132">
        <f t="shared" si="147"/>
        <v>1.7061874237890033E-3</v>
      </c>
      <c r="AC107" s="136">
        <f t="shared" si="148"/>
        <v>0.16046283235753853</v>
      </c>
      <c r="AD107" s="163">
        <f t="shared" si="159"/>
        <v>2.4403220949768899E-7</v>
      </c>
      <c r="AE107" s="153">
        <f t="shared" si="149"/>
        <v>8.7143590917520203E-6</v>
      </c>
      <c r="AF107" s="144">
        <f t="shared" si="160"/>
        <v>28003.460372508744</v>
      </c>
      <c r="AI107" s="108"/>
      <c r="AJ107" s="108"/>
      <c r="AK107" s="132"/>
      <c r="AL107" s="153"/>
      <c r="AM107" s="86"/>
      <c r="AN107" s="88"/>
      <c r="AO107" s="96"/>
      <c r="AP107" s="96"/>
      <c r="AQ107" s="134"/>
      <c r="AR107" s="149"/>
      <c r="AS107" s="133"/>
      <c r="AT107" s="125"/>
      <c r="AU107" s="125"/>
      <c r="AV107" s="162"/>
      <c r="AW107" s="144"/>
    </row>
    <row r="108" spans="15:49" ht="15.75" thickBot="1" x14ac:dyDescent="0.3">
      <c r="R108" s="108"/>
      <c r="S108" s="108"/>
      <c r="T108" s="132"/>
      <c r="U108" s="153"/>
      <c r="V108" s="86"/>
      <c r="W108" s="88"/>
      <c r="X108" s="96"/>
      <c r="Y108" s="96"/>
      <c r="Z108" s="134"/>
      <c r="AA108" s="149"/>
      <c r="AB108" s="133"/>
      <c r="AC108" s="125"/>
      <c r="AD108" s="125"/>
      <c r="AE108" s="162"/>
      <c r="AF108" s="144"/>
    </row>
    <row r="109" spans="15:49" ht="15.75" thickBot="1" x14ac:dyDescent="0.3"/>
    <row r="110" spans="15:49" ht="15.75" customHeight="1" thickBot="1" x14ac:dyDescent="0.3">
      <c r="AI110" s="356" t="s">
        <v>29</v>
      </c>
      <c r="AJ110" s="358"/>
      <c r="AK110" s="384">
        <v>0.65</v>
      </c>
      <c r="AL110" s="385"/>
      <c r="AM110" s="385"/>
      <c r="AN110" s="385"/>
      <c r="AO110" s="385"/>
      <c r="AP110" s="385"/>
      <c r="AQ110" s="385"/>
      <c r="AR110" s="385"/>
      <c r="AS110" s="385"/>
      <c r="AT110" s="385"/>
      <c r="AU110" s="385"/>
      <c r="AV110" s="386"/>
    </row>
    <row r="111" spans="15:49" ht="15.75" customHeight="1" thickBot="1" x14ac:dyDescent="0.3">
      <c r="R111" s="378" t="s">
        <v>29</v>
      </c>
      <c r="S111" s="379"/>
      <c r="T111" s="384">
        <v>0.95</v>
      </c>
      <c r="U111" s="385"/>
      <c r="V111" s="385"/>
      <c r="W111" s="385"/>
      <c r="X111" s="385"/>
      <c r="Y111" s="385"/>
      <c r="Z111" s="385"/>
      <c r="AA111" s="385"/>
      <c r="AB111" s="385"/>
      <c r="AC111" s="386"/>
      <c r="AD111" s="183"/>
      <c r="AI111" s="357"/>
      <c r="AJ111" s="359"/>
      <c r="AK111" s="387"/>
      <c r="AL111" s="388"/>
      <c r="AM111" s="388"/>
      <c r="AN111" s="388"/>
      <c r="AO111" s="388"/>
      <c r="AP111" s="388"/>
      <c r="AQ111" s="388"/>
      <c r="AR111" s="388"/>
      <c r="AS111" s="388"/>
      <c r="AT111" s="388"/>
      <c r="AU111" s="388"/>
      <c r="AV111" s="389"/>
    </row>
    <row r="112" spans="15:49" ht="21.75" thickBot="1" x14ac:dyDescent="0.3">
      <c r="R112" s="380"/>
      <c r="S112" s="381"/>
      <c r="T112" s="387"/>
      <c r="U112" s="388"/>
      <c r="V112" s="388"/>
      <c r="W112" s="388"/>
      <c r="X112" s="388"/>
      <c r="Y112" s="388"/>
      <c r="Z112" s="388"/>
      <c r="AA112" s="388"/>
      <c r="AB112" s="388"/>
      <c r="AC112" s="389"/>
      <c r="AD112" s="183"/>
      <c r="AI112" s="2" t="s">
        <v>73</v>
      </c>
      <c r="AJ112" s="2" t="s">
        <v>69</v>
      </c>
      <c r="AK112" s="116" t="s">
        <v>177</v>
      </c>
      <c r="AL112" s="2" t="s">
        <v>178</v>
      </c>
      <c r="AM112" s="109" t="s">
        <v>173</v>
      </c>
      <c r="AN112" s="2" t="s">
        <v>151</v>
      </c>
      <c r="AO112" s="109" t="s">
        <v>155</v>
      </c>
      <c r="AP112" s="112" t="s">
        <v>156</v>
      </c>
      <c r="AQ112" s="109" t="s">
        <v>157</v>
      </c>
      <c r="AR112" s="2" t="s">
        <v>158</v>
      </c>
      <c r="AS112" s="2" t="s">
        <v>180</v>
      </c>
      <c r="AT112" s="2" t="s">
        <v>181</v>
      </c>
      <c r="AU112" s="2" t="s">
        <v>185</v>
      </c>
      <c r="AV112" s="2" t="s">
        <v>182</v>
      </c>
      <c r="AW112" s="127" t="s">
        <v>183</v>
      </c>
    </row>
    <row r="113" spans="18:49" ht="18.75" thickBot="1" x14ac:dyDescent="0.3">
      <c r="R113" s="2" t="s">
        <v>73</v>
      </c>
      <c r="S113" s="2" t="s">
        <v>69</v>
      </c>
      <c r="T113" s="116" t="s">
        <v>177</v>
      </c>
      <c r="U113" s="2" t="s">
        <v>178</v>
      </c>
      <c r="V113" s="109" t="s">
        <v>173</v>
      </c>
      <c r="W113" s="2" t="s">
        <v>151</v>
      </c>
      <c r="X113" s="109" t="s">
        <v>155</v>
      </c>
      <c r="Y113" s="112" t="s">
        <v>156</v>
      </c>
      <c r="Z113" s="109" t="s">
        <v>157</v>
      </c>
      <c r="AA113" s="2" t="s">
        <v>158</v>
      </c>
      <c r="AB113" s="2" t="s">
        <v>180</v>
      </c>
      <c r="AC113" s="2" t="s">
        <v>181</v>
      </c>
      <c r="AD113" s="2" t="s">
        <v>185</v>
      </c>
      <c r="AE113" s="2" t="s">
        <v>182</v>
      </c>
      <c r="AF113" s="127" t="s">
        <v>183</v>
      </c>
      <c r="AI113" s="86">
        <v>0</v>
      </c>
      <c r="AJ113" s="86">
        <v>10</v>
      </c>
      <c r="AK113" s="216">
        <v>1758.1155324548247</v>
      </c>
      <c r="AL113" s="153">
        <f>((4.7*10^13*AT113*(AS113^0.5)*EXP($C$11/AK113))/($C$14*6))*$C$5*10^-6</f>
        <v>5.9305824002322983E-14</v>
      </c>
      <c r="AM113" s="153">
        <f>(((10^5*($C$4*$C$6)*10^-6)/($C$8*$C$7)))</f>
        <v>6.5681391066181393E-6</v>
      </c>
      <c r="AN113" s="88">
        <f t="shared" ref="AN113:AN128" si="163">AM113/($AK$110*$G$11*((AQ113/2)+3.76))</f>
        <v>1.3592036176271897E-7</v>
      </c>
      <c r="AO113" s="96">
        <f t="shared" ref="AO113:AO128" si="164">$AK$110*$G$12</f>
        <v>5.2</v>
      </c>
      <c r="AP113" s="96">
        <f t="shared" ref="AP113:AP128" si="165">$AK$110*$G$13</f>
        <v>5.8500000000000005</v>
      </c>
      <c r="AQ113" s="134">
        <f t="shared" ref="AQ113:AQ128" si="166">(($G$15/2)*(1-$AK$110))</f>
        <v>4.375</v>
      </c>
      <c r="AR113" s="147">
        <f t="shared" ref="AR113:AR128" si="167">$G$14</f>
        <v>47.023800000000001</v>
      </c>
      <c r="AS113" s="129">
        <f t="shared" ref="AS113:AS128" si="168">((AQ113*AN113)/($C$5*10^-6))</f>
        <v>1.486628956779739E-2</v>
      </c>
      <c r="AT113" s="137">
        <f t="shared" ref="AT113:AT128" si="169">((AR113*AN113)/($C$5*10^-6))</f>
        <v>0.15978729768644362</v>
      </c>
      <c r="AU113" s="163">
        <f>SUM($AL$113:$AL$128)</f>
        <v>2.7241245707748222E-10</v>
      </c>
      <c r="AV113" s="161">
        <f>AN113*(AO113+AP113+AQ113+AR113)</f>
        <v>8.4880634876476858E-6</v>
      </c>
      <c r="AW113" s="144">
        <f>(AU113/AV113)*10^6</f>
        <v>32.093593252914793</v>
      </c>
    </row>
    <row r="114" spans="18:49" x14ac:dyDescent="0.25">
      <c r="R114" s="86">
        <v>0</v>
      </c>
      <c r="S114" s="86">
        <v>10</v>
      </c>
      <c r="T114" s="86">
        <v>2307.5237408041567</v>
      </c>
      <c r="U114" s="153">
        <f>((4.7*10^13*AC114*(AB114^0.5)*EXP($C$11/T114))/($C$14*6))*$C$5*10^-6</f>
        <v>2.1870343733231412E-10</v>
      </c>
      <c r="V114" s="153">
        <f>(((10^5*($C$4*$C$6)*10^-6)/($C$8*$C$7)))</f>
        <v>6.5681391066181393E-6</v>
      </c>
      <c r="W114" s="88">
        <f t="shared" ref="W114:W129" si="170">V114/($T$111*$G$11*((Z114/2)+3.76))</f>
        <v>1.358149665030406E-7</v>
      </c>
      <c r="X114" s="96">
        <f t="shared" ref="X114:X129" si="171">$T$111*$G$12</f>
        <v>7.6</v>
      </c>
      <c r="Y114" s="96">
        <f t="shared" ref="Y114:Y129" si="172">$T$111*$G$13</f>
        <v>8.5499999999999989</v>
      </c>
      <c r="Z114" s="134">
        <f t="shared" ref="Z114:Z129" si="173">(($G$15/2)*(1-$T$111))</f>
        <v>0.62500000000000056</v>
      </c>
      <c r="AA114" s="147">
        <f t="shared" ref="AA114:AA129" si="174">$G$14</f>
        <v>47.023800000000001</v>
      </c>
      <c r="AB114" s="129">
        <f t="shared" ref="AB114:AB129" si="175">((Z114*W114)/($C$5*10^-6))</f>
        <v>2.1221088516100114E-3</v>
      </c>
      <c r="AC114" s="137">
        <f t="shared" ref="AC114:AC129" si="176">((AA114*W114)/($C$5*10^-6))</f>
        <v>0.15966339554614201</v>
      </c>
      <c r="AD114" s="163">
        <f>SUM($U$114:$U$129)</f>
        <v>2.2671422806555451E-7</v>
      </c>
      <c r="AE114" s="161">
        <f t="shared" ref="AE114:AE129" si="177">W114*(X114+Y114+Z114+AA114)</f>
        <v>8.6648318849341872E-6</v>
      </c>
      <c r="AF114" s="144">
        <f>(AD114/AE114)*10^6</f>
        <v>26164.87325735074</v>
      </c>
      <c r="AI114" s="86">
        <v>1</v>
      </c>
      <c r="AJ114" s="86">
        <f>AJ113+2</f>
        <v>12</v>
      </c>
      <c r="AK114" s="132">
        <f t="shared" ref="AK114:AK128" si="178">(AK113*(($S6/$S5)^(($C$13-1)/$C$13)))</f>
        <v>1805.3124541484765</v>
      </c>
      <c r="AL114" s="153">
        <f t="shared" ref="AL114:AL128" si="179">((4.7*10^13*AT114*(AS114^0.5)*EXP($C$11/AK114))/($C$14*6))*$C$5*10^-6</f>
        <v>1.6262557575371364E-13</v>
      </c>
      <c r="AM114" s="153">
        <f t="shared" ref="AM114:AM128" si="180">(((10^5*($C$4*$C$6)*10^-6)/($C$8*$C$7)))</f>
        <v>6.5681391066181393E-6</v>
      </c>
      <c r="AN114" s="88">
        <f t="shared" si="163"/>
        <v>1.3592036176271897E-7</v>
      </c>
      <c r="AO114" s="96">
        <f t="shared" si="164"/>
        <v>5.2</v>
      </c>
      <c r="AP114" s="96">
        <f t="shared" si="165"/>
        <v>5.8500000000000005</v>
      </c>
      <c r="AQ114" s="134">
        <f t="shared" si="166"/>
        <v>4.375</v>
      </c>
      <c r="AR114" s="148">
        <f t="shared" si="167"/>
        <v>47.023800000000001</v>
      </c>
      <c r="AS114" s="132">
        <f t="shared" si="168"/>
        <v>1.486628956779739E-2</v>
      </c>
      <c r="AT114" s="136">
        <f t="shared" si="169"/>
        <v>0.15978729768644362</v>
      </c>
      <c r="AU114" s="163">
        <f t="shared" ref="AU114:AU128" si="181">SUM($AL$113:$AL$128)</f>
        <v>2.7241245707748222E-10</v>
      </c>
      <c r="AV114" s="153">
        <f t="shared" ref="AV114:AV128" si="182">AN114*(AO114+AP114+AQ114+AR114)</f>
        <v>8.4880634876476858E-6</v>
      </c>
      <c r="AW114" s="144">
        <f t="shared" ref="AW114:AW128" si="183">(AU114/AV114)*10^6</f>
        <v>32.093593252914793</v>
      </c>
    </row>
    <row r="115" spans="18:49" x14ac:dyDescent="0.25">
      <c r="R115" s="86">
        <v>1</v>
      </c>
      <c r="S115" s="86">
        <f>S114+2</f>
        <v>12</v>
      </c>
      <c r="T115" s="132">
        <f t="shared" ref="T115:T129" si="184">(T114*(($S6/$S5)^(($C$13-1)/$C$13)))</f>
        <v>2369.4696227957174</v>
      </c>
      <c r="U115" s="153">
        <f t="shared" ref="U115:U129" si="185">((4.7*10^13*AC115*(AB115^0.5)*EXP($C$11/T115))/($C$14*6))*$C$5*10^-6</f>
        <v>4.7167192818968804E-10</v>
      </c>
      <c r="V115" s="153">
        <f t="shared" ref="V115:V129" si="186">(((10^5*($C$4*$C$6)*10^-6)/($C$8*$C$7)))</f>
        <v>6.5681391066181393E-6</v>
      </c>
      <c r="W115" s="88">
        <f t="shared" si="170"/>
        <v>1.358149665030406E-7</v>
      </c>
      <c r="X115" s="96">
        <f t="shared" si="171"/>
        <v>7.6</v>
      </c>
      <c r="Y115" s="96">
        <f t="shared" si="172"/>
        <v>8.5499999999999989</v>
      </c>
      <c r="Z115" s="134">
        <f t="shared" si="173"/>
        <v>0.62500000000000056</v>
      </c>
      <c r="AA115" s="148">
        <f t="shared" si="174"/>
        <v>47.023800000000001</v>
      </c>
      <c r="AB115" s="132">
        <f t="shared" si="175"/>
        <v>2.1221088516100114E-3</v>
      </c>
      <c r="AC115" s="136">
        <f t="shared" si="176"/>
        <v>0.15966339554614201</v>
      </c>
      <c r="AD115" s="163">
        <f t="shared" ref="AD115:AD129" si="187">SUM($U$114:$U$129)</f>
        <v>2.2671422806555451E-7</v>
      </c>
      <c r="AE115" s="153">
        <f t="shared" si="177"/>
        <v>8.6648318849341872E-6</v>
      </c>
      <c r="AF115" s="144">
        <f t="shared" ref="AF115:AF129" si="188">(AD115/AE115)*10^6</f>
        <v>26164.87325735074</v>
      </c>
      <c r="AH115" s="140"/>
      <c r="AI115" s="86">
        <v>2</v>
      </c>
      <c r="AJ115" s="86">
        <f t="shared" ref="AJ115:AJ128" si="189">AJ114+2</f>
        <v>14</v>
      </c>
      <c r="AK115" s="132">
        <f t="shared" si="178"/>
        <v>1846.2040081924431</v>
      </c>
      <c r="AL115" s="153">
        <f t="shared" si="179"/>
        <v>3.7380266719529845E-13</v>
      </c>
      <c r="AM115" s="153">
        <f t="shared" si="180"/>
        <v>6.5681391066181393E-6</v>
      </c>
      <c r="AN115" s="88">
        <f t="shared" si="163"/>
        <v>1.3592036176271897E-7</v>
      </c>
      <c r="AO115" s="96">
        <f t="shared" si="164"/>
        <v>5.2</v>
      </c>
      <c r="AP115" s="96">
        <f t="shared" si="165"/>
        <v>5.8500000000000005</v>
      </c>
      <c r="AQ115" s="134">
        <f t="shared" si="166"/>
        <v>4.375</v>
      </c>
      <c r="AR115" s="148">
        <f t="shared" si="167"/>
        <v>47.023800000000001</v>
      </c>
      <c r="AS115" s="132">
        <f t="shared" si="168"/>
        <v>1.486628956779739E-2</v>
      </c>
      <c r="AT115" s="136">
        <f t="shared" si="169"/>
        <v>0.15978729768644362</v>
      </c>
      <c r="AU115" s="163">
        <f t="shared" si="181"/>
        <v>2.7241245707748222E-10</v>
      </c>
      <c r="AV115" s="153">
        <f t="shared" si="182"/>
        <v>8.4880634876476858E-6</v>
      </c>
      <c r="AW115" s="144">
        <f t="shared" si="183"/>
        <v>32.093593252914793</v>
      </c>
    </row>
    <row r="116" spans="18:49" x14ac:dyDescent="0.25">
      <c r="R116" s="86">
        <v>2</v>
      </c>
      <c r="S116" s="86">
        <f t="shared" ref="S116:S129" si="190">S115+2</f>
        <v>14</v>
      </c>
      <c r="T116" s="132">
        <f t="shared" si="184"/>
        <v>2423.1397201317432</v>
      </c>
      <c r="U116" s="153">
        <f t="shared" si="185"/>
        <v>8.8926982370764725E-10</v>
      </c>
      <c r="V116" s="153">
        <f t="shared" si="186"/>
        <v>6.5681391066181393E-6</v>
      </c>
      <c r="W116" s="88">
        <f t="shared" si="170"/>
        <v>1.358149665030406E-7</v>
      </c>
      <c r="X116" s="96">
        <f t="shared" si="171"/>
        <v>7.6</v>
      </c>
      <c r="Y116" s="96">
        <f t="shared" si="172"/>
        <v>8.5499999999999989</v>
      </c>
      <c r="Z116" s="134">
        <f t="shared" si="173"/>
        <v>0.62500000000000056</v>
      </c>
      <c r="AA116" s="148">
        <f t="shared" si="174"/>
        <v>47.023800000000001</v>
      </c>
      <c r="AB116" s="132">
        <f t="shared" si="175"/>
        <v>2.1221088516100114E-3</v>
      </c>
      <c r="AC116" s="136">
        <f t="shared" si="176"/>
        <v>0.15966339554614201</v>
      </c>
      <c r="AD116" s="163">
        <f t="shared" si="187"/>
        <v>2.2671422806555451E-7</v>
      </c>
      <c r="AE116" s="153">
        <f t="shared" si="177"/>
        <v>8.6648318849341872E-6</v>
      </c>
      <c r="AF116" s="144">
        <f t="shared" si="188"/>
        <v>26164.87325735074</v>
      </c>
      <c r="AH116" s="140"/>
      <c r="AI116" s="86">
        <v>3</v>
      </c>
      <c r="AJ116" s="86">
        <f t="shared" si="189"/>
        <v>16</v>
      </c>
      <c r="AK116" s="132">
        <f t="shared" si="178"/>
        <v>1882.3738017098635</v>
      </c>
      <c r="AL116" s="153">
        <f t="shared" si="179"/>
        <v>7.5730376649065801E-13</v>
      </c>
      <c r="AM116" s="153">
        <f t="shared" si="180"/>
        <v>6.5681391066181393E-6</v>
      </c>
      <c r="AN116" s="88">
        <f t="shared" si="163"/>
        <v>1.3592036176271897E-7</v>
      </c>
      <c r="AO116" s="96">
        <f t="shared" si="164"/>
        <v>5.2</v>
      </c>
      <c r="AP116" s="96">
        <f t="shared" si="165"/>
        <v>5.8500000000000005</v>
      </c>
      <c r="AQ116" s="134">
        <f t="shared" si="166"/>
        <v>4.375</v>
      </c>
      <c r="AR116" s="148">
        <f t="shared" si="167"/>
        <v>47.023800000000001</v>
      </c>
      <c r="AS116" s="132">
        <f t="shared" si="168"/>
        <v>1.486628956779739E-2</v>
      </c>
      <c r="AT116" s="136">
        <f t="shared" si="169"/>
        <v>0.15978729768644362</v>
      </c>
      <c r="AU116" s="163">
        <f t="shared" si="181"/>
        <v>2.7241245707748222E-10</v>
      </c>
      <c r="AV116" s="153">
        <f t="shared" si="182"/>
        <v>8.4880634876476858E-6</v>
      </c>
      <c r="AW116" s="144">
        <f t="shared" si="183"/>
        <v>32.093593252914793</v>
      </c>
    </row>
    <row r="117" spans="18:49" ht="15.75" thickBot="1" x14ac:dyDescent="0.3">
      <c r="R117" s="86">
        <v>3</v>
      </c>
      <c r="S117" s="86">
        <f t="shared" si="190"/>
        <v>16</v>
      </c>
      <c r="T117" s="132">
        <f t="shared" si="184"/>
        <v>2470.6125145532192</v>
      </c>
      <c r="U117" s="153">
        <f t="shared" si="185"/>
        <v>1.5228424313856402E-9</v>
      </c>
      <c r="V117" s="153">
        <f t="shared" si="186"/>
        <v>6.5681391066181393E-6</v>
      </c>
      <c r="W117" s="88">
        <f t="shared" si="170"/>
        <v>1.358149665030406E-7</v>
      </c>
      <c r="X117" s="96">
        <f t="shared" si="171"/>
        <v>7.6</v>
      </c>
      <c r="Y117" s="96">
        <f t="shared" si="172"/>
        <v>8.5499999999999989</v>
      </c>
      <c r="Z117" s="134">
        <f t="shared" si="173"/>
        <v>0.62500000000000056</v>
      </c>
      <c r="AA117" s="148">
        <f t="shared" si="174"/>
        <v>47.023800000000001</v>
      </c>
      <c r="AB117" s="132">
        <f t="shared" si="175"/>
        <v>2.1221088516100114E-3</v>
      </c>
      <c r="AC117" s="136">
        <f t="shared" si="176"/>
        <v>0.15966339554614201</v>
      </c>
      <c r="AD117" s="163">
        <f t="shared" si="187"/>
        <v>2.2671422806555451E-7</v>
      </c>
      <c r="AE117" s="153">
        <f t="shared" si="177"/>
        <v>8.6648318849341872E-6</v>
      </c>
      <c r="AF117" s="144">
        <f t="shared" si="188"/>
        <v>26164.87325735074</v>
      </c>
      <c r="AH117" s="188"/>
      <c r="AI117" s="86">
        <v>4</v>
      </c>
      <c r="AJ117" s="86">
        <f t="shared" si="189"/>
        <v>18</v>
      </c>
      <c r="AK117" s="132">
        <f t="shared" si="178"/>
        <v>1914.8655575857667</v>
      </c>
      <c r="AL117" s="153">
        <f t="shared" si="179"/>
        <v>1.3958562678621869E-12</v>
      </c>
      <c r="AM117" s="153">
        <f t="shared" si="180"/>
        <v>6.5681391066181393E-6</v>
      </c>
      <c r="AN117" s="88">
        <f t="shared" si="163"/>
        <v>1.3592036176271897E-7</v>
      </c>
      <c r="AO117" s="96">
        <f t="shared" si="164"/>
        <v>5.2</v>
      </c>
      <c r="AP117" s="96">
        <f t="shared" si="165"/>
        <v>5.8500000000000005</v>
      </c>
      <c r="AQ117" s="134">
        <f t="shared" si="166"/>
        <v>4.375</v>
      </c>
      <c r="AR117" s="148">
        <f t="shared" si="167"/>
        <v>47.023800000000001</v>
      </c>
      <c r="AS117" s="132">
        <f t="shared" si="168"/>
        <v>1.486628956779739E-2</v>
      </c>
      <c r="AT117" s="136">
        <f t="shared" si="169"/>
        <v>0.15978729768644362</v>
      </c>
      <c r="AU117" s="163">
        <f t="shared" si="181"/>
        <v>2.7241245707748222E-10</v>
      </c>
      <c r="AV117" s="153">
        <f t="shared" si="182"/>
        <v>8.4880634876476858E-6</v>
      </c>
      <c r="AW117" s="144">
        <f t="shared" si="183"/>
        <v>32.093593252914793</v>
      </c>
    </row>
    <row r="118" spans="18:49" x14ac:dyDescent="0.25">
      <c r="R118" s="86">
        <v>4</v>
      </c>
      <c r="S118" s="86">
        <f t="shared" si="190"/>
        <v>18</v>
      </c>
      <c r="T118" s="132">
        <f t="shared" si="184"/>
        <v>2513.2578906277781</v>
      </c>
      <c r="U118" s="153">
        <f t="shared" si="185"/>
        <v>2.4265805700116491E-9</v>
      </c>
      <c r="V118" s="153">
        <f t="shared" si="186"/>
        <v>6.5681391066181393E-6</v>
      </c>
      <c r="W118" s="88">
        <f t="shared" si="170"/>
        <v>1.358149665030406E-7</v>
      </c>
      <c r="X118" s="96">
        <f t="shared" si="171"/>
        <v>7.6</v>
      </c>
      <c r="Y118" s="96">
        <f t="shared" si="172"/>
        <v>8.5499999999999989</v>
      </c>
      <c r="Z118" s="134">
        <f t="shared" si="173"/>
        <v>0.62500000000000056</v>
      </c>
      <c r="AA118" s="148">
        <f t="shared" si="174"/>
        <v>47.023800000000001</v>
      </c>
      <c r="AB118" s="132">
        <f t="shared" si="175"/>
        <v>2.1221088516100114E-3</v>
      </c>
      <c r="AC118" s="136">
        <f t="shared" si="176"/>
        <v>0.15966339554614201</v>
      </c>
      <c r="AD118" s="163">
        <f t="shared" si="187"/>
        <v>2.2671422806555451E-7</v>
      </c>
      <c r="AE118" s="153">
        <f t="shared" si="177"/>
        <v>8.6648318849341872E-6</v>
      </c>
      <c r="AF118" s="144">
        <f t="shared" si="188"/>
        <v>26164.87325735074</v>
      </c>
      <c r="AI118" s="86">
        <v>5</v>
      </c>
      <c r="AJ118" s="86">
        <f t="shared" si="189"/>
        <v>20</v>
      </c>
      <c r="AK118" s="132">
        <f t="shared" si="178"/>
        <v>1944.4053703163115</v>
      </c>
      <c r="AL118" s="153">
        <f t="shared" si="179"/>
        <v>2.3910078033777511E-12</v>
      </c>
      <c r="AM118" s="153">
        <f t="shared" si="180"/>
        <v>6.5681391066181393E-6</v>
      </c>
      <c r="AN118" s="88">
        <f t="shared" si="163"/>
        <v>1.3592036176271897E-7</v>
      </c>
      <c r="AO118" s="96">
        <f t="shared" si="164"/>
        <v>5.2</v>
      </c>
      <c r="AP118" s="96">
        <f t="shared" si="165"/>
        <v>5.8500000000000005</v>
      </c>
      <c r="AQ118" s="134">
        <f t="shared" si="166"/>
        <v>4.375</v>
      </c>
      <c r="AR118" s="148">
        <f t="shared" si="167"/>
        <v>47.023800000000001</v>
      </c>
      <c r="AS118" s="132">
        <f t="shared" si="168"/>
        <v>1.486628956779739E-2</v>
      </c>
      <c r="AT118" s="136">
        <f t="shared" si="169"/>
        <v>0.15978729768644362</v>
      </c>
      <c r="AU118" s="163">
        <f t="shared" si="181"/>
        <v>2.7241245707748222E-10</v>
      </c>
      <c r="AV118" s="153">
        <f t="shared" si="182"/>
        <v>8.4880634876476858E-6</v>
      </c>
      <c r="AW118" s="144">
        <f t="shared" si="183"/>
        <v>32.093593252914793</v>
      </c>
    </row>
    <row r="119" spans="18:49" x14ac:dyDescent="0.25">
      <c r="R119" s="86">
        <v>5</v>
      </c>
      <c r="S119" s="86">
        <f t="shared" si="190"/>
        <v>20</v>
      </c>
      <c r="T119" s="132">
        <f t="shared" si="184"/>
        <v>2552.0288461857813</v>
      </c>
      <c r="U119" s="153">
        <f t="shared" si="185"/>
        <v>3.6566448452453346E-9</v>
      </c>
      <c r="V119" s="153">
        <f t="shared" si="186"/>
        <v>6.5681391066181393E-6</v>
      </c>
      <c r="W119" s="88">
        <f t="shared" si="170"/>
        <v>1.358149665030406E-7</v>
      </c>
      <c r="X119" s="96">
        <f t="shared" si="171"/>
        <v>7.6</v>
      </c>
      <c r="Y119" s="96">
        <f t="shared" si="172"/>
        <v>8.5499999999999989</v>
      </c>
      <c r="Z119" s="134">
        <f t="shared" si="173"/>
        <v>0.62500000000000056</v>
      </c>
      <c r="AA119" s="148">
        <f t="shared" si="174"/>
        <v>47.023800000000001</v>
      </c>
      <c r="AB119" s="132">
        <f t="shared" si="175"/>
        <v>2.1221088516100114E-3</v>
      </c>
      <c r="AC119" s="136">
        <f t="shared" si="176"/>
        <v>0.15966339554614201</v>
      </c>
      <c r="AD119" s="163">
        <f t="shared" si="187"/>
        <v>2.2671422806555451E-7</v>
      </c>
      <c r="AE119" s="153">
        <f t="shared" si="177"/>
        <v>8.6648318849341872E-6</v>
      </c>
      <c r="AF119" s="144">
        <f t="shared" si="188"/>
        <v>26164.87325735074</v>
      </c>
      <c r="AI119" s="86">
        <v>6</v>
      </c>
      <c r="AJ119" s="86">
        <f t="shared" si="189"/>
        <v>22</v>
      </c>
      <c r="AK119" s="132">
        <f t="shared" si="178"/>
        <v>1971.5197573951082</v>
      </c>
      <c r="AL119" s="153">
        <f t="shared" si="179"/>
        <v>3.8633516095202028E-12</v>
      </c>
      <c r="AM119" s="153">
        <f t="shared" si="180"/>
        <v>6.5681391066181393E-6</v>
      </c>
      <c r="AN119" s="88">
        <f t="shared" si="163"/>
        <v>1.3592036176271897E-7</v>
      </c>
      <c r="AO119" s="96">
        <f t="shared" si="164"/>
        <v>5.2</v>
      </c>
      <c r="AP119" s="96">
        <f t="shared" si="165"/>
        <v>5.8500000000000005</v>
      </c>
      <c r="AQ119" s="134">
        <f t="shared" si="166"/>
        <v>4.375</v>
      </c>
      <c r="AR119" s="148">
        <f t="shared" si="167"/>
        <v>47.023800000000001</v>
      </c>
      <c r="AS119" s="132">
        <f t="shared" si="168"/>
        <v>1.486628956779739E-2</v>
      </c>
      <c r="AT119" s="136">
        <f t="shared" si="169"/>
        <v>0.15978729768644362</v>
      </c>
      <c r="AU119" s="163">
        <f t="shared" si="181"/>
        <v>2.7241245707748222E-10</v>
      </c>
      <c r="AV119" s="153">
        <f t="shared" si="182"/>
        <v>8.4880634876476858E-6</v>
      </c>
      <c r="AW119" s="144">
        <f t="shared" si="183"/>
        <v>32.093593252914793</v>
      </c>
    </row>
    <row r="120" spans="18:49" x14ac:dyDescent="0.25">
      <c r="R120" s="86">
        <v>6</v>
      </c>
      <c r="S120" s="86">
        <f t="shared" si="190"/>
        <v>22</v>
      </c>
      <c r="T120" s="132">
        <f t="shared" si="184"/>
        <v>2587.6164345704397</v>
      </c>
      <c r="U120" s="153">
        <f t="shared" si="185"/>
        <v>5.2704920789057437E-9</v>
      </c>
      <c r="V120" s="153">
        <f t="shared" si="186"/>
        <v>6.5681391066181393E-6</v>
      </c>
      <c r="W120" s="88">
        <f t="shared" si="170"/>
        <v>1.358149665030406E-7</v>
      </c>
      <c r="X120" s="96">
        <f t="shared" si="171"/>
        <v>7.6</v>
      </c>
      <c r="Y120" s="96">
        <f t="shared" si="172"/>
        <v>8.5499999999999989</v>
      </c>
      <c r="Z120" s="134">
        <f t="shared" si="173"/>
        <v>0.62500000000000056</v>
      </c>
      <c r="AA120" s="148">
        <f t="shared" si="174"/>
        <v>47.023800000000001</v>
      </c>
      <c r="AB120" s="132">
        <f t="shared" si="175"/>
        <v>2.1221088516100114E-3</v>
      </c>
      <c r="AC120" s="136">
        <f t="shared" si="176"/>
        <v>0.15966339554614201</v>
      </c>
      <c r="AD120" s="163">
        <f t="shared" si="187"/>
        <v>2.2671422806555451E-7</v>
      </c>
      <c r="AE120" s="153">
        <f t="shared" si="177"/>
        <v>8.6648318849341872E-6</v>
      </c>
      <c r="AF120" s="144">
        <f t="shared" si="188"/>
        <v>26164.87325735074</v>
      </c>
      <c r="AI120" s="86">
        <v>7</v>
      </c>
      <c r="AJ120" s="86">
        <f t="shared" si="189"/>
        <v>24</v>
      </c>
      <c r="AK120" s="132">
        <f t="shared" si="178"/>
        <v>1996.603275578771</v>
      </c>
      <c r="AL120" s="153">
        <f t="shared" si="179"/>
        <v>5.95250500998295E-12</v>
      </c>
      <c r="AM120" s="153">
        <f t="shared" si="180"/>
        <v>6.5681391066181393E-6</v>
      </c>
      <c r="AN120" s="88">
        <f t="shared" si="163"/>
        <v>1.3592036176271897E-7</v>
      </c>
      <c r="AO120" s="96">
        <f t="shared" si="164"/>
        <v>5.2</v>
      </c>
      <c r="AP120" s="96">
        <f t="shared" si="165"/>
        <v>5.8500000000000005</v>
      </c>
      <c r="AQ120" s="134">
        <f t="shared" si="166"/>
        <v>4.375</v>
      </c>
      <c r="AR120" s="148">
        <f t="shared" si="167"/>
        <v>47.023800000000001</v>
      </c>
      <c r="AS120" s="132">
        <f t="shared" si="168"/>
        <v>1.486628956779739E-2</v>
      </c>
      <c r="AT120" s="136">
        <f t="shared" si="169"/>
        <v>0.15978729768644362</v>
      </c>
      <c r="AU120" s="163">
        <f t="shared" si="181"/>
        <v>2.7241245707748222E-10</v>
      </c>
      <c r="AV120" s="153">
        <f t="shared" si="182"/>
        <v>8.4880634876476858E-6</v>
      </c>
      <c r="AW120" s="144">
        <f t="shared" si="183"/>
        <v>32.093593252914793</v>
      </c>
    </row>
    <row r="121" spans="18:49" x14ac:dyDescent="0.25">
      <c r="R121" s="86">
        <v>7</v>
      </c>
      <c r="S121" s="86">
        <f t="shared" si="190"/>
        <v>24</v>
      </c>
      <c r="T121" s="132">
        <f t="shared" si="184"/>
        <v>2620.5385108749911</v>
      </c>
      <c r="U121" s="153">
        <f t="shared" si="185"/>
        <v>7.3263547133646152E-9</v>
      </c>
      <c r="V121" s="153">
        <f t="shared" si="186"/>
        <v>6.5681391066181393E-6</v>
      </c>
      <c r="W121" s="88">
        <f t="shared" si="170"/>
        <v>1.358149665030406E-7</v>
      </c>
      <c r="X121" s="96">
        <f t="shared" si="171"/>
        <v>7.6</v>
      </c>
      <c r="Y121" s="96">
        <f t="shared" si="172"/>
        <v>8.5499999999999989</v>
      </c>
      <c r="Z121" s="134">
        <f t="shared" si="173"/>
        <v>0.62500000000000056</v>
      </c>
      <c r="AA121" s="148">
        <f t="shared" si="174"/>
        <v>47.023800000000001</v>
      </c>
      <c r="AB121" s="132">
        <f t="shared" si="175"/>
        <v>2.1221088516100114E-3</v>
      </c>
      <c r="AC121" s="136">
        <f t="shared" si="176"/>
        <v>0.15966339554614201</v>
      </c>
      <c r="AD121" s="163">
        <f t="shared" si="187"/>
        <v>2.2671422806555451E-7</v>
      </c>
      <c r="AE121" s="153">
        <f t="shared" si="177"/>
        <v>8.6648318849341872E-6</v>
      </c>
      <c r="AF121" s="144">
        <f t="shared" si="188"/>
        <v>26164.87325735074</v>
      </c>
      <c r="AI121" s="86">
        <v>8</v>
      </c>
      <c r="AJ121" s="86">
        <f t="shared" si="189"/>
        <v>26</v>
      </c>
      <c r="AK121" s="132">
        <f t="shared" si="178"/>
        <v>2019.959600598906</v>
      </c>
      <c r="AL121" s="153">
        <f t="shared" si="179"/>
        <v>8.8169069055883996E-12</v>
      </c>
      <c r="AM121" s="153">
        <f t="shared" si="180"/>
        <v>6.5681391066181393E-6</v>
      </c>
      <c r="AN121" s="88">
        <f t="shared" si="163"/>
        <v>1.3592036176271897E-7</v>
      </c>
      <c r="AO121" s="96">
        <f t="shared" si="164"/>
        <v>5.2</v>
      </c>
      <c r="AP121" s="96">
        <f t="shared" si="165"/>
        <v>5.8500000000000005</v>
      </c>
      <c r="AQ121" s="134">
        <f t="shared" si="166"/>
        <v>4.375</v>
      </c>
      <c r="AR121" s="148">
        <f t="shared" si="167"/>
        <v>47.023800000000001</v>
      </c>
      <c r="AS121" s="132">
        <f t="shared" si="168"/>
        <v>1.486628956779739E-2</v>
      </c>
      <c r="AT121" s="136">
        <f t="shared" si="169"/>
        <v>0.15978729768644362</v>
      </c>
      <c r="AU121" s="163">
        <f t="shared" si="181"/>
        <v>2.7241245707748222E-10</v>
      </c>
      <c r="AV121" s="153">
        <f t="shared" si="182"/>
        <v>8.4880634876476858E-6</v>
      </c>
      <c r="AW121" s="144">
        <f t="shared" si="183"/>
        <v>32.093593252914793</v>
      </c>
    </row>
    <row r="122" spans="18:49" x14ac:dyDescent="0.25">
      <c r="R122" s="86">
        <v>8</v>
      </c>
      <c r="S122" s="86">
        <f t="shared" si="190"/>
        <v>26</v>
      </c>
      <c r="T122" s="132">
        <f t="shared" si="184"/>
        <v>2651.1936489970271</v>
      </c>
      <c r="U122" s="153">
        <f t="shared" si="185"/>
        <v>9.8828366626313357E-9</v>
      </c>
      <c r="V122" s="153">
        <f t="shared" si="186"/>
        <v>6.5681391066181393E-6</v>
      </c>
      <c r="W122" s="88">
        <f t="shared" si="170"/>
        <v>1.358149665030406E-7</v>
      </c>
      <c r="X122" s="96">
        <f t="shared" si="171"/>
        <v>7.6</v>
      </c>
      <c r="Y122" s="96">
        <f t="shared" si="172"/>
        <v>8.5499999999999989</v>
      </c>
      <c r="Z122" s="134">
        <f t="shared" si="173"/>
        <v>0.62500000000000056</v>
      </c>
      <c r="AA122" s="148">
        <f t="shared" si="174"/>
        <v>47.023800000000001</v>
      </c>
      <c r="AB122" s="132">
        <f t="shared" si="175"/>
        <v>2.1221088516100114E-3</v>
      </c>
      <c r="AC122" s="136">
        <f t="shared" si="176"/>
        <v>0.15966339554614201</v>
      </c>
      <c r="AD122" s="163">
        <f t="shared" si="187"/>
        <v>2.2671422806555451E-7</v>
      </c>
      <c r="AE122" s="153">
        <f t="shared" si="177"/>
        <v>8.6648318849341872E-6</v>
      </c>
      <c r="AF122" s="144">
        <f t="shared" si="188"/>
        <v>26164.87325735074</v>
      </c>
      <c r="AI122" s="86">
        <v>9</v>
      </c>
      <c r="AJ122" s="86">
        <f t="shared" si="189"/>
        <v>28</v>
      </c>
      <c r="AK122" s="132">
        <f t="shared" si="178"/>
        <v>2041.8276967364923</v>
      </c>
      <c r="AL122" s="153">
        <f t="shared" si="179"/>
        <v>1.2633483882375187E-11</v>
      </c>
      <c r="AM122" s="153">
        <f t="shared" si="180"/>
        <v>6.5681391066181393E-6</v>
      </c>
      <c r="AN122" s="88">
        <f t="shared" si="163"/>
        <v>1.3592036176271897E-7</v>
      </c>
      <c r="AO122" s="96">
        <f t="shared" si="164"/>
        <v>5.2</v>
      </c>
      <c r="AP122" s="96">
        <f t="shared" si="165"/>
        <v>5.8500000000000005</v>
      </c>
      <c r="AQ122" s="134">
        <f t="shared" si="166"/>
        <v>4.375</v>
      </c>
      <c r="AR122" s="148">
        <f t="shared" si="167"/>
        <v>47.023800000000001</v>
      </c>
      <c r="AS122" s="132">
        <f t="shared" si="168"/>
        <v>1.486628956779739E-2</v>
      </c>
      <c r="AT122" s="136">
        <f t="shared" si="169"/>
        <v>0.15978729768644362</v>
      </c>
      <c r="AU122" s="163">
        <f t="shared" si="181"/>
        <v>2.7241245707748222E-10</v>
      </c>
      <c r="AV122" s="153">
        <f t="shared" si="182"/>
        <v>8.4880634876476858E-6</v>
      </c>
      <c r="AW122" s="144">
        <f t="shared" si="183"/>
        <v>32.093593252914793</v>
      </c>
    </row>
    <row r="123" spans="18:49" x14ac:dyDescent="0.25">
      <c r="R123" s="86">
        <v>9</v>
      </c>
      <c r="S123" s="86">
        <f t="shared" si="190"/>
        <v>28</v>
      </c>
      <c r="T123" s="132">
        <f t="shared" si="184"/>
        <v>2679.8954891617686</v>
      </c>
      <c r="U123" s="153">
        <f t="shared" si="185"/>
        <v>1.2998598491006537E-8</v>
      </c>
      <c r="V123" s="153">
        <f t="shared" si="186"/>
        <v>6.5681391066181393E-6</v>
      </c>
      <c r="W123" s="88">
        <f t="shared" si="170"/>
        <v>1.358149665030406E-7</v>
      </c>
      <c r="X123" s="96">
        <f t="shared" si="171"/>
        <v>7.6</v>
      </c>
      <c r="Y123" s="96">
        <f t="shared" si="172"/>
        <v>8.5499999999999989</v>
      </c>
      <c r="Z123" s="134">
        <f t="shared" si="173"/>
        <v>0.62500000000000056</v>
      </c>
      <c r="AA123" s="148">
        <f t="shared" si="174"/>
        <v>47.023800000000001</v>
      </c>
      <c r="AB123" s="132">
        <f t="shared" si="175"/>
        <v>2.1221088516100114E-3</v>
      </c>
      <c r="AC123" s="136">
        <f t="shared" si="176"/>
        <v>0.15966339554614201</v>
      </c>
      <c r="AD123" s="163">
        <f t="shared" si="187"/>
        <v>2.2671422806555451E-7</v>
      </c>
      <c r="AE123" s="153">
        <f t="shared" si="177"/>
        <v>8.6648318849341872E-6</v>
      </c>
      <c r="AF123" s="144">
        <f t="shared" si="188"/>
        <v>26164.87325735074</v>
      </c>
      <c r="AI123" s="86">
        <v>10</v>
      </c>
      <c r="AJ123" s="86">
        <f t="shared" si="189"/>
        <v>30</v>
      </c>
      <c r="AK123" s="132">
        <f t="shared" si="178"/>
        <v>2062.3991514863196</v>
      </c>
      <c r="AL123" s="153">
        <f t="shared" si="179"/>
        <v>1.7597222309557434E-11</v>
      </c>
      <c r="AM123" s="153">
        <f t="shared" si="180"/>
        <v>6.5681391066181393E-6</v>
      </c>
      <c r="AN123" s="88">
        <f t="shared" si="163"/>
        <v>1.3592036176271897E-7</v>
      </c>
      <c r="AO123" s="96">
        <f t="shared" si="164"/>
        <v>5.2</v>
      </c>
      <c r="AP123" s="96">
        <f t="shared" si="165"/>
        <v>5.8500000000000005</v>
      </c>
      <c r="AQ123" s="134">
        <f t="shared" si="166"/>
        <v>4.375</v>
      </c>
      <c r="AR123" s="148">
        <f t="shared" si="167"/>
        <v>47.023800000000001</v>
      </c>
      <c r="AS123" s="132">
        <f t="shared" si="168"/>
        <v>1.486628956779739E-2</v>
      </c>
      <c r="AT123" s="136">
        <f t="shared" si="169"/>
        <v>0.15978729768644362</v>
      </c>
      <c r="AU123" s="163">
        <f t="shared" si="181"/>
        <v>2.7241245707748222E-10</v>
      </c>
      <c r="AV123" s="153">
        <f t="shared" si="182"/>
        <v>8.4880634876476858E-6</v>
      </c>
      <c r="AW123" s="144">
        <f t="shared" si="183"/>
        <v>32.093593252914793</v>
      </c>
    </row>
    <row r="124" spans="18:49" x14ac:dyDescent="0.25">
      <c r="R124" s="86">
        <v>10</v>
      </c>
      <c r="S124" s="86">
        <f t="shared" si="190"/>
        <v>30</v>
      </c>
      <c r="T124" s="132">
        <f t="shared" si="184"/>
        <v>2706.8954896405912</v>
      </c>
      <c r="U124" s="153">
        <f t="shared" si="185"/>
        <v>1.6732111670163186E-8</v>
      </c>
      <c r="V124" s="153">
        <f t="shared" si="186"/>
        <v>6.5681391066181393E-6</v>
      </c>
      <c r="W124" s="88">
        <f t="shared" si="170"/>
        <v>1.358149665030406E-7</v>
      </c>
      <c r="X124" s="96">
        <f t="shared" si="171"/>
        <v>7.6</v>
      </c>
      <c r="Y124" s="96">
        <f t="shared" si="172"/>
        <v>8.5499999999999989</v>
      </c>
      <c r="Z124" s="134">
        <f t="shared" si="173"/>
        <v>0.62500000000000056</v>
      </c>
      <c r="AA124" s="148">
        <f t="shared" si="174"/>
        <v>47.023800000000001</v>
      </c>
      <c r="AB124" s="132">
        <f t="shared" si="175"/>
        <v>2.1221088516100114E-3</v>
      </c>
      <c r="AC124" s="136">
        <f t="shared" si="176"/>
        <v>0.15966339554614201</v>
      </c>
      <c r="AD124" s="163">
        <f t="shared" si="187"/>
        <v>2.2671422806555451E-7</v>
      </c>
      <c r="AE124" s="153">
        <f t="shared" si="177"/>
        <v>8.6648318849341872E-6</v>
      </c>
      <c r="AF124" s="144">
        <f t="shared" si="188"/>
        <v>26164.87325735074</v>
      </c>
      <c r="AI124" s="86">
        <v>11</v>
      </c>
      <c r="AJ124" s="86">
        <f t="shared" si="189"/>
        <v>32</v>
      </c>
      <c r="AK124" s="132">
        <f t="shared" si="178"/>
        <v>2081.8300398477581</v>
      </c>
      <c r="AL124" s="153">
        <f t="shared" si="179"/>
        <v>2.3920674626373583E-11</v>
      </c>
      <c r="AM124" s="153">
        <f t="shared" si="180"/>
        <v>6.5681391066181393E-6</v>
      </c>
      <c r="AN124" s="88">
        <f t="shared" si="163"/>
        <v>1.3592036176271897E-7</v>
      </c>
      <c r="AO124" s="96">
        <f t="shared" si="164"/>
        <v>5.2</v>
      </c>
      <c r="AP124" s="96">
        <f t="shared" si="165"/>
        <v>5.8500000000000005</v>
      </c>
      <c r="AQ124" s="134">
        <f t="shared" si="166"/>
        <v>4.375</v>
      </c>
      <c r="AR124" s="148">
        <f t="shared" si="167"/>
        <v>47.023800000000001</v>
      </c>
      <c r="AS124" s="132">
        <f t="shared" si="168"/>
        <v>1.486628956779739E-2</v>
      </c>
      <c r="AT124" s="136">
        <f t="shared" si="169"/>
        <v>0.15978729768644362</v>
      </c>
      <c r="AU124" s="163">
        <f t="shared" si="181"/>
        <v>2.7241245707748222E-10</v>
      </c>
      <c r="AV124" s="153">
        <f t="shared" si="182"/>
        <v>8.4880634876476858E-6</v>
      </c>
      <c r="AW124" s="144">
        <f t="shared" si="183"/>
        <v>32.093593252914793</v>
      </c>
    </row>
    <row r="125" spans="18:49" x14ac:dyDescent="0.25">
      <c r="R125" s="86">
        <v>11</v>
      </c>
      <c r="S125" s="86">
        <f t="shared" si="190"/>
        <v>32</v>
      </c>
      <c r="T125" s="132">
        <f t="shared" si="184"/>
        <v>2732.3984986131186</v>
      </c>
      <c r="U125" s="153">
        <f t="shared" si="185"/>
        <v>2.114146667153727E-8</v>
      </c>
      <c r="V125" s="153">
        <f t="shared" si="186"/>
        <v>6.5681391066181393E-6</v>
      </c>
      <c r="W125" s="88">
        <f t="shared" si="170"/>
        <v>1.358149665030406E-7</v>
      </c>
      <c r="X125" s="96">
        <f t="shared" si="171"/>
        <v>7.6</v>
      </c>
      <c r="Y125" s="96">
        <f t="shared" si="172"/>
        <v>8.5499999999999989</v>
      </c>
      <c r="Z125" s="134">
        <f t="shared" si="173"/>
        <v>0.62500000000000056</v>
      </c>
      <c r="AA125" s="148">
        <f t="shared" si="174"/>
        <v>47.023800000000001</v>
      </c>
      <c r="AB125" s="132">
        <f t="shared" si="175"/>
        <v>2.1221088516100114E-3</v>
      </c>
      <c r="AC125" s="136">
        <f t="shared" si="176"/>
        <v>0.15966339554614201</v>
      </c>
      <c r="AD125" s="163">
        <f t="shared" si="187"/>
        <v>2.2671422806555451E-7</v>
      </c>
      <c r="AE125" s="153">
        <f t="shared" si="177"/>
        <v>8.6648318849341872E-6</v>
      </c>
      <c r="AF125" s="144">
        <f t="shared" si="188"/>
        <v>26164.87325735074</v>
      </c>
      <c r="AI125" s="86">
        <v>12</v>
      </c>
      <c r="AJ125" s="86">
        <f t="shared" si="189"/>
        <v>34</v>
      </c>
      <c r="AK125" s="132">
        <f t="shared" si="178"/>
        <v>2100.2492737620992</v>
      </c>
      <c r="AL125" s="153">
        <f t="shared" si="179"/>
        <v>3.183342113251737E-11</v>
      </c>
      <c r="AM125" s="153">
        <f t="shared" si="180"/>
        <v>6.5681391066181393E-6</v>
      </c>
      <c r="AN125" s="88">
        <f t="shared" si="163"/>
        <v>1.3592036176271897E-7</v>
      </c>
      <c r="AO125" s="96">
        <f t="shared" si="164"/>
        <v>5.2</v>
      </c>
      <c r="AP125" s="96">
        <f t="shared" si="165"/>
        <v>5.8500000000000005</v>
      </c>
      <c r="AQ125" s="134">
        <f t="shared" si="166"/>
        <v>4.375</v>
      </c>
      <c r="AR125" s="148">
        <f t="shared" si="167"/>
        <v>47.023800000000001</v>
      </c>
      <c r="AS125" s="132">
        <f t="shared" si="168"/>
        <v>1.486628956779739E-2</v>
      </c>
      <c r="AT125" s="136">
        <f t="shared" si="169"/>
        <v>0.15978729768644362</v>
      </c>
      <c r="AU125" s="163">
        <f t="shared" si="181"/>
        <v>2.7241245707748222E-10</v>
      </c>
      <c r="AV125" s="153">
        <f t="shared" si="182"/>
        <v>8.4880634876476858E-6</v>
      </c>
      <c r="AW125" s="144">
        <f t="shared" si="183"/>
        <v>32.093593252914793</v>
      </c>
    </row>
    <row r="126" spans="18:49" x14ac:dyDescent="0.25">
      <c r="R126" s="86">
        <v>12</v>
      </c>
      <c r="S126" s="86">
        <f t="shared" si="190"/>
        <v>34</v>
      </c>
      <c r="T126" s="132">
        <f t="shared" si="184"/>
        <v>2756.5737127899829</v>
      </c>
      <c r="U126" s="153">
        <f t="shared" si="185"/>
        <v>2.6284223316614011E-8</v>
      </c>
      <c r="V126" s="153">
        <f t="shared" si="186"/>
        <v>6.5681391066181393E-6</v>
      </c>
      <c r="W126" s="88">
        <f t="shared" si="170"/>
        <v>1.358149665030406E-7</v>
      </c>
      <c r="X126" s="96">
        <f t="shared" si="171"/>
        <v>7.6</v>
      </c>
      <c r="Y126" s="96">
        <f t="shared" si="172"/>
        <v>8.5499999999999989</v>
      </c>
      <c r="Z126" s="134">
        <f t="shared" si="173"/>
        <v>0.62500000000000056</v>
      </c>
      <c r="AA126" s="148">
        <f t="shared" si="174"/>
        <v>47.023800000000001</v>
      </c>
      <c r="AB126" s="132">
        <f t="shared" si="175"/>
        <v>2.1221088516100114E-3</v>
      </c>
      <c r="AC126" s="136">
        <f t="shared" si="176"/>
        <v>0.15966339554614201</v>
      </c>
      <c r="AD126" s="163">
        <f t="shared" si="187"/>
        <v>2.2671422806555451E-7</v>
      </c>
      <c r="AE126" s="153">
        <f t="shared" si="177"/>
        <v>8.6648318849341872E-6</v>
      </c>
      <c r="AF126" s="144">
        <f t="shared" si="188"/>
        <v>26164.87325735074</v>
      </c>
      <c r="AI126" s="86">
        <v>13</v>
      </c>
      <c r="AJ126" s="86">
        <f t="shared" si="189"/>
        <v>36</v>
      </c>
      <c r="AK126" s="132">
        <f t="shared" si="178"/>
        <v>2117.7646206246536</v>
      </c>
      <c r="AL126" s="153">
        <f t="shared" si="179"/>
        <v>4.1581503411658576E-11</v>
      </c>
      <c r="AM126" s="153">
        <f t="shared" si="180"/>
        <v>6.5681391066181393E-6</v>
      </c>
      <c r="AN126" s="88">
        <f t="shared" si="163"/>
        <v>1.3592036176271897E-7</v>
      </c>
      <c r="AO126" s="96">
        <f t="shared" si="164"/>
        <v>5.2</v>
      </c>
      <c r="AP126" s="96">
        <f t="shared" si="165"/>
        <v>5.8500000000000005</v>
      </c>
      <c r="AQ126" s="134">
        <f t="shared" si="166"/>
        <v>4.375</v>
      </c>
      <c r="AR126" s="148">
        <f t="shared" si="167"/>
        <v>47.023800000000001</v>
      </c>
      <c r="AS126" s="132">
        <f t="shared" si="168"/>
        <v>1.486628956779739E-2</v>
      </c>
      <c r="AT126" s="136">
        <f t="shared" si="169"/>
        <v>0.15978729768644362</v>
      </c>
      <c r="AU126" s="163">
        <f t="shared" si="181"/>
        <v>2.7241245707748222E-10</v>
      </c>
      <c r="AV126" s="153">
        <f t="shared" si="182"/>
        <v>8.4880634876476858E-6</v>
      </c>
      <c r="AW126" s="144">
        <f t="shared" si="183"/>
        <v>32.093593252914793</v>
      </c>
    </row>
    <row r="127" spans="18:49" x14ac:dyDescent="0.25">
      <c r="R127" s="86">
        <v>13</v>
      </c>
      <c r="S127" s="86">
        <f t="shared" si="190"/>
        <v>36</v>
      </c>
      <c r="T127" s="132">
        <f t="shared" si="184"/>
        <v>2779.5625767000411</v>
      </c>
      <c r="U127" s="153">
        <f t="shared" si="185"/>
        <v>3.2217294513043314E-8</v>
      </c>
      <c r="V127" s="153">
        <f t="shared" si="186"/>
        <v>6.5681391066181393E-6</v>
      </c>
      <c r="W127" s="88">
        <f t="shared" si="170"/>
        <v>1.358149665030406E-7</v>
      </c>
      <c r="X127" s="96">
        <f t="shared" si="171"/>
        <v>7.6</v>
      </c>
      <c r="Y127" s="96">
        <f t="shared" si="172"/>
        <v>8.5499999999999989</v>
      </c>
      <c r="Z127" s="134">
        <f t="shared" si="173"/>
        <v>0.62500000000000056</v>
      </c>
      <c r="AA127" s="148">
        <f t="shared" si="174"/>
        <v>47.023800000000001</v>
      </c>
      <c r="AB127" s="132">
        <f t="shared" si="175"/>
        <v>2.1221088516100114E-3</v>
      </c>
      <c r="AC127" s="136">
        <f t="shared" si="176"/>
        <v>0.15966339554614201</v>
      </c>
      <c r="AD127" s="163">
        <f t="shared" si="187"/>
        <v>2.2671422806555451E-7</v>
      </c>
      <c r="AE127" s="153">
        <f t="shared" si="177"/>
        <v>8.6648318849341872E-6</v>
      </c>
      <c r="AF127" s="144">
        <f t="shared" si="188"/>
        <v>26164.87325735074</v>
      </c>
      <c r="AI127" s="86">
        <v>14</v>
      </c>
      <c r="AJ127" s="86">
        <f t="shared" si="189"/>
        <v>38</v>
      </c>
      <c r="AK127" s="132">
        <f t="shared" si="178"/>
        <v>2134.4671331736822</v>
      </c>
      <c r="AL127" s="153">
        <f t="shared" si="179"/>
        <v>5.3426841594946717E-11</v>
      </c>
      <c r="AM127" s="153">
        <f t="shared" si="180"/>
        <v>6.5681391066181393E-6</v>
      </c>
      <c r="AN127" s="88">
        <f t="shared" si="163"/>
        <v>1.3592036176271897E-7</v>
      </c>
      <c r="AO127" s="96">
        <f t="shared" si="164"/>
        <v>5.2</v>
      </c>
      <c r="AP127" s="96">
        <f t="shared" si="165"/>
        <v>5.8500000000000005</v>
      </c>
      <c r="AQ127" s="134">
        <f t="shared" si="166"/>
        <v>4.375</v>
      </c>
      <c r="AR127" s="148">
        <f t="shared" si="167"/>
        <v>47.023800000000001</v>
      </c>
      <c r="AS127" s="132">
        <f t="shared" si="168"/>
        <v>1.486628956779739E-2</v>
      </c>
      <c r="AT127" s="136">
        <f t="shared" si="169"/>
        <v>0.15978729768644362</v>
      </c>
      <c r="AU127" s="163">
        <f t="shared" si="181"/>
        <v>2.7241245707748222E-10</v>
      </c>
      <c r="AV127" s="153">
        <f t="shared" si="182"/>
        <v>8.4880634876476858E-6</v>
      </c>
      <c r="AW127" s="144">
        <f t="shared" si="183"/>
        <v>32.093593252914793</v>
      </c>
    </row>
    <row r="128" spans="18:49" x14ac:dyDescent="0.25">
      <c r="R128" s="86">
        <v>14</v>
      </c>
      <c r="S128" s="86">
        <f t="shared" si="190"/>
        <v>38</v>
      </c>
      <c r="T128" s="132">
        <f t="shared" si="184"/>
        <v>2801.4845969123012</v>
      </c>
      <c r="U128" s="153">
        <f t="shared" si="185"/>
        <v>3.8996856519118543E-8</v>
      </c>
      <c r="V128" s="153">
        <f t="shared" si="186"/>
        <v>6.5681391066181393E-6</v>
      </c>
      <c r="W128" s="88">
        <f t="shared" si="170"/>
        <v>1.358149665030406E-7</v>
      </c>
      <c r="X128" s="96">
        <f t="shared" si="171"/>
        <v>7.6</v>
      </c>
      <c r="Y128" s="96">
        <f t="shared" si="172"/>
        <v>8.5499999999999989</v>
      </c>
      <c r="Z128" s="134">
        <f t="shared" si="173"/>
        <v>0.62500000000000056</v>
      </c>
      <c r="AA128" s="148">
        <f t="shared" si="174"/>
        <v>47.023800000000001</v>
      </c>
      <c r="AB128" s="132">
        <f t="shared" si="175"/>
        <v>2.1221088516100114E-3</v>
      </c>
      <c r="AC128" s="136">
        <f t="shared" si="176"/>
        <v>0.15966339554614201</v>
      </c>
      <c r="AD128" s="163">
        <f t="shared" si="187"/>
        <v>2.2671422806555451E-7</v>
      </c>
      <c r="AE128" s="153">
        <f t="shared" si="177"/>
        <v>8.6648318849341872E-6</v>
      </c>
      <c r="AF128" s="144">
        <f t="shared" si="188"/>
        <v>26164.87325735074</v>
      </c>
      <c r="AI128" s="86">
        <v>15</v>
      </c>
      <c r="AJ128" s="86">
        <f t="shared" si="189"/>
        <v>40</v>
      </c>
      <c r="AK128" s="132">
        <f t="shared" si="178"/>
        <v>2150.4344705014764</v>
      </c>
      <c r="AL128" s="153">
        <f t="shared" si="179"/>
        <v>6.7646644690279851E-11</v>
      </c>
      <c r="AM128" s="153">
        <f t="shared" si="180"/>
        <v>6.5681391066181393E-6</v>
      </c>
      <c r="AN128" s="88">
        <f t="shared" si="163"/>
        <v>1.3592036176271897E-7</v>
      </c>
      <c r="AO128" s="96">
        <f t="shared" si="164"/>
        <v>5.2</v>
      </c>
      <c r="AP128" s="96">
        <f t="shared" si="165"/>
        <v>5.8500000000000005</v>
      </c>
      <c r="AQ128" s="134">
        <f t="shared" si="166"/>
        <v>4.375</v>
      </c>
      <c r="AR128" s="148">
        <f t="shared" si="167"/>
        <v>47.023800000000001</v>
      </c>
      <c r="AS128" s="132">
        <f t="shared" si="168"/>
        <v>1.486628956779739E-2</v>
      </c>
      <c r="AT128" s="136">
        <f t="shared" si="169"/>
        <v>0.15978729768644362</v>
      </c>
      <c r="AU128" s="163">
        <f t="shared" si="181"/>
        <v>2.7241245707748222E-10</v>
      </c>
      <c r="AV128" s="153">
        <f t="shared" si="182"/>
        <v>8.4880634876476858E-6</v>
      </c>
      <c r="AW128" s="144">
        <f t="shared" si="183"/>
        <v>32.093593252914793</v>
      </c>
    </row>
    <row r="129" spans="18:49" ht="15.75" thickBot="1" x14ac:dyDescent="0.3">
      <c r="R129" s="86">
        <v>15</v>
      </c>
      <c r="S129" s="86">
        <f t="shared" si="190"/>
        <v>40</v>
      </c>
      <c r="T129" s="132">
        <f t="shared" si="184"/>
        <v>2822.4417008574937</v>
      </c>
      <c r="U129" s="153">
        <f t="shared" si="185"/>
        <v>4.6678280393297686E-8</v>
      </c>
      <c r="V129" s="153">
        <f t="shared" si="186"/>
        <v>6.5681391066181393E-6</v>
      </c>
      <c r="W129" s="88">
        <f t="shared" si="170"/>
        <v>1.358149665030406E-7</v>
      </c>
      <c r="X129" s="96">
        <f t="shared" si="171"/>
        <v>7.6</v>
      </c>
      <c r="Y129" s="96">
        <f t="shared" si="172"/>
        <v>8.5499999999999989</v>
      </c>
      <c r="Z129" s="134">
        <f t="shared" si="173"/>
        <v>0.62500000000000056</v>
      </c>
      <c r="AA129" s="148">
        <f t="shared" si="174"/>
        <v>47.023800000000001</v>
      </c>
      <c r="AB129" s="132">
        <f t="shared" si="175"/>
        <v>2.1221088516100114E-3</v>
      </c>
      <c r="AC129" s="136">
        <f t="shared" si="176"/>
        <v>0.15966339554614201</v>
      </c>
      <c r="AD129" s="163">
        <f t="shared" si="187"/>
        <v>2.2671422806555451E-7</v>
      </c>
      <c r="AE129" s="153">
        <f t="shared" si="177"/>
        <v>8.6648318849341872E-6</v>
      </c>
      <c r="AF129" s="144">
        <f t="shared" si="188"/>
        <v>26164.87325735074</v>
      </c>
      <c r="AI129" s="108"/>
      <c r="AJ129" s="108"/>
      <c r="AK129" s="133"/>
      <c r="AL129" s="162"/>
      <c r="AM129" s="108"/>
      <c r="AN129" s="117"/>
      <c r="AO129" s="99"/>
      <c r="AP129" s="99"/>
      <c r="AQ129" s="146"/>
      <c r="AR129" s="149"/>
      <c r="AS129" s="133"/>
      <c r="AT129" s="125"/>
      <c r="AU129" s="125"/>
      <c r="AV129" s="162"/>
      <c r="AW129" s="144"/>
    </row>
    <row r="130" spans="18:49" ht="15.75" thickBot="1" x14ac:dyDescent="0.3">
      <c r="R130" s="108"/>
      <c r="S130" s="108"/>
      <c r="T130" s="132"/>
      <c r="U130" s="153"/>
      <c r="V130" s="86"/>
      <c r="W130" s="88"/>
      <c r="X130" s="96"/>
      <c r="Y130" s="96"/>
      <c r="Z130" s="134"/>
      <c r="AA130" s="149"/>
      <c r="AB130" s="133"/>
      <c r="AC130" s="125"/>
      <c r="AD130" s="125"/>
      <c r="AE130" s="162"/>
      <c r="AF130" s="144"/>
    </row>
    <row r="131" spans="18:49" ht="15.75" thickBot="1" x14ac:dyDescent="0.3"/>
    <row r="132" spans="18:49" ht="15" customHeight="1" x14ac:dyDescent="0.25">
      <c r="AI132" s="293" t="s">
        <v>29</v>
      </c>
      <c r="AJ132" s="295"/>
      <c r="AK132" s="384">
        <v>0.6</v>
      </c>
      <c r="AL132" s="385"/>
      <c r="AM132" s="385"/>
      <c r="AN132" s="385"/>
      <c r="AO132" s="385"/>
      <c r="AP132" s="385"/>
      <c r="AQ132" s="385"/>
      <c r="AR132" s="385"/>
      <c r="AS132" s="385"/>
      <c r="AT132" s="385"/>
      <c r="AU132" s="385"/>
      <c r="AV132" s="386"/>
    </row>
    <row r="133" spans="18:49" ht="15.75" customHeight="1" thickBot="1" x14ac:dyDescent="0.3">
      <c r="AI133" s="296"/>
      <c r="AJ133" s="298"/>
      <c r="AK133" s="387"/>
      <c r="AL133" s="388"/>
      <c r="AM133" s="388"/>
      <c r="AN133" s="388"/>
      <c r="AO133" s="388"/>
      <c r="AP133" s="388"/>
      <c r="AQ133" s="388"/>
      <c r="AR133" s="388"/>
      <c r="AS133" s="388"/>
      <c r="AT133" s="388"/>
      <c r="AU133" s="388"/>
      <c r="AV133" s="389"/>
    </row>
    <row r="134" spans="18:49" ht="18.75" thickBot="1" x14ac:dyDescent="0.3">
      <c r="AI134" s="2" t="s">
        <v>73</v>
      </c>
      <c r="AJ134" s="111" t="s">
        <v>69</v>
      </c>
      <c r="AK134" s="109" t="s">
        <v>177</v>
      </c>
      <c r="AL134" s="113" t="s">
        <v>178</v>
      </c>
      <c r="AM134" s="109" t="s">
        <v>173</v>
      </c>
      <c r="AN134" s="2" t="s">
        <v>151</v>
      </c>
      <c r="AO134" s="109" t="s">
        <v>155</v>
      </c>
      <c r="AP134" s="2" t="s">
        <v>156</v>
      </c>
      <c r="AQ134" s="114" t="s">
        <v>157</v>
      </c>
      <c r="AR134" s="113" t="s">
        <v>158</v>
      </c>
      <c r="AS134" s="2" t="s">
        <v>180</v>
      </c>
      <c r="AT134" s="2" t="s">
        <v>181</v>
      </c>
      <c r="AU134" s="2" t="s">
        <v>185</v>
      </c>
      <c r="AV134" s="2" t="s">
        <v>182</v>
      </c>
      <c r="AW134" s="127" t="s">
        <v>183</v>
      </c>
    </row>
    <row r="135" spans="18:49" x14ac:dyDescent="0.25">
      <c r="AI135" s="86">
        <v>0</v>
      </c>
      <c r="AJ135" s="88">
        <v>10</v>
      </c>
      <c r="AK135" s="216">
        <v>1655.8692558793909</v>
      </c>
      <c r="AL135" s="153">
        <f>((4.7*10^13*AT135*(AS135^0.5)*EXP($C$11/AK135))/($C$14*6))*$C$5*10^-6</f>
        <v>6.1115523026862687E-15</v>
      </c>
      <c r="AM135" s="153">
        <f>(((10^5*($C$4*$C$6)*10^-6)/($C$8*$C$7)))</f>
        <v>6.5681391066181393E-6</v>
      </c>
      <c r="AN135" s="86">
        <f t="shared" ref="AN135:AN150" si="191">AM135/($AK$132*$G$11*((AQ135/2)+3.76))</f>
        <v>1.3989646659463557E-7</v>
      </c>
      <c r="AO135" s="86">
        <f t="shared" ref="AO135:AO150" si="192">$AK$132*$G$12</f>
        <v>4.8</v>
      </c>
      <c r="AP135" s="86">
        <f t="shared" ref="AP135:AP150" si="193">$AK$132*$G$13</f>
        <v>5.3999999999999995</v>
      </c>
      <c r="AQ135" s="142">
        <f t="shared" ref="AQ135:AQ150" si="194">(($G$15/2)*(1-$AK$132))</f>
        <v>5</v>
      </c>
      <c r="AR135" s="147">
        <f t="shared" ref="AR135:AR150" si="195">$G$14</f>
        <v>47.023800000000001</v>
      </c>
      <c r="AS135" s="129">
        <f t="shared" ref="AS135:AS150" si="196">((AQ135*AN135)/($C$5*10^-6))</f>
        <v>1.7487058324329448E-2</v>
      </c>
      <c r="AT135" s="137">
        <f t="shared" ref="AT135:AT150" si="197">((AR135*AN135)/($C$5*10^-6))</f>
        <v>0.16446158664632063</v>
      </c>
      <c r="AU135" s="163">
        <f>SUM($AL$135:$AL$150)</f>
        <v>4.1576261452221295E-11</v>
      </c>
      <c r="AV135" s="161">
        <f>AN135*(AO135+AP135+AQ135+AR135)</f>
        <v>8.7048897580912845E-6</v>
      </c>
      <c r="AW135" s="144">
        <f>(AU135/AV135)*10^6</f>
        <v>4.7761962078354561</v>
      </c>
    </row>
    <row r="136" spans="18:49" x14ac:dyDescent="0.25">
      <c r="AI136" s="86">
        <v>1</v>
      </c>
      <c r="AJ136" s="88">
        <f t="shared" ref="AJ136:AJ150" si="198">AJ135+2</f>
        <v>12</v>
      </c>
      <c r="AK136" s="132">
        <f t="shared" ref="AK136:AK150" si="199">(AK135*(($S6/$S5)^(($C$13-1)/$C$13)))</f>
        <v>1700.3213582367048</v>
      </c>
      <c r="AL136" s="153">
        <f t="shared" ref="AL136:AL150" si="200">((4.7*10^13*AT136*(AS136^0.5)*EXP($C$11/AK136))/($C$14*6))*$C$5*10^-6</f>
        <v>1.783586679184868E-14</v>
      </c>
      <c r="AM136" s="153">
        <f t="shared" ref="AM136:AM150" si="201">(((10^5*($C$4*$C$6)*10^-6)/($C$8*$C$7)))</f>
        <v>6.5681391066181393E-6</v>
      </c>
      <c r="AN136" s="86">
        <f t="shared" si="191"/>
        <v>1.3989646659463557E-7</v>
      </c>
      <c r="AO136" s="86">
        <f t="shared" si="192"/>
        <v>4.8</v>
      </c>
      <c r="AP136" s="86">
        <f t="shared" si="193"/>
        <v>5.3999999999999995</v>
      </c>
      <c r="AQ136" s="142">
        <f t="shared" si="194"/>
        <v>5</v>
      </c>
      <c r="AR136" s="148">
        <f t="shared" si="195"/>
        <v>47.023800000000001</v>
      </c>
      <c r="AS136" s="132">
        <f t="shared" si="196"/>
        <v>1.7487058324329448E-2</v>
      </c>
      <c r="AT136" s="136">
        <f t="shared" si="197"/>
        <v>0.16446158664632063</v>
      </c>
      <c r="AU136" s="163">
        <f t="shared" ref="AU136:AU150" si="202">SUM($AL$135:$AL$150)</f>
        <v>4.1576261452221295E-11</v>
      </c>
      <c r="AV136" s="153">
        <f t="shared" ref="AV136:AV150" si="203">AN136*(AO136+AP136+AQ136+AR136)</f>
        <v>8.7048897580912845E-6</v>
      </c>
      <c r="AW136" s="144">
        <f t="shared" ref="AW136:AW150" si="204">(AU136/AV136)*10^6</f>
        <v>4.7761962078354561</v>
      </c>
    </row>
    <row r="137" spans="18:49" x14ac:dyDescent="0.25">
      <c r="AI137" s="86">
        <v>2</v>
      </c>
      <c r="AJ137" s="88">
        <f t="shared" si="198"/>
        <v>14</v>
      </c>
      <c r="AK137" s="132">
        <f t="shared" si="199"/>
        <v>1738.8347926024153</v>
      </c>
      <c r="AL137" s="153">
        <f t="shared" si="200"/>
        <v>4.3158538426094768E-14</v>
      </c>
      <c r="AM137" s="153">
        <f t="shared" si="201"/>
        <v>6.5681391066181393E-6</v>
      </c>
      <c r="AN137" s="86">
        <f t="shared" si="191"/>
        <v>1.3989646659463557E-7</v>
      </c>
      <c r="AO137" s="86">
        <f t="shared" si="192"/>
        <v>4.8</v>
      </c>
      <c r="AP137" s="86">
        <f t="shared" si="193"/>
        <v>5.3999999999999995</v>
      </c>
      <c r="AQ137" s="142">
        <f t="shared" si="194"/>
        <v>5</v>
      </c>
      <c r="AR137" s="148">
        <f t="shared" si="195"/>
        <v>47.023800000000001</v>
      </c>
      <c r="AS137" s="132">
        <f t="shared" si="196"/>
        <v>1.7487058324329448E-2</v>
      </c>
      <c r="AT137" s="136">
        <f t="shared" si="197"/>
        <v>0.16446158664632063</v>
      </c>
      <c r="AU137" s="163">
        <f t="shared" si="202"/>
        <v>4.1576261452221295E-11</v>
      </c>
      <c r="AV137" s="153">
        <f t="shared" si="203"/>
        <v>8.7048897580912845E-6</v>
      </c>
      <c r="AW137" s="144">
        <f t="shared" si="204"/>
        <v>4.7761962078354561</v>
      </c>
    </row>
    <row r="138" spans="18:49" x14ac:dyDescent="0.25">
      <c r="AI138" s="86">
        <v>3</v>
      </c>
      <c r="AJ138" s="88">
        <f t="shared" si="198"/>
        <v>16</v>
      </c>
      <c r="AK138" s="132">
        <f t="shared" si="199"/>
        <v>1772.9010686641343</v>
      </c>
      <c r="AL138" s="153">
        <f t="shared" si="200"/>
        <v>9.1333065722453393E-14</v>
      </c>
      <c r="AM138" s="153">
        <f t="shared" si="201"/>
        <v>6.5681391066181393E-6</v>
      </c>
      <c r="AN138" s="86">
        <f t="shared" si="191"/>
        <v>1.3989646659463557E-7</v>
      </c>
      <c r="AO138" s="86">
        <f t="shared" si="192"/>
        <v>4.8</v>
      </c>
      <c r="AP138" s="86">
        <f t="shared" si="193"/>
        <v>5.3999999999999995</v>
      </c>
      <c r="AQ138" s="142">
        <f t="shared" si="194"/>
        <v>5</v>
      </c>
      <c r="AR138" s="148">
        <f t="shared" si="195"/>
        <v>47.023800000000001</v>
      </c>
      <c r="AS138" s="132">
        <f t="shared" si="196"/>
        <v>1.7487058324329448E-2</v>
      </c>
      <c r="AT138" s="136">
        <f t="shared" si="197"/>
        <v>0.16446158664632063</v>
      </c>
      <c r="AU138" s="163">
        <f t="shared" si="202"/>
        <v>4.1576261452221295E-11</v>
      </c>
      <c r="AV138" s="153">
        <f t="shared" si="203"/>
        <v>8.7048897580912845E-6</v>
      </c>
      <c r="AW138" s="144">
        <f t="shared" si="204"/>
        <v>4.7761962078354561</v>
      </c>
    </row>
    <row r="139" spans="18:49" x14ac:dyDescent="0.25">
      <c r="AI139" s="86">
        <v>4</v>
      </c>
      <c r="AJ139" s="88">
        <f t="shared" si="198"/>
        <v>18</v>
      </c>
      <c r="AK139" s="132">
        <f t="shared" si="199"/>
        <v>1803.5032097812905</v>
      </c>
      <c r="AL139" s="153">
        <f t="shared" si="200"/>
        <v>1.7482237583466519E-13</v>
      </c>
      <c r="AM139" s="153">
        <f t="shared" si="201"/>
        <v>6.5681391066181393E-6</v>
      </c>
      <c r="AN139" s="86">
        <f t="shared" si="191"/>
        <v>1.3989646659463557E-7</v>
      </c>
      <c r="AO139" s="86">
        <f t="shared" si="192"/>
        <v>4.8</v>
      </c>
      <c r="AP139" s="86">
        <f t="shared" si="193"/>
        <v>5.3999999999999995</v>
      </c>
      <c r="AQ139" s="142">
        <f t="shared" si="194"/>
        <v>5</v>
      </c>
      <c r="AR139" s="148">
        <f t="shared" si="195"/>
        <v>47.023800000000001</v>
      </c>
      <c r="AS139" s="132">
        <f t="shared" si="196"/>
        <v>1.7487058324329448E-2</v>
      </c>
      <c r="AT139" s="136">
        <f t="shared" si="197"/>
        <v>0.16446158664632063</v>
      </c>
      <c r="AU139" s="163">
        <f t="shared" si="202"/>
        <v>4.1576261452221295E-11</v>
      </c>
      <c r="AV139" s="153">
        <f t="shared" si="203"/>
        <v>8.7048897580912845E-6</v>
      </c>
      <c r="AW139" s="144">
        <f t="shared" si="204"/>
        <v>4.7761962078354561</v>
      </c>
    </row>
    <row r="140" spans="18:49" x14ac:dyDescent="0.25">
      <c r="AI140" s="86">
        <v>5</v>
      </c>
      <c r="AJ140" s="88">
        <f t="shared" si="198"/>
        <v>20</v>
      </c>
      <c r="AK140" s="132">
        <f t="shared" si="199"/>
        <v>1831.3250831576356</v>
      </c>
      <c r="AL140" s="153">
        <f t="shared" si="200"/>
        <v>3.0957811982828052E-13</v>
      </c>
      <c r="AM140" s="153">
        <f t="shared" si="201"/>
        <v>6.5681391066181393E-6</v>
      </c>
      <c r="AN140" s="86">
        <f t="shared" si="191"/>
        <v>1.3989646659463557E-7</v>
      </c>
      <c r="AO140" s="86">
        <f t="shared" si="192"/>
        <v>4.8</v>
      </c>
      <c r="AP140" s="86">
        <f t="shared" si="193"/>
        <v>5.3999999999999995</v>
      </c>
      <c r="AQ140" s="142">
        <f t="shared" si="194"/>
        <v>5</v>
      </c>
      <c r="AR140" s="148">
        <f t="shared" si="195"/>
        <v>47.023800000000001</v>
      </c>
      <c r="AS140" s="132">
        <f t="shared" si="196"/>
        <v>1.7487058324329448E-2</v>
      </c>
      <c r="AT140" s="136">
        <f t="shared" si="197"/>
        <v>0.16446158664632063</v>
      </c>
      <c r="AU140" s="163">
        <f t="shared" si="202"/>
        <v>4.1576261452221295E-11</v>
      </c>
      <c r="AV140" s="153">
        <f t="shared" si="203"/>
        <v>8.7048897580912845E-6</v>
      </c>
      <c r="AW140" s="144">
        <f t="shared" si="204"/>
        <v>4.7761962078354561</v>
      </c>
    </row>
    <row r="141" spans="18:49" x14ac:dyDescent="0.25">
      <c r="AI141" s="86">
        <v>6</v>
      </c>
      <c r="AJ141" s="88">
        <f t="shared" si="198"/>
        <v>22</v>
      </c>
      <c r="AK141" s="132">
        <f t="shared" si="199"/>
        <v>1856.8625857432039</v>
      </c>
      <c r="AL141" s="153">
        <f t="shared" si="200"/>
        <v>5.1525321039505565E-13</v>
      </c>
      <c r="AM141" s="153">
        <f t="shared" si="201"/>
        <v>6.5681391066181393E-6</v>
      </c>
      <c r="AN141" s="86">
        <f t="shared" si="191"/>
        <v>1.3989646659463557E-7</v>
      </c>
      <c r="AO141" s="86">
        <f t="shared" si="192"/>
        <v>4.8</v>
      </c>
      <c r="AP141" s="86">
        <f t="shared" si="193"/>
        <v>5.3999999999999995</v>
      </c>
      <c r="AQ141" s="142">
        <f t="shared" si="194"/>
        <v>5</v>
      </c>
      <c r="AR141" s="148">
        <f t="shared" si="195"/>
        <v>47.023800000000001</v>
      </c>
      <c r="AS141" s="132">
        <f t="shared" si="196"/>
        <v>1.7487058324329448E-2</v>
      </c>
      <c r="AT141" s="136">
        <f t="shared" si="197"/>
        <v>0.16446158664632063</v>
      </c>
      <c r="AU141" s="163">
        <f t="shared" si="202"/>
        <v>4.1576261452221295E-11</v>
      </c>
      <c r="AV141" s="153">
        <f t="shared" si="203"/>
        <v>8.7048897580912845E-6</v>
      </c>
      <c r="AW141" s="144">
        <f t="shared" si="204"/>
        <v>4.7761962078354561</v>
      </c>
    </row>
    <row r="142" spans="18:49" x14ac:dyDescent="0.25">
      <c r="AI142" s="86">
        <v>7</v>
      </c>
      <c r="AJ142" s="88">
        <f t="shared" si="198"/>
        <v>24</v>
      </c>
      <c r="AK142" s="132">
        <f t="shared" si="199"/>
        <v>1880.4873281579553</v>
      </c>
      <c r="AL142" s="153">
        <f t="shared" si="200"/>
        <v>8.1535829847497369E-13</v>
      </c>
      <c r="AM142" s="153">
        <f t="shared" si="201"/>
        <v>6.5681391066181393E-6</v>
      </c>
      <c r="AN142" s="86">
        <f t="shared" si="191"/>
        <v>1.3989646659463557E-7</v>
      </c>
      <c r="AO142" s="86">
        <f t="shared" si="192"/>
        <v>4.8</v>
      </c>
      <c r="AP142" s="86">
        <f t="shared" si="193"/>
        <v>5.3999999999999995</v>
      </c>
      <c r="AQ142" s="142">
        <f t="shared" si="194"/>
        <v>5</v>
      </c>
      <c r="AR142" s="148">
        <f t="shared" si="195"/>
        <v>47.023800000000001</v>
      </c>
      <c r="AS142" s="132">
        <f t="shared" si="196"/>
        <v>1.7487058324329448E-2</v>
      </c>
      <c r="AT142" s="136">
        <f t="shared" si="197"/>
        <v>0.16446158664632063</v>
      </c>
      <c r="AU142" s="163">
        <f t="shared" si="202"/>
        <v>4.1576261452221295E-11</v>
      </c>
      <c r="AV142" s="153">
        <f t="shared" si="203"/>
        <v>8.7048897580912845E-6</v>
      </c>
      <c r="AW142" s="144">
        <f t="shared" si="204"/>
        <v>4.7761962078354561</v>
      </c>
    </row>
    <row r="143" spans="18:49" x14ac:dyDescent="0.25">
      <c r="AI143" s="86">
        <v>8</v>
      </c>
      <c r="AJ143" s="88">
        <f t="shared" si="198"/>
        <v>26</v>
      </c>
      <c r="AK143" s="132">
        <f t="shared" si="199"/>
        <v>1902.4853253414321</v>
      </c>
      <c r="AL143" s="153">
        <f t="shared" si="200"/>
        <v>1.2373716835336802E-12</v>
      </c>
      <c r="AM143" s="153">
        <f t="shared" si="201"/>
        <v>6.5681391066181393E-6</v>
      </c>
      <c r="AN143" s="86">
        <f t="shared" si="191"/>
        <v>1.3989646659463557E-7</v>
      </c>
      <c r="AO143" s="86">
        <f t="shared" si="192"/>
        <v>4.8</v>
      </c>
      <c r="AP143" s="86">
        <f t="shared" si="193"/>
        <v>5.3999999999999995</v>
      </c>
      <c r="AQ143" s="142">
        <f t="shared" si="194"/>
        <v>5</v>
      </c>
      <c r="AR143" s="148">
        <f t="shared" si="195"/>
        <v>47.023800000000001</v>
      </c>
      <c r="AS143" s="132">
        <f t="shared" si="196"/>
        <v>1.7487058324329448E-2</v>
      </c>
      <c r="AT143" s="136">
        <f t="shared" si="197"/>
        <v>0.16446158664632063</v>
      </c>
      <c r="AU143" s="163">
        <f t="shared" si="202"/>
        <v>4.1576261452221295E-11</v>
      </c>
      <c r="AV143" s="153">
        <f t="shared" si="203"/>
        <v>8.7048897580912845E-6</v>
      </c>
      <c r="AW143" s="144">
        <f t="shared" si="204"/>
        <v>4.7761962078354561</v>
      </c>
    </row>
    <row r="144" spans="18:49" x14ac:dyDescent="0.25">
      <c r="AI144" s="86">
        <v>9</v>
      </c>
      <c r="AJ144" s="88">
        <f t="shared" si="198"/>
        <v>28</v>
      </c>
      <c r="AK144" s="132">
        <f t="shared" si="199"/>
        <v>1923.0816441898776</v>
      </c>
      <c r="AL144" s="153">
        <f t="shared" si="200"/>
        <v>1.8128107956385568E-12</v>
      </c>
      <c r="AM144" s="153">
        <f t="shared" si="201"/>
        <v>6.5681391066181393E-6</v>
      </c>
      <c r="AN144" s="86">
        <f t="shared" si="191"/>
        <v>1.3989646659463557E-7</v>
      </c>
      <c r="AO144" s="86">
        <f t="shared" si="192"/>
        <v>4.8</v>
      </c>
      <c r="AP144" s="86">
        <f t="shared" si="193"/>
        <v>5.3999999999999995</v>
      </c>
      <c r="AQ144" s="142">
        <f t="shared" si="194"/>
        <v>5</v>
      </c>
      <c r="AR144" s="148">
        <f t="shared" si="195"/>
        <v>47.023800000000001</v>
      </c>
      <c r="AS144" s="132">
        <f t="shared" si="196"/>
        <v>1.7487058324329448E-2</v>
      </c>
      <c r="AT144" s="136">
        <f t="shared" si="197"/>
        <v>0.16446158664632063</v>
      </c>
      <c r="AU144" s="163">
        <f t="shared" si="202"/>
        <v>4.1576261452221295E-11</v>
      </c>
      <c r="AV144" s="153">
        <f t="shared" si="203"/>
        <v>8.7048897580912845E-6</v>
      </c>
      <c r="AW144" s="144">
        <f t="shared" si="204"/>
        <v>4.7761962078354561</v>
      </c>
    </row>
    <row r="145" spans="35:49" x14ac:dyDescent="0.25">
      <c r="AI145" s="86">
        <v>10</v>
      </c>
      <c r="AJ145" s="88">
        <f t="shared" si="198"/>
        <v>30</v>
      </c>
      <c r="AK145" s="132">
        <f t="shared" si="199"/>
        <v>1942.4567300930155</v>
      </c>
      <c r="AL145" s="153">
        <f t="shared" si="200"/>
        <v>2.5772721020271729E-12</v>
      </c>
      <c r="AM145" s="153">
        <f t="shared" si="201"/>
        <v>6.5681391066181393E-6</v>
      </c>
      <c r="AN145" s="86">
        <f t="shared" si="191"/>
        <v>1.3989646659463557E-7</v>
      </c>
      <c r="AO145" s="86">
        <f t="shared" si="192"/>
        <v>4.8</v>
      </c>
      <c r="AP145" s="86">
        <f t="shared" si="193"/>
        <v>5.3999999999999995</v>
      </c>
      <c r="AQ145" s="142">
        <f t="shared" si="194"/>
        <v>5</v>
      </c>
      <c r="AR145" s="148">
        <f t="shared" si="195"/>
        <v>47.023800000000001</v>
      </c>
      <c r="AS145" s="132">
        <f t="shared" si="196"/>
        <v>1.7487058324329448E-2</v>
      </c>
      <c r="AT145" s="136">
        <f t="shared" si="197"/>
        <v>0.16446158664632063</v>
      </c>
      <c r="AU145" s="163">
        <f t="shared" si="202"/>
        <v>4.1576261452221295E-11</v>
      </c>
      <c r="AV145" s="153">
        <f t="shared" si="203"/>
        <v>8.7048897580912845E-6</v>
      </c>
      <c r="AW145" s="144">
        <f t="shared" si="204"/>
        <v>4.7761962078354561</v>
      </c>
    </row>
    <row r="146" spans="35:49" x14ac:dyDescent="0.25">
      <c r="AI146" s="86">
        <v>11</v>
      </c>
      <c r="AJ146" s="88">
        <f t="shared" si="198"/>
        <v>32</v>
      </c>
      <c r="AK146" s="132">
        <f t="shared" si="199"/>
        <v>1960.7575812362879</v>
      </c>
      <c r="AL146" s="153">
        <f t="shared" si="200"/>
        <v>3.5704451556912308E-12</v>
      </c>
      <c r="AM146" s="153">
        <f t="shared" si="201"/>
        <v>6.5681391066181393E-6</v>
      </c>
      <c r="AN146" s="86">
        <f t="shared" si="191"/>
        <v>1.3989646659463557E-7</v>
      </c>
      <c r="AO146" s="86">
        <f t="shared" si="192"/>
        <v>4.8</v>
      </c>
      <c r="AP146" s="86">
        <f t="shared" si="193"/>
        <v>5.3999999999999995</v>
      </c>
      <c r="AQ146" s="142">
        <f t="shared" si="194"/>
        <v>5</v>
      </c>
      <c r="AR146" s="148">
        <f t="shared" si="195"/>
        <v>47.023800000000001</v>
      </c>
      <c r="AS146" s="132">
        <f t="shared" si="196"/>
        <v>1.7487058324329448E-2</v>
      </c>
      <c r="AT146" s="136">
        <f t="shared" si="197"/>
        <v>0.16446158664632063</v>
      </c>
      <c r="AU146" s="163">
        <f t="shared" si="202"/>
        <v>4.1576261452221295E-11</v>
      </c>
      <c r="AV146" s="153">
        <f t="shared" si="203"/>
        <v>8.7048897580912845E-6</v>
      </c>
      <c r="AW146" s="144">
        <f t="shared" si="204"/>
        <v>4.7761962078354561</v>
      </c>
    </row>
    <row r="147" spans="35:49" x14ac:dyDescent="0.25">
      <c r="AI147" s="86">
        <v>12</v>
      </c>
      <c r="AJ147" s="88">
        <f t="shared" si="198"/>
        <v>34</v>
      </c>
      <c r="AK147" s="132">
        <f t="shared" si="199"/>
        <v>1978.1056124620984</v>
      </c>
      <c r="AL147" s="153">
        <f t="shared" si="200"/>
        <v>4.836105534526284E-12</v>
      </c>
      <c r="AM147" s="153">
        <f t="shared" si="201"/>
        <v>6.5681391066181393E-6</v>
      </c>
      <c r="AN147" s="86">
        <f t="shared" si="191"/>
        <v>1.3989646659463557E-7</v>
      </c>
      <c r="AO147" s="86">
        <f t="shared" si="192"/>
        <v>4.8</v>
      </c>
      <c r="AP147" s="86">
        <f t="shared" si="193"/>
        <v>5.3999999999999995</v>
      </c>
      <c r="AQ147" s="142">
        <f t="shared" si="194"/>
        <v>5</v>
      </c>
      <c r="AR147" s="148">
        <f t="shared" si="195"/>
        <v>47.023800000000001</v>
      </c>
      <c r="AS147" s="132">
        <f t="shared" si="196"/>
        <v>1.7487058324329448E-2</v>
      </c>
      <c r="AT147" s="136">
        <f t="shared" si="197"/>
        <v>0.16446158664632063</v>
      </c>
      <c r="AU147" s="163">
        <f t="shared" si="202"/>
        <v>4.1576261452221295E-11</v>
      </c>
      <c r="AV147" s="153">
        <f t="shared" si="203"/>
        <v>8.7048897580912845E-6</v>
      </c>
      <c r="AW147" s="144">
        <f t="shared" si="204"/>
        <v>4.7761962078354561</v>
      </c>
    </row>
    <row r="148" spans="35:49" x14ac:dyDescent="0.25">
      <c r="AI148" s="86">
        <v>13</v>
      </c>
      <c r="AJ148" s="88">
        <f t="shared" si="198"/>
        <v>36</v>
      </c>
      <c r="AK148" s="132">
        <f t="shared" si="199"/>
        <v>1994.6023237648367</v>
      </c>
      <c r="AL148" s="153">
        <f t="shared" si="200"/>
        <v>6.4220906069118547E-12</v>
      </c>
      <c r="AM148" s="153">
        <f t="shared" si="201"/>
        <v>6.5681391066181393E-6</v>
      </c>
      <c r="AN148" s="86">
        <f t="shared" si="191"/>
        <v>1.3989646659463557E-7</v>
      </c>
      <c r="AO148" s="86">
        <f t="shared" si="192"/>
        <v>4.8</v>
      </c>
      <c r="AP148" s="86">
        <f t="shared" si="193"/>
        <v>5.3999999999999995</v>
      </c>
      <c r="AQ148" s="142">
        <f t="shared" si="194"/>
        <v>5</v>
      </c>
      <c r="AR148" s="148">
        <f t="shared" si="195"/>
        <v>47.023800000000001</v>
      </c>
      <c r="AS148" s="132">
        <f t="shared" si="196"/>
        <v>1.7487058324329448E-2</v>
      </c>
      <c r="AT148" s="136">
        <f t="shared" si="197"/>
        <v>0.16446158664632063</v>
      </c>
      <c r="AU148" s="163">
        <f t="shared" si="202"/>
        <v>4.1576261452221295E-11</v>
      </c>
      <c r="AV148" s="153">
        <f t="shared" si="203"/>
        <v>8.7048897580912845E-6</v>
      </c>
      <c r="AW148" s="144">
        <f t="shared" si="204"/>
        <v>4.7761962078354561</v>
      </c>
    </row>
    <row r="149" spans="35:49" x14ac:dyDescent="0.25">
      <c r="AI149" s="86">
        <v>14</v>
      </c>
      <c r="AJ149" s="88">
        <f t="shared" si="198"/>
        <v>38</v>
      </c>
      <c r="AK149" s="132">
        <f t="shared" si="199"/>
        <v>2010.3334725518901</v>
      </c>
      <c r="AL149" s="153">
        <f t="shared" si="200"/>
        <v>8.3802613842090317E-12</v>
      </c>
      <c r="AM149" s="153">
        <f t="shared" si="201"/>
        <v>6.5681391066181393E-6</v>
      </c>
      <c r="AN149" s="86">
        <f t="shared" si="191"/>
        <v>1.3989646659463557E-7</v>
      </c>
      <c r="AO149" s="86">
        <f t="shared" si="192"/>
        <v>4.8</v>
      </c>
      <c r="AP149" s="86">
        <f t="shared" si="193"/>
        <v>5.3999999999999995</v>
      </c>
      <c r="AQ149" s="142">
        <f t="shared" si="194"/>
        <v>5</v>
      </c>
      <c r="AR149" s="148">
        <f t="shared" si="195"/>
        <v>47.023800000000001</v>
      </c>
      <c r="AS149" s="132">
        <f t="shared" si="196"/>
        <v>1.7487058324329448E-2</v>
      </c>
      <c r="AT149" s="136">
        <f t="shared" si="197"/>
        <v>0.16446158664632063</v>
      </c>
      <c r="AU149" s="163">
        <f t="shared" si="202"/>
        <v>4.1576261452221295E-11</v>
      </c>
      <c r="AV149" s="153">
        <f t="shared" si="203"/>
        <v>8.7048897580912845E-6</v>
      </c>
      <c r="AW149" s="144">
        <f t="shared" si="204"/>
        <v>4.7761962078354561</v>
      </c>
    </row>
    <row r="150" spans="35:49" x14ac:dyDescent="0.25">
      <c r="AI150" s="86">
        <v>15</v>
      </c>
      <c r="AJ150" s="88">
        <f t="shared" si="198"/>
        <v>40</v>
      </c>
      <c r="AK150" s="132">
        <f t="shared" si="199"/>
        <v>2025.3722015155279</v>
      </c>
      <c r="AL150" s="153">
        <f t="shared" si="200"/>
        <v>1.0766453161907421E-11</v>
      </c>
      <c r="AM150" s="153">
        <f t="shared" si="201"/>
        <v>6.5681391066181393E-6</v>
      </c>
      <c r="AN150" s="86">
        <f t="shared" si="191"/>
        <v>1.3989646659463557E-7</v>
      </c>
      <c r="AO150" s="86">
        <f t="shared" si="192"/>
        <v>4.8</v>
      </c>
      <c r="AP150" s="86">
        <f t="shared" si="193"/>
        <v>5.3999999999999995</v>
      </c>
      <c r="AQ150" s="142">
        <f t="shared" si="194"/>
        <v>5</v>
      </c>
      <c r="AR150" s="148">
        <f t="shared" si="195"/>
        <v>47.023800000000001</v>
      </c>
      <c r="AS150" s="132">
        <f t="shared" si="196"/>
        <v>1.7487058324329448E-2</v>
      </c>
      <c r="AT150" s="136">
        <f t="shared" si="197"/>
        <v>0.16446158664632063</v>
      </c>
      <c r="AU150" s="163">
        <f t="shared" si="202"/>
        <v>4.1576261452221295E-11</v>
      </c>
      <c r="AV150" s="153">
        <f t="shared" si="203"/>
        <v>8.7048897580912845E-6</v>
      </c>
      <c r="AW150" s="144">
        <f t="shared" si="204"/>
        <v>4.7761962078354561</v>
      </c>
    </row>
    <row r="151" spans="35:49" ht="15.75" thickBot="1" x14ac:dyDescent="0.3">
      <c r="AI151" s="86"/>
      <c r="AJ151" s="88"/>
      <c r="AK151" s="132"/>
      <c r="AL151" s="162"/>
      <c r="AM151" s="86"/>
      <c r="AN151" s="86"/>
      <c r="AO151" s="86"/>
      <c r="AP151" s="86"/>
      <c r="AQ151" s="142"/>
      <c r="AR151" s="148"/>
      <c r="AS151" s="132"/>
      <c r="AT151" s="136"/>
      <c r="AU151" s="136"/>
      <c r="AV151" s="162"/>
      <c r="AW151" s="144"/>
    </row>
    <row r="281" spans="18:30" ht="15.75" thickBot="1" x14ac:dyDescent="0.3">
      <c r="R281" s="108">
        <v>16</v>
      </c>
      <c r="S281" s="117">
        <f>AJ150+2</f>
        <v>42</v>
      </c>
      <c r="T281" s="133">
        <f>(AK150*(($S21/$S20)^(($C$13-1)/$C$13)))</f>
        <v>0</v>
      </c>
      <c r="U281" s="149"/>
      <c r="V281" s="108">
        <f>(((S281*10^5*($C$4*$C$6)*10^-6)/($C$8*$C$7)))</f>
        <v>2.7586184247796182E-4</v>
      </c>
      <c r="W281" s="108">
        <f>V281/($AK$132*$G$11*((Z281/2)+3.76))</f>
        <v>5.8756515969746932E-6</v>
      </c>
      <c r="X281" s="108">
        <f>$AK$132*$G$12</f>
        <v>4.8</v>
      </c>
      <c r="Y281" s="108">
        <f>$AK$132*$G$13</f>
        <v>5.3999999999999995</v>
      </c>
      <c r="Z281" s="143">
        <f>(($G$15/2)*(1-$AK$132))</f>
        <v>5</v>
      </c>
      <c r="AA281" s="149">
        <f>$G$14</f>
        <v>47.023800000000001</v>
      </c>
      <c r="AB281" s="133">
        <f>((Z281*W281)/($C$5*10^-6))</f>
        <v>0.73445644962183676</v>
      </c>
      <c r="AC281" s="125">
        <f>((AA281*W281)/($C$5*10^-6))</f>
        <v>6.9073866391454644</v>
      </c>
      <c r="AD281" s="134"/>
    </row>
  </sheetData>
  <mergeCells count="70">
    <mergeCell ref="B45:P46"/>
    <mergeCell ref="A70:P71"/>
    <mergeCell ref="F17:G18"/>
    <mergeCell ref="AK132:AV133"/>
    <mergeCell ref="AK110:AV111"/>
    <mergeCell ref="F19:F20"/>
    <mergeCell ref="G19:G20"/>
    <mergeCell ref="F21:F22"/>
    <mergeCell ref="G21:G22"/>
    <mergeCell ref="F24:F25"/>
    <mergeCell ref="G24:G25"/>
    <mergeCell ref="F42:F43"/>
    <mergeCell ref="G42:G43"/>
    <mergeCell ref="J27:L27"/>
    <mergeCell ref="B28:B29"/>
    <mergeCell ref="C28:C29"/>
    <mergeCell ref="F1:J2"/>
    <mergeCell ref="K1:K2"/>
    <mergeCell ref="L1:L2"/>
    <mergeCell ref="F3:J3"/>
    <mergeCell ref="F10:G10"/>
    <mergeCell ref="J28:L28"/>
    <mergeCell ref="F29:F30"/>
    <mergeCell ref="B30:B31"/>
    <mergeCell ref="C30:C31"/>
    <mergeCell ref="D30:D31"/>
    <mergeCell ref="I30:I31"/>
    <mergeCell ref="J30:J31"/>
    <mergeCell ref="G29:G30"/>
    <mergeCell ref="B26:C27"/>
    <mergeCell ref="D26:D27"/>
    <mergeCell ref="F27:F28"/>
    <mergeCell ref="G27:G28"/>
    <mergeCell ref="F40:F41"/>
    <mergeCell ref="G40:G41"/>
    <mergeCell ref="F32:F33"/>
    <mergeCell ref="G32:G33"/>
    <mergeCell ref="D28:D29"/>
    <mergeCell ref="I33:L34"/>
    <mergeCell ref="F35:F36"/>
    <mergeCell ref="G35:G36"/>
    <mergeCell ref="I35:J36"/>
    <mergeCell ref="F37:F38"/>
    <mergeCell ref="G37:G38"/>
    <mergeCell ref="I37:J38"/>
    <mergeCell ref="K37:K38"/>
    <mergeCell ref="R89:S90"/>
    <mergeCell ref="T89:AC90"/>
    <mergeCell ref="R111:S112"/>
    <mergeCell ref="T111:AC112"/>
    <mergeCell ref="AK2:AT3"/>
    <mergeCell ref="AI2:AJ3"/>
    <mergeCell ref="R2:S3"/>
    <mergeCell ref="T2:AC3"/>
    <mergeCell ref="R46:S47"/>
    <mergeCell ref="T46:AC47"/>
    <mergeCell ref="R68:S69"/>
    <mergeCell ref="T68:AC69"/>
    <mergeCell ref="T24:AC25"/>
    <mergeCell ref="AK23:AT24"/>
    <mergeCell ref="AI110:AJ111"/>
    <mergeCell ref="R24:S25"/>
    <mergeCell ref="AI132:AJ133"/>
    <mergeCell ref="AI23:AJ24"/>
    <mergeCell ref="AI45:AJ46"/>
    <mergeCell ref="AK45:AT46"/>
    <mergeCell ref="AI67:AJ68"/>
    <mergeCell ref="AK67:AT68"/>
    <mergeCell ref="AI88:AJ89"/>
    <mergeCell ref="AK88:AT89"/>
  </mergeCells>
  <dataValidations count="2">
    <dataValidation type="list" allowBlank="1" showInputMessage="1" showErrorMessage="1" sqref="A48:A60 A73:A85">
      <formula1>$S$49:$S$65</formula1>
    </dataValidation>
    <dataValidation type="list" allowBlank="1" showInputMessage="1" showErrorMessage="1" sqref="J30:J31">
      <formula1>$B$73:$B$85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81"/>
  <sheetViews>
    <sheetView topLeftCell="A25" zoomScale="55" zoomScaleNormal="55" workbookViewId="0">
      <selection activeCell="I29" sqref="I29:I34"/>
    </sheetView>
  </sheetViews>
  <sheetFormatPr defaultRowHeight="15" x14ac:dyDescent="0.25"/>
  <cols>
    <col min="1" max="1" width="14.7109375" style="1" bestFit="1" customWidth="1"/>
    <col min="2" max="2" width="37.5703125" style="1" bestFit="1" customWidth="1"/>
    <col min="3" max="3" width="22.140625" style="1" bestFit="1" customWidth="1"/>
    <col min="4" max="4" width="27.5703125" style="1" customWidth="1"/>
    <col min="5" max="5" width="32.5703125" style="1" bestFit="1" customWidth="1"/>
    <col min="6" max="6" width="43.28515625" style="1" bestFit="1" customWidth="1"/>
    <col min="7" max="7" width="15.5703125" style="1" bestFit="1" customWidth="1"/>
    <col min="8" max="8" width="14.140625" style="1" customWidth="1"/>
    <col min="9" max="9" width="22.5703125" style="1" bestFit="1" customWidth="1"/>
    <col min="10" max="10" width="32.5703125" style="1" bestFit="1" customWidth="1"/>
    <col min="11" max="11" width="29.42578125" style="1" bestFit="1" customWidth="1"/>
    <col min="12" max="12" width="32.85546875" style="1" bestFit="1" customWidth="1"/>
    <col min="13" max="13" width="17" style="1" bestFit="1" customWidth="1"/>
    <col min="14" max="14" width="39.42578125" style="1" bestFit="1" customWidth="1"/>
    <col min="15" max="15" width="21.85546875" style="224" customWidth="1"/>
    <col min="16" max="16" width="23.42578125" style="224" customWidth="1"/>
    <col min="17" max="17" width="21" style="1" bestFit="1" customWidth="1"/>
    <col min="18" max="18" width="39.28515625" style="1" bestFit="1" customWidth="1"/>
    <col min="19" max="19" width="15.28515625" style="1" bestFit="1" customWidth="1"/>
    <col min="20" max="20" width="22.5703125" style="1" bestFit="1" customWidth="1"/>
    <col min="21" max="21" width="23.42578125" style="1" bestFit="1" customWidth="1"/>
    <col min="22" max="22" width="32.5703125" style="1" bestFit="1" customWidth="1"/>
    <col min="23" max="23" width="22.28515625" style="1" bestFit="1" customWidth="1"/>
    <col min="24" max="24" width="25.7109375" style="1" bestFit="1" customWidth="1"/>
    <col min="25" max="25" width="24.5703125" style="1" bestFit="1" customWidth="1"/>
    <col min="26" max="26" width="23.42578125" style="1" bestFit="1" customWidth="1"/>
    <col min="27" max="27" width="29.42578125" style="1" customWidth="1"/>
    <col min="28" max="28" width="19.85546875" style="1" bestFit="1" customWidth="1"/>
    <col min="29" max="29" width="30.85546875" style="1" bestFit="1" customWidth="1"/>
    <col min="30" max="30" width="25.42578125" style="1" bestFit="1" customWidth="1"/>
    <col min="31" max="31" width="16.28515625" style="1" bestFit="1" customWidth="1"/>
    <col min="32" max="32" width="37.28515625" style="1" bestFit="1" customWidth="1"/>
    <col min="33" max="33" width="12.140625" style="1" bestFit="1" customWidth="1"/>
    <col min="34" max="34" width="19.85546875" style="1" bestFit="1" customWidth="1"/>
    <col min="35" max="35" width="38" style="1" bestFit="1" customWidth="1"/>
    <col min="36" max="36" width="17.28515625" style="1" customWidth="1"/>
    <col min="37" max="37" width="24" style="1" bestFit="1" customWidth="1"/>
    <col min="38" max="38" width="26.5703125" style="1" bestFit="1" customWidth="1"/>
    <col min="39" max="39" width="32.5703125" style="1" bestFit="1" customWidth="1"/>
    <col min="40" max="40" width="15.28515625" style="1" bestFit="1" customWidth="1"/>
    <col min="41" max="41" width="14.7109375" style="1" bestFit="1" customWidth="1"/>
    <col min="42" max="42" width="15.28515625" style="1" bestFit="1" customWidth="1"/>
    <col min="43" max="43" width="19.5703125" style="1" bestFit="1" customWidth="1"/>
    <col min="44" max="44" width="20.7109375" style="1" bestFit="1" customWidth="1"/>
    <col min="45" max="45" width="19.42578125" style="1" bestFit="1" customWidth="1"/>
    <col min="46" max="46" width="30.85546875" style="1" bestFit="1" customWidth="1"/>
    <col min="47" max="47" width="19.42578125" style="1" bestFit="1" customWidth="1"/>
    <col min="48" max="48" width="16.5703125" style="1" bestFit="1" customWidth="1"/>
    <col min="49" max="49" width="15.7109375" style="1" bestFit="1" customWidth="1"/>
    <col min="50" max="50" width="11.5703125" style="1" bestFit="1" customWidth="1"/>
    <col min="51" max="51" width="8" style="1" bestFit="1" customWidth="1"/>
    <col min="52" max="52" width="15" style="1" bestFit="1" customWidth="1"/>
    <col min="53" max="53" width="14.42578125" style="1" bestFit="1" customWidth="1"/>
    <col min="54" max="54" width="24" style="1" bestFit="1" customWidth="1"/>
    <col min="55" max="55" width="15.140625" style="1" customWidth="1"/>
    <col min="56" max="56" width="16.7109375" style="1" bestFit="1" customWidth="1"/>
    <col min="57" max="16384" width="9.140625" style="1"/>
  </cols>
  <sheetData>
    <row r="1" spans="2:46" ht="15.75" customHeight="1" thickBot="1" x14ac:dyDescent="0.3">
      <c r="D1" s="224"/>
      <c r="E1" s="224"/>
      <c r="F1" s="293" t="s">
        <v>10</v>
      </c>
      <c r="G1" s="294"/>
      <c r="H1" s="294"/>
      <c r="I1" s="294"/>
      <c r="J1" s="295"/>
      <c r="K1" s="329" t="s">
        <v>6</v>
      </c>
      <c r="L1" s="329" t="s">
        <v>7</v>
      </c>
    </row>
    <row r="2" spans="2:46" ht="15.75" customHeight="1" thickBot="1" x14ac:dyDescent="0.3">
      <c r="B2" s="220" t="s">
        <v>148</v>
      </c>
      <c r="C2" s="3">
        <v>4</v>
      </c>
      <c r="D2" s="224"/>
      <c r="E2" s="224"/>
      <c r="F2" s="296"/>
      <c r="G2" s="297"/>
      <c r="H2" s="297"/>
      <c r="I2" s="297"/>
      <c r="J2" s="298"/>
      <c r="K2" s="330"/>
      <c r="L2" s="330"/>
    </row>
    <row r="3" spans="2:46" ht="18.75" customHeight="1" thickBot="1" x14ac:dyDescent="0.3">
      <c r="B3" s="220" t="s">
        <v>71</v>
      </c>
      <c r="C3" s="3">
        <v>1600</v>
      </c>
      <c r="D3" s="224"/>
      <c r="E3" s="224"/>
      <c r="F3" s="327" t="s">
        <v>16</v>
      </c>
      <c r="G3" s="371"/>
      <c r="H3" s="371"/>
      <c r="I3" s="371"/>
      <c r="J3" s="328"/>
      <c r="K3" s="4" t="s">
        <v>2</v>
      </c>
      <c r="L3" s="4">
        <v>12.010999999999999</v>
      </c>
      <c r="N3" s="341" t="s">
        <v>222</v>
      </c>
      <c r="O3" s="446">
        <v>1.05</v>
      </c>
      <c r="P3" s="356" t="s">
        <v>221</v>
      </c>
      <c r="Q3" s="418"/>
      <c r="R3" s="418"/>
      <c r="S3" s="418"/>
      <c r="T3" s="418"/>
      <c r="U3" s="418"/>
      <c r="V3" s="418"/>
      <c r="W3" s="418"/>
      <c r="X3" s="418"/>
      <c r="Y3" s="418"/>
      <c r="Z3" s="418"/>
      <c r="AA3" s="418"/>
      <c r="AB3" s="418"/>
      <c r="AC3" s="358"/>
      <c r="AE3" s="341" t="s">
        <v>222</v>
      </c>
      <c r="AF3" s="446">
        <v>1.1000000000000001</v>
      </c>
      <c r="AG3" s="356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  <c r="AT3" s="358"/>
    </row>
    <row r="4" spans="2:46" ht="15.75" customHeight="1" thickBot="1" x14ac:dyDescent="0.3">
      <c r="B4" s="220" t="s">
        <v>149</v>
      </c>
      <c r="C4" s="3">
        <f>C3/C2</f>
        <v>400</v>
      </c>
      <c r="D4" s="224"/>
      <c r="E4" s="224"/>
      <c r="K4" s="5" t="s">
        <v>3</v>
      </c>
      <c r="L4" s="5">
        <v>1.008</v>
      </c>
      <c r="N4" s="342"/>
      <c r="O4" s="447"/>
      <c r="P4" s="357"/>
      <c r="Q4" s="419"/>
      <c r="R4" s="419"/>
      <c r="S4" s="419"/>
      <c r="T4" s="419"/>
      <c r="U4" s="419"/>
      <c r="V4" s="419"/>
      <c r="W4" s="419"/>
      <c r="X4" s="419"/>
      <c r="Y4" s="419"/>
      <c r="Z4" s="419"/>
      <c r="AA4" s="419"/>
      <c r="AB4" s="419"/>
      <c r="AC4" s="359"/>
      <c r="AE4" s="342"/>
      <c r="AF4" s="447"/>
      <c r="AG4" s="357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  <c r="AT4" s="359"/>
    </row>
    <row r="5" spans="2:46" ht="21" thickBot="1" x14ac:dyDescent="0.3">
      <c r="B5" s="220" t="s">
        <v>150</v>
      </c>
      <c r="C5" s="3">
        <v>40</v>
      </c>
      <c r="D5" s="224"/>
      <c r="E5" s="224"/>
      <c r="F5" s="2" t="s">
        <v>9</v>
      </c>
      <c r="G5" s="2" t="s">
        <v>8</v>
      </c>
      <c r="K5" s="5" t="s">
        <v>4</v>
      </c>
      <c r="L5" s="5">
        <v>15.999000000000001</v>
      </c>
      <c r="N5" s="223" t="s">
        <v>159</v>
      </c>
      <c r="O5" s="203" t="s">
        <v>29</v>
      </c>
      <c r="P5" s="203" t="s">
        <v>30</v>
      </c>
      <c r="Q5" s="235" t="s">
        <v>220</v>
      </c>
      <c r="R5" s="222" t="s">
        <v>173</v>
      </c>
      <c r="S5" s="203" t="s">
        <v>151</v>
      </c>
      <c r="T5" s="254" t="s">
        <v>214</v>
      </c>
      <c r="U5" s="236" t="s">
        <v>215</v>
      </c>
      <c r="V5" s="254" t="s">
        <v>216</v>
      </c>
      <c r="W5" s="254" t="s">
        <v>217</v>
      </c>
      <c r="X5" s="203" t="s">
        <v>218</v>
      </c>
      <c r="Y5" s="203" t="s">
        <v>219</v>
      </c>
      <c r="Z5" s="223" t="s">
        <v>178</v>
      </c>
      <c r="AA5" s="203" t="s">
        <v>188</v>
      </c>
      <c r="AB5" s="222" t="s">
        <v>182</v>
      </c>
      <c r="AC5" s="222" t="s">
        <v>183</v>
      </c>
      <c r="AE5" s="257" t="s">
        <v>159</v>
      </c>
      <c r="AF5" s="203" t="s">
        <v>29</v>
      </c>
      <c r="AG5" s="203" t="s">
        <v>30</v>
      </c>
      <c r="AH5" s="264" t="s">
        <v>220</v>
      </c>
      <c r="AI5" s="254" t="s">
        <v>173</v>
      </c>
      <c r="AJ5" s="203" t="s">
        <v>151</v>
      </c>
      <c r="AK5" s="254" t="s">
        <v>214</v>
      </c>
      <c r="AL5" s="236" t="s">
        <v>215</v>
      </c>
      <c r="AM5" s="254" t="s">
        <v>216</v>
      </c>
      <c r="AN5" s="254" t="s">
        <v>217</v>
      </c>
      <c r="AO5" s="203" t="s">
        <v>218</v>
      </c>
      <c r="AP5" s="203" t="s">
        <v>219</v>
      </c>
      <c r="AQ5" s="257" t="s">
        <v>178</v>
      </c>
      <c r="AR5" s="203" t="s">
        <v>188</v>
      </c>
      <c r="AS5" s="254" t="s">
        <v>182</v>
      </c>
      <c r="AT5" s="254" t="s">
        <v>183</v>
      </c>
    </row>
    <row r="6" spans="2:46" ht="15.75" thickBot="1" x14ac:dyDescent="0.3">
      <c r="B6" s="220" t="s">
        <v>152</v>
      </c>
      <c r="C6" s="3">
        <v>0.4</v>
      </c>
      <c r="D6" s="224"/>
      <c r="E6" s="224"/>
      <c r="F6" s="2" t="s">
        <v>0</v>
      </c>
      <c r="G6" s="3">
        <v>8</v>
      </c>
      <c r="K6" s="5" t="s">
        <v>5</v>
      </c>
      <c r="L6" s="5">
        <v>14.007</v>
      </c>
      <c r="N6" s="88">
        <v>10</v>
      </c>
      <c r="O6" s="97">
        <v>1</v>
      </c>
      <c r="P6" s="88">
        <v>5065.0000000000009</v>
      </c>
      <c r="Q6" s="96">
        <v>2241.8501407498143</v>
      </c>
      <c r="R6" s="211">
        <f>(((10^5*($C$4*$C$6)*10^-6)/($C$8*$C$7)))</f>
        <v>6.5681391066181393E-6</v>
      </c>
      <c r="S6" s="165">
        <f>R6/(O6*$G$11*((V6/2)+3.76))</f>
        <v>1.3974764056634339E-7</v>
      </c>
      <c r="T6" s="96">
        <f>(O6*$G$12*$AC$28)</f>
        <v>8</v>
      </c>
      <c r="U6" s="96">
        <f>O6*$G$13*$AC$28</f>
        <v>9</v>
      </c>
      <c r="V6" s="134">
        <f>(($G$15/2)*(1-O6)*$AC$28)</f>
        <v>0</v>
      </c>
      <c r="W6" s="144">
        <f>$G$14*$AC$28</f>
        <v>47.023800000000001</v>
      </c>
      <c r="X6" s="170">
        <f t="shared" ref="X6:X18" si="0">((V6*S6)/($C$5*10^-6))</f>
        <v>0</v>
      </c>
      <c r="Y6" s="142">
        <f t="shared" ref="Y6:Y18" si="1">((W6*S6)/($C$5*10^-6))</f>
        <v>0.16428662751159046</v>
      </c>
      <c r="Z6" s="165">
        <f t="shared" ref="Z6:Z18" si="2">((4.7*10^13*Y6*(X6^0.5)*EXP($C$11/Q6))/($C$15))*$C$5*10^-6</f>
        <v>0</v>
      </c>
      <c r="AA6" s="187">
        <f>SUM($AB$105:$AB$120)</f>
        <v>4.1987251671933932E-7</v>
      </c>
      <c r="AB6" s="163">
        <f t="shared" ref="AB6:AB18" si="3">S6*(T6+U6+V6+W6)</f>
        <v>8.9471749900914556E-6</v>
      </c>
      <c r="AC6" s="148">
        <f>(AA6/AB6)*10^6</f>
        <v>46927.942862895485</v>
      </c>
      <c r="AE6" s="88">
        <v>10</v>
      </c>
      <c r="AF6" s="97">
        <v>1</v>
      </c>
      <c r="AG6" s="88">
        <v>5065.0000000000009</v>
      </c>
      <c r="AH6" s="246">
        <v>2159.6086914777675</v>
      </c>
      <c r="AI6" s="211">
        <f>(((10^5*($C$4*$C$6)*10^-6)/($C$8*$C$7)))</f>
        <v>6.5681391066181393E-6</v>
      </c>
      <c r="AJ6" s="165">
        <f t="shared" ref="AJ6:AJ18" si="4">AI6/(AF6*$G$11*((AM6/2)+3.76))</f>
        <v>1.3974764056634339E-7</v>
      </c>
      <c r="AK6" s="96">
        <f>(AF6*$G$12*AF3)</f>
        <v>8.8000000000000007</v>
      </c>
      <c r="AL6" s="96">
        <f>AF6*$G$13*$AC$28</f>
        <v>9</v>
      </c>
      <c r="AM6" s="134">
        <f>(($G$15/2)*(1-AF6)*$AC$28)</f>
        <v>0</v>
      </c>
      <c r="AN6" s="144">
        <f>$G$14*$AC$28</f>
        <v>47.023800000000001</v>
      </c>
      <c r="AO6" s="170">
        <f t="shared" ref="AO6:AO18" si="5">((AM6*AJ6)/($C$5*10^-6))</f>
        <v>0</v>
      </c>
      <c r="AP6" s="142">
        <f t="shared" ref="AP6:AP18" si="6">((AN6*AJ6)/($C$5*10^-6))</f>
        <v>0.16428662751159046</v>
      </c>
      <c r="AQ6" s="165">
        <f t="shared" ref="AQ6:AQ18" si="7">((4.7*10^13*AP6*(AO6^0.5)*EXP($C$11/AH6))/($C$15))*$C$5*10^-6</f>
        <v>0</v>
      </c>
      <c r="AR6" s="187">
        <f>SUM($AB$83:$AB$98)</f>
        <v>3.3546039133786429E-7</v>
      </c>
      <c r="AS6" s="163">
        <f t="shared" ref="AS6:AS18" si="8">AJ6*(AK6+AL6+AM6+AN6)</f>
        <v>9.0589731025445313E-6</v>
      </c>
      <c r="AT6" s="148">
        <f>(AR6/AS6)*10^6</f>
        <v>37030.730474697892</v>
      </c>
    </row>
    <row r="7" spans="2:46" ht="18.75" thickBot="1" x14ac:dyDescent="0.3">
      <c r="B7" s="220" t="s">
        <v>153</v>
      </c>
      <c r="C7" s="3">
        <f>20+273</f>
        <v>293</v>
      </c>
      <c r="D7" s="224"/>
      <c r="E7" s="224"/>
      <c r="F7" s="221" t="s">
        <v>1</v>
      </c>
      <c r="G7" s="219">
        <v>18</v>
      </c>
      <c r="K7" s="7" t="s">
        <v>18</v>
      </c>
      <c r="L7" s="6">
        <v>3.7619039999999999</v>
      </c>
      <c r="N7" s="88">
        <v>10</v>
      </c>
      <c r="O7" s="86">
        <v>0.99</v>
      </c>
      <c r="P7" s="88">
        <v>5011.7580000000007</v>
      </c>
      <c r="Q7" s="96">
        <v>2229.4861146998364</v>
      </c>
      <c r="R7" s="211">
        <f t="shared" ref="R7:R18" si="9">(((10^5*($C$4*$C$6)*10^-6)/($C$8*$C$7)))</f>
        <v>6.5681391066181393E-6</v>
      </c>
      <c r="S7" s="165">
        <f t="shared" ref="S6:S18" si="10">R7/(O7*$G$11*((V7/2)+3.76))</f>
        <v>1.3885120096437262E-7</v>
      </c>
      <c r="T7" s="96">
        <f>(O7*$G$12*$AC$28)</f>
        <v>7.92</v>
      </c>
      <c r="U7" s="96">
        <f>O7*$G$13*$AC$28</f>
        <v>8.91</v>
      </c>
      <c r="V7" s="134">
        <f>(($G$15/2)*(1-O7)*$AC$28)</f>
        <v>0.12500000000000011</v>
      </c>
      <c r="W7" s="144">
        <f>$G$14*$AC$28</f>
        <v>47.023800000000001</v>
      </c>
      <c r="X7" s="170">
        <f t="shared" si="0"/>
        <v>4.3391000301366492E-4</v>
      </c>
      <c r="Y7" s="142">
        <f t="shared" si="1"/>
        <v>0.16323277759771165</v>
      </c>
      <c r="Z7" s="165">
        <f t="shared" si="2"/>
        <v>3.613101100561459E-11</v>
      </c>
      <c r="AA7" s="187">
        <f t="shared" ref="AA7:AA18" si="11">SUM($AB$105:$AB$120)</f>
        <v>4.1987251671933932E-7</v>
      </c>
      <c r="AB7" s="163">
        <f t="shared" si="3"/>
        <v>8.8835332162594029E-6</v>
      </c>
      <c r="AC7" s="148">
        <f t="shared" ref="AC7:AC18" si="12">(AA7/AB7)*10^6</f>
        <v>47264.135395008452</v>
      </c>
      <c r="AE7" s="88">
        <v>10</v>
      </c>
      <c r="AF7" s="86">
        <v>0.99</v>
      </c>
      <c r="AG7" s="88">
        <v>5011.7580000000007</v>
      </c>
      <c r="AH7" s="86">
        <v>2373.899087881432</v>
      </c>
      <c r="AI7" s="211">
        <f t="shared" ref="AI7:AI18" si="13">(((10^5*($C$4*$C$6)*10^-6)/($C$8*$C$7)))</f>
        <v>6.5681391066181393E-6</v>
      </c>
      <c r="AJ7" s="165">
        <f t="shared" si="4"/>
        <v>1.3885120096437262E-7</v>
      </c>
      <c r="AK7" s="96">
        <f>(AF7*$G$12*$AC$28)</f>
        <v>7.92</v>
      </c>
      <c r="AL7" s="96">
        <f>AF7*$G$13*$AC$28</f>
        <v>8.91</v>
      </c>
      <c r="AM7" s="134">
        <f>(($G$15/2)*(1-AF7)*$AC$28)</f>
        <v>0.12500000000000011</v>
      </c>
      <c r="AN7" s="144">
        <f>$G$14*$AC$28</f>
        <v>47.023800000000001</v>
      </c>
      <c r="AO7" s="170">
        <f t="shared" si="5"/>
        <v>4.3391000301366492E-4</v>
      </c>
      <c r="AP7" s="142">
        <f t="shared" si="6"/>
        <v>0.16323277759771165</v>
      </c>
      <c r="AQ7" s="165">
        <f t="shared" si="7"/>
        <v>2.3001602133447009E-10</v>
      </c>
      <c r="AR7" s="187">
        <f t="shared" ref="AR7:AR18" si="14">SUM($AB$83:$AB$98)</f>
        <v>3.3546039133786429E-7</v>
      </c>
      <c r="AS7" s="163">
        <f t="shared" si="8"/>
        <v>8.8835332162594029E-6</v>
      </c>
      <c r="AT7" s="148">
        <f t="shared" ref="AT7:AT18" si="15">(AR7/AS7)*10^6</f>
        <v>37762.046155675533</v>
      </c>
    </row>
    <row r="8" spans="2:46" ht="15.75" thickBot="1" x14ac:dyDescent="0.3">
      <c r="B8" s="220" t="s">
        <v>154</v>
      </c>
      <c r="C8" s="3">
        <v>8314</v>
      </c>
      <c r="D8" s="224"/>
      <c r="E8" s="224"/>
      <c r="F8" s="221" t="s">
        <v>24</v>
      </c>
      <c r="G8" s="3">
        <v>0</v>
      </c>
      <c r="K8" s="6" t="s">
        <v>32</v>
      </c>
      <c r="L8" s="6">
        <v>32</v>
      </c>
      <c r="N8" s="88">
        <v>10</v>
      </c>
      <c r="O8" s="97">
        <v>0.98</v>
      </c>
      <c r="P8" s="88">
        <v>4958.5160000000005</v>
      </c>
      <c r="Q8" s="96">
        <v>2217.0174136615424</v>
      </c>
      <c r="R8" s="211">
        <f t="shared" si="9"/>
        <v>6.5681391066181393E-6</v>
      </c>
      <c r="S8" s="165">
        <f t="shared" si="10"/>
        <v>1.3801148544360864E-7</v>
      </c>
      <c r="T8" s="96">
        <f>(O8*$G$12*$AC$28)</f>
        <v>7.84</v>
      </c>
      <c r="U8" s="96">
        <f>O8*$G$13*$AC$28</f>
        <v>8.82</v>
      </c>
      <c r="V8" s="134">
        <f>(($G$15/2)*(1-O8)*$AC$28)</f>
        <v>0.25000000000000022</v>
      </c>
      <c r="W8" s="144">
        <f>$G$14*$AC$28</f>
        <v>47.023800000000001</v>
      </c>
      <c r="X8" s="170">
        <f t="shared" si="0"/>
        <v>8.6257178402255491E-4</v>
      </c>
      <c r="Y8" s="142">
        <f t="shared" si="1"/>
        <v>0.16224561223007913</v>
      </c>
      <c r="Z8" s="165">
        <f t="shared" si="2"/>
        <v>4.2670208645301132E-11</v>
      </c>
      <c r="AA8" s="187">
        <f t="shared" si="11"/>
        <v>4.1987251671933932E-7</v>
      </c>
      <c r="AB8" s="163">
        <f t="shared" si="3"/>
        <v>8.8235987080545875E-6</v>
      </c>
      <c r="AC8" s="148">
        <f t="shared" si="12"/>
        <v>47585.178180877643</v>
      </c>
      <c r="AE8" s="88">
        <v>10</v>
      </c>
      <c r="AF8" s="97">
        <v>0.98</v>
      </c>
      <c r="AG8" s="88">
        <v>4958.5160000000005</v>
      </c>
      <c r="AH8" s="86">
        <v>2357.4217456957945</v>
      </c>
      <c r="AI8" s="211">
        <f t="shared" si="13"/>
        <v>6.5681391066181393E-6</v>
      </c>
      <c r="AJ8" s="165">
        <f t="shared" si="4"/>
        <v>1.3801148544360864E-7</v>
      </c>
      <c r="AK8" s="96">
        <f>(AF8*$G$12*$AC$28)</f>
        <v>7.84</v>
      </c>
      <c r="AL8" s="96">
        <f>AF8*$G$13*$AC$28</f>
        <v>8.82</v>
      </c>
      <c r="AM8" s="134">
        <f>(($G$15/2)*(1-AF8)*$AC$28)</f>
        <v>0.25000000000000022</v>
      </c>
      <c r="AN8" s="144">
        <f>$G$14*$AC$28</f>
        <v>47.023800000000001</v>
      </c>
      <c r="AO8" s="170">
        <f t="shared" si="5"/>
        <v>8.6257178402255491E-4</v>
      </c>
      <c r="AP8" s="142">
        <f t="shared" si="6"/>
        <v>0.16224561223007913</v>
      </c>
      <c r="AQ8" s="165">
        <f t="shared" si="7"/>
        <v>2.6398402420002209E-10</v>
      </c>
      <c r="AR8" s="187">
        <f t="shared" si="14"/>
        <v>3.3546039133786429E-7</v>
      </c>
      <c r="AS8" s="163">
        <f t="shared" si="8"/>
        <v>8.8235987080545875E-6</v>
      </c>
      <c r="AT8" s="148">
        <f t="shared" si="15"/>
        <v>38018.545769952187</v>
      </c>
    </row>
    <row r="9" spans="2:46" ht="15.75" thickBot="1" x14ac:dyDescent="0.3">
      <c r="B9" s="95" t="s">
        <v>160</v>
      </c>
      <c r="C9" s="3">
        <f>1*10^5</f>
        <v>100000</v>
      </c>
      <c r="D9" s="224"/>
      <c r="E9" s="224"/>
      <c r="N9" s="88">
        <v>10</v>
      </c>
      <c r="O9" s="458">
        <v>0.97</v>
      </c>
      <c r="P9" s="457">
        <v>4905.2740000000003</v>
      </c>
      <c r="Q9" s="96">
        <v>2204.442137403697</v>
      </c>
      <c r="R9" s="459">
        <f t="shared" si="9"/>
        <v>6.5681391066181393E-6</v>
      </c>
      <c r="S9" s="460">
        <f t="shared" si="10"/>
        <v>1.3722664834965394E-7</v>
      </c>
      <c r="T9" s="461">
        <f>(O9*$G$12*$AC$28)</f>
        <v>7.76</v>
      </c>
      <c r="U9" s="461">
        <f>O9*$G$13*$AC$28</f>
        <v>8.73</v>
      </c>
      <c r="V9" s="462">
        <f>(($G$15/2)*(1-O9)*$AC$28)</f>
        <v>0.37500000000000033</v>
      </c>
      <c r="W9" s="463">
        <f>$G$14*$AC$28</f>
        <v>47.023800000000001</v>
      </c>
      <c r="X9" s="464">
        <f t="shared" si="0"/>
        <v>1.2864998282780069E-3</v>
      </c>
      <c r="Y9" s="465">
        <f t="shared" si="1"/>
        <v>0.16132296166661145</v>
      </c>
      <c r="Z9" s="460">
        <f t="shared" si="2"/>
        <v>4.3516077617348181E-11</v>
      </c>
      <c r="AA9" s="187">
        <f t="shared" si="11"/>
        <v>4.1987251671933932E-7</v>
      </c>
      <c r="AB9" s="466">
        <f t="shared" si="3"/>
        <v>8.7672458910813705E-6</v>
      </c>
      <c r="AC9" s="467">
        <f t="shared" si="12"/>
        <v>47891.039208386042</v>
      </c>
      <c r="AE9" s="88">
        <v>10</v>
      </c>
      <c r="AF9" s="458">
        <v>0.97</v>
      </c>
      <c r="AG9" s="457">
        <v>4905.2740000000003</v>
      </c>
      <c r="AH9" s="458">
        <v>2340.8651830428967</v>
      </c>
      <c r="AI9" s="459">
        <f t="shared" si="13"/>
        <v>6.5681391066181393E-6</v>
      </c>
      <c r="AJ9" s="460">
        <f t="shared" si="4"/>
        <v>1.3722664834965394E-7</v>
      </c>
      <c r="AK9" s="461">
        <f>(AF9*$G$12*$AC$28)</f>
        <v>7.76</v>
      </c>
      <c r="AL9" s="461">
        <f>AF9*$G$13*$AC$28</f>
        <v>8.73</v>
      </c>
      <c r="AM9" s="462">
        <f>(($G$15/2)*(1-AF9)*$AC$28)</f>
        <v>0.37500000000000033</v>
      </c>
      <c r="AN9" s="463">
        <f>$G$14*$AC$28</f>
        <v>47.023800000000001</v>
      </c>
      <c r="AO9" s="464">
        <f t="shared" si="5"/>
        <v>1.2864998282780069E-3</v>
      </c>
      <c r="AP9" s="465">
        <f t="shared" si="6"/>
        <v>0.16132296166661145</v>
      </c>
      <c r="AQ9" s="460">
        <f t="shared" si="7"/>
        <v>2.6152742521266248E-10</v>
      </c>
      <c r="AR9" s="187">
        <f t="shared" si="14"/>
        <v>3.3546039133786429E-7</v>
      </c>
      <c r="AS9" s="466">
        <f t="shared" si="8"/>
        <v>8.7672458910813705E-6</v>
      </c>
      <c r="AT9" s="467">
        <f t="shared" si="15"/>
        <v>38262.91580108607</v>
      </c>
    </row>
    <row r="10" spans="2:46" ht="18.75" thickBot="1" x14ac:dyDescent="0.3">
      <c r="B10" s="2" t="s">
        <v>67</v>
      </c>
      <c r="C10" s="3">
        <f>4.7*10^13</f>
        <v>47000000000000</v>
      </c>
      <c r="D10" s="224"/>
      <c r="E10" s="224"/>
      <c r="F10" s="323" t="s">
        <v>11</v>
      </c>
      <c r="G10" s="324"/>
      <c r="K10" s="2" t="s">
        <v>39</v>
      </c>
      <c r="L10" s="217" t="s">
        <v>166</v>
      </c>
      <c r="N10" s="88">
        <v>10</v>
      </c>
      <c r="O10" s="97">
        <v>0.96</v>
      </c>
      <c r="P10" s="88">
        <v>4852.0320000000002</v>
      </c>
      <c r="Q10" s="96">
        <v>2191.7583363665422</v>
      </c>
      <c r="R10" s="211">
        <f t="shared" si="9"/>
        <v>6.5681391066181393E-6</v>
      </c>
      <c r="S10" s="165">
        <f t="shared" si="10"/>
        <v>1.3649499390312011E-7</v>
      </c>
      <c r="T10" s="96">
        <f>(O10*$G$12*$AC$28)</f>
        <v>7.68</v>
      </c>
      <c r="U10" s="96">
        <f>O10*$G$13*$AC$28</f>
        <v>8.64</v>
      </c>
      <c r="V10" s="134">
        <f>(($G$15/2)*(1-O10)*$AC$28)</f>
        <v>0.50000000000000044</v>
      </c>
      <c r="W10" s="144">
        <f>$G$14*$AC$28</f>
        <v>47.023800000000001</v>
      </c>
      <c r="X10" s="170">
        <f t="shared" si="0"/>
        <v>1.7061874237890033E-3</v>
      </c>
      <c r="Y10" s="142">
        <f t="shared" si="1"/>
        <v>0.16046283235753853</v>
      </c>
      <c r="Z10" s="165">
        <f t="shared" si="2"/>
        <v>4.1715327001998723E-11</v>
      </c>
      <c r="AA10" s="187">
        <f t="shared" si="11"/>
        <v>4.1987251671933932E-7</v>
      </c>
      <c r="AB10" s="163">
        <f t="shared" si="3"/>
        <v>8.7143590917520203E-6</v>
      </c>
      <c r="AC10" s="148">
        <f t="shared" si="12"/>
        <v>48181.686375162222</v>
      </c>
      <c r="AE10" s="88">
        <v>10</v>
      </c>
      <c r="AF10" s="97">
        <v>0.96</v>
      </c>
      <c r="AG10" s="88">
        <v>4852.0320000000002</v>
      </c>
      <c r="AH10" s="86">
        <v>2324.2344963135702</v>
      </c>
      <c r="AI10" s="211">
        <f t="shared" si="13"/>
        <v>6.5681391066181393E-6</v>
      </c>
      <c r="AJ10" s="165">
        <f t="shared" si="4"/>
        <v>1.3649499390312011E-7</v>
      </c>
      <c r="AK10" s="96">
        <f>(AF10*$G$12*$AC$28)</f>
        <v>7.68</v>
      </c>
      <c r="AL10" s="96">
        <f>AF10*$G$13*$AC$28</f>
        <v>8.64</v>
      </c>
      <c r="AM10" s="134">
        <f>(($G$15/2)*(1-AF10)*$AC$28)</f>
        <v>0.50000000000000044</v>
      </c>
      <c r="AN10" s="144">
        <f>$G$14*$AC$28</f>
        <v>47.023800000000001</v>
      </c>
      <c r="AO10" s="170">
        <f t="shared" si="5"/>
        <v>1.7061874237890033E-3</v>
      </c>
      <c r="AP10" s="142">
        <f t="shared" si="6"/>
        <v>0.16046283235753853</v>
      </c>
      <c r="AQ10" s="165">
        <f t="shared" si="7"/>
        <v>2.4347234536183231E-10</v>
      </c>
      <c r="AR10" s="187">
        <f t="shared" si="14"/>
        <v>3.3546039133786429E-7</v>
      </c>
      <c r="AS10" s="163">
        <f t="shared" si="8"/>
        <v>8.7143590917520203E-6</v>
      </c>
      <c r="AT10" s="148">
        <f t="shared" si="15"/>
        <v>38495.130600639503</v>
      </c>
    </row>
    <row r="11" spans="2:46" ht="18.75" thickBot="1" x14ac:dyDescent="0.3">
      <c r="B11" s="2" t="s">
        <v>174</v>
      </c>
      <c r="C11" s="3">
        <v>-67837</v>
      </c>
      <c r="D11" s="224"/>
      <c r="E11" s="224"/>
      <c r="F11" s="4" t="s">
        <v>17</v>
      </c>
      <c r="G11" s="4">
        <f>(G15/2)</f>
        <v>12.5</v>
      </c>
      <c r="K11" s="19" t="s">
        <v>40</v>
      </c>
      <c r="L11" s="16">
        <v>259.2</v>
      </c>
      <c r="N11" s="88">
        <v>10</v>
      </c>
      <c r="O11" s="86">
        <v>0.95</v>
      </c>
      <c r="P11" s="88">
        <v>4798.79</v>
      </c>
      <c r="Q11" s="96">
        <v>2178.9640413985048</v>
      </c>
      <c r="R11" s="211">
        <f t="shared" si="9"/>
        <v>6.5681391066181393E-6</v>
      </c>
      <c r="S11" s="165">
        <f t="shared" si="10"/>
        <v>1.358149665030406E-7</v>
      </c>
      <c r="T11" s="96">
        <f>(O11*$G$12*$AC$28)</f>
        <v>7.6</v>
      </c>
      <c r="U11" s="96">
        <f>O11*$G$13*$AC$28</f>
        <v>8.5499999999999989</v>
      </c>
      <c r="V11" s="134">
        <f>(($G$15/2)*(1-O11)*$AC$28)</f>
        <v>0.62500000000000056</v>
      </c>
      <c r="W11" s="144">
        <f>$G$14*$AC$28</f>
        <v>47.023800000000001</v>
      </c>
      <c r="X11" s="170">
        <f t="shared" si="0"/>
        <v>2.1221088516100114E-3</v>
      </c>
      <c r="Y11" s="142">
        <f t="shared" si="1"/>
        <v>0.15966339554614201</v>
      </c>
      <c r="Z11" s="165">
        <f t="shared" si="2"/>
        <v>3.8598480274712552E-11</v>
      </c>
      <c r="AA11" s="187">
        <f t="shared" si="11"/>
        <v>4.1987251671933932E-7</v>
      </c>
      <c r="AB11" s="163">
        <f t="shared" si="3"/>
        <v>8.6648318849341872E-6</v>
      </c>
      <c r="AC11" s="148">
        <f t="shared" si="12"/>
        <v>48457.08748826215</v>
      </c>
      <c r="AE11" s="88">
        <v>10</v>
      </c>
      <c r="AF11" s="86">
        <v>0.95</v>
      </c>
      <c r="AG11" s="88">
        <v>4798.79</v>
      </c>
      <c r="AH11" s="86">
        <v>2307.5237408041567</v>
      </c>
      <c r="AI11" s="211">
        <f t="shared" si="13"/>
        <v>6.5681391066181393E-6</v>
      </c>
      <c r="AJ11" s="165">
        <f t="shared" si="4"/>
        <v>1.358149665030406E-7</v>
      </c>
      <c r="AK11" s="96">
        <f>(AF11*$G$12*$AC$28)</f>
        <v>7.6</v>
      </c>
      <c r="AL11" s="96">
        <f>AF11*$G$13*$AC$28</f>
        <v>8.5499999999999989</v>
      </c>
      <c r="AM11" s="134">
        <f>(($G$15/2)*(1-AF11)*$AC$28)</f>
        <v>0.62500000000000056</v>
      </c>
      <c r="AN11" s="144">
        <f>$G$14*$AC$28</f>
        <v>47.023800000000001</v>
      </c>
      <c r="AO11" s="170">
        <f t="shared" si="5"/>
        <v>2.1221088516100114E-3</v>
      </c>
      <c r="AP11" s="142">
        <f t="shared" si="6"/>
        <v>0.15966339554614201</v>
      </c>
      <c r="AQ11" s="165">
        <f t="shared" si="7"/>
        <v>2.1870343733231412E-10</v>
      </c>
      <c r="AR11" s="187">
        <f t="shared" si="14"/>
        <v>3.3546039133786429E-7</v>
      </c>
      <c r="AS11" s="163">
        <f t="shared" si="8"/>
        <v>8.6648318849341872E-6</v>
      </c>
      <c r="AT11" s="148">
        <f t="shared" si="15"/>
        <v>38715.164447811127</v>
      </c>
    </row>
    <row r="12" spans="2:46" ht="18.75" thickBot="1" x14ac:dyDescent="0.3">
      <c r="B12" s="2" t="s">
        <v>175</v>
      </c>
      <c r="C12" s="86">
        <f>(((10^5*($C$4*$C$6)*10^-6)/($C$8*$C$7)))</f>
        <v>6.5681391066181393E-6</v>
      </c>
      <c r="D12" s="141"/>
      <c r="E12" s="141"/>
      <c r="F12" s="5" t="s">
        <v>13</v>
      </c>
      <c r="G12" s="5">
        <f>G6</f>
        <v>8</v>
      </c>
      <c r="K12" s="20" t="s">
        <v>42</v>
      </c>
      <c r="L12" s="17">
        <v>393.5</v>
      </c>
      <c r="N12" s="88">
        <v>10</v>
      </c>
      <c r="O12" s="86">
        <v>0.9</v>
      </c>
      <c r="P12" s="88">
        <v>4532.5800000000008</v>
      </c>
      <c r="Q12" s="96">
        <v>2113.2640662102949</v>
      </c>
      <c r="R12" s="211">
        <f t="shared" si="9"/>
        <v>6.5681391066181393E-6</v>
      </c>
      <c r="S12" s="165">
        <f t="shared" si="10"/>
        <v>1.331435774811735E-7</v>
      </c>
      <c r="T12" s="96">
        <f>(O12*$G$12*$AC$28)</f>
        <v>7.2</v>
      </c>
      <c r="U12" s="96">
        <f>O12*$G$13*$AC$28</f>
        <v>8.1</v>
      </c>
      <c r="V12" s="134">
        <f>(($G$15/2)*(1-O12)*$AC$28)</f>
        <v>1.2499999999999998</v>
      </c>
      <c r="W12" s="144">
        <f>$G$14*$AC$28</f>
        <v>47.023800000000001</v>
      </c>
      <c r="X12" s="170">
        <f t="shared" si="0"/>
        <v>4.160736796286672E-3</v>
      </c>
      <c r="Y12" s="142">
        <f t="shared" si="1"/>
        <v>0.15652292396898015</v>
      </c>
      <c r="Z12" s="165">
        <f t="shared" si="2"/>
        <v>2.0127640361032782E-11</v>
      </c>
      <c r="AA12" s="187">
        <f t="shared" si="11"/>
        <v>4.1987251671933932E-7</v>
      </c>
      <c r="AB12" s="163">
        <f t="shared" si="3"/>
        <v>8.4644431660726279E-6</v>
      </c>
      <c r="AC12" s="148">
        <f t="shared" si="12"/>
        <v>49604.269115100426</v>
      </c>
      <c r="AE12" s="88">
        <v>10</v>
      </c>
      <c r="AF12" s="86">
        <v>0.9</v>
      </c>
      <c r="AG12" s="88">
        <v>4532.5800000000008</v>
      </c>
      <c r="AH12" s="86">
        <v>2222.6844526653595</v>
      </c>
      <c r="AI12" s="211">
        <f t="shared" si="13"/>
        <v>6.5681391066181393E-6</v>
      </c>
      <c r="AJ12" s="165">
        <f t="shared" si="4"/>
        <v>1.331435774811735E-7</v>
      </c>
      <c r="AK12" s="96">
        <f>(AF12*$G$12*$AC$28)</f>
        <v>7.2</v>
      </c>
      <c r="AL12" s="96">
        <f>AF12*$G$13*$AC$28</f>
        <v>8.1</v>
      </c>
      <c r="AM12" s="134">
        <f>(($G$15/2)*(1-AF12)*$AC$28)</f>
        <v>1.2499999999999998</v>
      </c>
      <c r="AN12" s="144">
        <f>$G$14*$AC$28</f>
        <v>47.023800000000001</v>
      </c>
      <c r="AO12" s="170">
        <f t="shared" si="5"/>
        <v>4.160736796286672E-3</v>
      </c>
      <c r="AP12" s="142">
        <f t="shared" si="6"/>
        <v>0.15652292396898015</v>
      </c>
      <c r="AQ12" s="165">
        <f t="shared" si="7"/>
        <v>9.7745904336222125E-11</v>
      </c>
      <c r="AR12" s="187">
        <f t="shared" si="14"/>
        <v>3.3546039133786429E-7</v>
      </c>
      <c r="AS12" s="163">
        <f t="shared" si="8"/>
        <v>8.4644431660726279E-6</v>
      </c>
      <c r="AT12" s="148">
        <f t="shared" si="15"/>
        <v>39631.714072162977</v>
      </c>
    </row>
    <row r="13" spans="2:46" ht="18.75" customHeight="1" thickBot="1" x14ac:dyDescent="0.3">
      <c r="B13" s="2" t="s">
        <v>179</v>
      </c>
      <c r="C13" s="3">
        <v>1.17</v>
      </c>
      <c r="F13" s="5" t="s">
        <v>14</v>
      </c>
      <c r="G13" s="5">
        <f>(G7/2)</f>
        <v>9</v>
      </c>
      <c r="K13" s="21" t="s">
        <v>52</v>
      </c>
      <c r="L13" s="18">
        <v>241.8</v>
      </c>
      <c r="N13" s="88">
        <v>10</v>
      </c>
      <c r="O13" s="97">
        <v>0.85</v>
      </c>
      <c r="P13" s="88">
        <v>4266.37</v>
      </c>
      <c r="Q13" s="96">
        <v>2044.4901931097993</v>
      </c>
      <c r="R13" s="211">
        <f t="shared" si="9"/>
        <v>6.5681391066181393E-6</v>
      </c>
      <c r="S13" s="165">
        <f t="shared" si="10"/>
        <v>1.3159718962638479E-7</v>
      </c>
      <c r="T13" s="96">
        <f>(O13*$G$12*$AC$28)</f>
        <v>6.8</v>
      </c>
      <c r="U13" s="96">
        <f>O13*$G$13*$AC$28</f>
        <v>7.6499999999999995</v>
      </c>
      <c r="V13" s="134">
        <f>(($G$15/2)*(1-O13)*$AC$28)</f>
        <v>1.8750000000000002</v>
      </c>
      <c r="W13" s="144">
        <f>$G$14*$AC$28</f>
        <v>47.023800000000001</v>
      </c>
      <c r="X13" s="170">
        <f t="shared" si="0"/>
        <v>6.1686182637367875E-3</v>
      </c>
      <c r="Y13" s="142">
        <f t="shared" si="1"/>
        <v>0.15470499813882985</v>
      </c>
      <c r="Z13" s="165">
        <f t="shared" si="2"/>
        <v>8.2275071727096224E-12</v>
      </c>
      <c r="AA13" s="187">
        <f t="shared" si="11"/>
        <v>4.1987251671933932E-7</v>
      </c>
      <c r="AB13" s="163">
        <f t="shared" si="3"/>
        <v>8.3365240462039239E-6</v>
      </c>
      <c r="AC13" s="148">
        <f t="shared" si="12"/>
        <v>50365.417815897774</v>
      </c>
      <c r="AE13" s="88">
        <v>10</v>
      </c>
      <c r="AF13" s="97">
        <v>0.85</v>
      </c>
      <c r="AG13" s="88">
        <v>4266.37</v>
      </c>
      <c r="AH13" s="86">
        <v>2135.4957595947385</v>
      </c>
      <c r="AI13" s="211">
        <f t="shared" si="13"/>
        <v>6.5681391066181393E-6</v>
      </c>
      <c r="AJ13" s="165">
        <f t="shared" si="4"/>
        <v>1.3159718962638479E-7</v>
      </c>
      <c r="AK13" s="96">
        <f>(AF13*$G$12*$AC$28)</f>
        <v>6.8</v>
      </c>
      <c r="AL13" s="96">
        <f>AF13*$G$13*$AC$28</f>
        <v>7.6499999999999995</v>
      </c>
      <c r="AM13" s="134">
        <f>(($G$15/2)*(1-AF13)*$AC$28)</f>
        <v>1.8750000000000002</v>
      </c>
      <c r="AN13" s="144">
        <f>$G$14*$AC$28</f>
        <v>47.023800000000001</v>
      </c>
      <c r="AO13" s="170">
        <f t="shared" si="5"/>
        <v>6.1686182637367875E-3</v>
      </c>
      <c r="AP13" s="142">
        <f t="shared" si="6"/>
        <v>0.15470499813882985</v>
      </c>
      <c r="AQ13" s="165">
        <f t="shared" si="7"/>
        <v>3.383472866745604E-11</v>
      </c>
      <c r="AR13" s="187">
        <f t="shared" si="14"/>
        <v>3.3546039133786429E-7</v>
      </c>
      <c r="AS13" s="163">
        <f t="shared" si="8"/>
        <v>8.3365240462039239E-6</v>
      </c>
      <c r="AT13" s="148">
        <f t="shared" si="15"/>
        <v>40239.839707607847</v>
      </c>
    </row>
    <row r="14" spans="2:46" ht="18.75" customHeight="1" thickBot="1" x14ac:dyDescent="0.3">
      <c r="B14" s="220" t="s">
        <v>72</v>
      </c>
      <c r="C14" s="3">
        <v>1800</v>
      </c>
      <c r="F14" s="7" t="s">
        <v>15</v>
      </c>
      <c r="G14" s="7">
        <f>G11*L7</f>
        <v>47.023800000000001</v>
      </c>
      <c r="K14" s="22" t="s">
        <v>53</v>
      </c>
      <c r="L14" s="6">
        <v>285.8</v>
      </c>
      <c r="N14" s="88">
        <v>10</v>
      </c>
      <c r="O14" s="86">
        <v>0.8</v>
      </c>
      <c r="P14" s="88">
        <v>4000.1600000000008</v>
      </c>
      <c r="Q14" s="96">
        <v>1972.3703306828156</v>
      </c>
      <c r="R14" s="211">
        <f t="shared" si="9"/>
        <v>6.5681391066181393E-6</v>
      </c>
      <c r="S14" s="165">
        <f t="shared" si="10"/>
        <v>1.3110058097042195E-7</v>
      </c>
      <c r="T14" s="96">
        <f>(O14*$G$12*$AC$28)</f>
        <v>6.4</v>
      </c>
      <c r="U14" s="96">
        <f>O14*$G$13*$AC$28</f>
        <v>7.2</v>
      </c>
      <c r="V14" s="134">
        <f>(($G$15/2)*(1-O14)*$AC$28)</f>
        <v>2.4999999999999996</v>
      </c>
      <c r="W14" s="144">
        <f>$G$14*$AC$28</f>
        <v>47.023800000000001</v>
      </c>
      <c r="X14" s="170">
        <f t="shared" si="0"/>
        <v>8.1937863106513707E-3</v>
      </c>
      <c r="Y14" s="142">
        <f t="shared" si="1"/>
        <v>0.15412118748592321</v>
      </c>
      <c r="Z14" s="165">
        <f t="shared" si="2"/>
        <v>2.80782226603835E-12</v>
      </c>
      <c r="AA14" s="187">
        <f t="shared" si="11"/>
        <v>4.1987251671933932E-7</v>
      </c>
      <c r="AB14" s="163">
        <f t="shared" si="3"/>
        <v>8.2755668530607212E-6</v>
      </c>
      <c r="AC14" s="148">
        <f t="shared" si="12"/>
        <v>50736.405635349234</v>
      </c>
      <c r="AE14" s="88">
        <v>10</v>
      </c>
      <c r="AF14" s="86">
        <v>0.8</v>
      </c>
      <c r="AG14" s="88">
        <v>4000.1600000000008</v>
      </c>
      <c r="AH14" s="86">
        <v>2045.6734007270011</v>
      </c>
      <c r="AI14" s="211">
        <f t="shared" si="13"/>
        <v>6.5681391066181393E-6</v>
      </c>
      <c r="AJ14" s="165">
        <f t="shared" si="4"/>
        <v>1.3110058097042195E-7</v>
      </c>
      <c r="AK14" s="96">
        <f>(AF14*$G$12*$AC$28)</f>
        <v>6.4</v>
      </c>
      <c r="AL14" s="96">
        <f>AF14*$G$13*$AC$28</f>
        <v>7.2</v>
      </c>
      <c r="AM14" s="134">
        <f>(($G$15/2)*(1-AF14)*$AC$28)</f>
        <v>2.4999999999999996</v>
      </c>
      <c r="AN14" s="144">
        <f>$G$14*$AC$28</f>
        <v>47.023800000000001</v>
      </c>
      <c r="AO14" s="170">
        <f t="shared" si="5"/>
        <v>8.1937863106513707E-3</v>
      </c>
      <c r="AP14" s="142">
        <f t="shared" si="6"/>
        <v>0.15412118748592321</v>
      </c>
      <c r="AQ14" s="165">
        <f t="shared" si="7"/>
        <v>9.6296244859535779E-12</v>
      </c>
      <c r="AR14" s="187">
        <f t="shared" si="14"/>
        <v>3.3546039133786429E-7</v>
      </c>
      <c r="AS14" s="163">
        <f t="shared" si="8"/>
        <v>8.2755668530607212E-6</v>
      </c>
      <c r="AT14" s="148">
        <f t="shared" si="15"/>
        <v>40536.243292360588</v>
      </c>
    </row>
    <row r="15" spans="2:46" ht="15.75" thickBot="1" x14ac:dyDescent="0.3">
      <c r="B15" s="220" t="s">
        <v>72</v>
      </c>
      <c r="C15" s="3">
        <f>1800*(360/60)</f>
        <v>10800</v>
      </c>
      <c r="F15" s="6" t="s">
        <v>25</v>
      </c>
      <c r="G15" s="6">
        <f>(2*G12)+G13</f>
        <v>25</v>
      </c>
      <c r="N15" s="88">
        <v>10</v>
      </c>
      <c r="O15" s="97">
        <v>0.75</v>
      </c>
      <c r="P15" s="88">
        <v>3733.9500000000003</v>
      </c>
      <c r="Q15" s="96">
        <v>1896.6299089787506</v>
      </c>
      <c r="R15" s="211">
        <f t="shared" si="9"/>
        <v>6.5681391066181393E-6</v>
      </c>
      <c r="S15" s="165">
        <f t="shared" si="10"/>
        <v>1.3163015588650725E-7</v>
      </c>
      <c r="T15" s="96">
        <f>(O15*$G$12*$AC$28)</f>
        <v>6</v>
      </c>
      <c r="U15" s="96">
        <f>O15*$G$13*$AC$28</f>
        <v>6.75</v>
      </c>
      <c r="V15" s="134">
        <f>(($G$15/2)*(1-O15)*$AC$28)</f>
        <v>3.125</v>
      </c>
      <c r="W15" s="144">
        <f>$G$14*$AC$28</f>
        <v>47.023800000000001</v>
      </c>
      <c r="X15" s="170">
        <f t="shared" si="0"/>
        <v>1.028360592863338E-2</v>
      </c>
      <c r="Y15" s="142">
        <f t="shared" si="1"/>
        <v>0.1547437531093985</v>
      </c>
      <c r="Z15" s="165">
        <f t="shared" si="2"/>
        <v>7.9975081298081172E-13</v>
      </c>
      <c r="AA15" s="187">
        <f t="shared" si="11"/>
        <v>4.1987251671933932E-7</v>
      </c>
      <c r="AB15" s="163">
        <f t="shared" si="3"/>
        <v>8.279378849074243E-6</v>
      </c>
      <c r="AC15" s="148">
        <f t="shared" si="12"/>
        <v>50713.045552479736</v>
      </c>
      <c r="AE15" s="88">
        <v>10</v>
      </c>
      <c r="AF15" s="97">
        <v>0.75</v>
      </c>
      <c r="AG15" s="88">
        <v>3733.9500000000003</v>
      </c>
      <c r="AH15" s="86">
        <v>1952.9587154667636</v>
      </c>
      <c r="AI15" s="211">
        <f t="shared" si="13"/>
        <v>6.5681391066181393E-6</v>
      </c>
      <c r="AJ15" s="165">
        <f t="shared" si="4"/>
        <v>1.3163015588650725E-7</v>
      </c>
      <c r="AK15" s="96">
        <f>(AF15*$G$12*$AC$28)</f>
        <v>6</v>
      </c>
      <c r="AL15" s="96">
        <f>AF15*$G$13*$AC$28</f>
        <v>6.75</v>
      </c>
      <c r="AM15" s="134">
        <f>(($G$15/2)*(1-AF15)*$AC$28)</f>
        <v>3.125</v>
      </c>
      <c r="AN15" s="144">
        <f>$G$14*$AC$28</f>
        <v>47.023800000000001</v>
      </c>
      <c r="AO15" s="170">
        <f t="shared" si="5"/>
        <v>1.028360592863338E-2</v>
      </c>
      <c r="AP15" s="142">
        <f t="shared" si="6"/>
        <v>0.1547437531093985</v>
      </c>
      <c r="AQ15" s="165">
        <f t="shared" si="7"/>
        <v>2.2437961159591925E-12</v>
      </c>
      <c r="AR15" s="187">
        <f t="shared" si="14"/>
        <v>3.3546039133786429E-7</v>
      </c>
      <c r="AS15" s="163">
        <f t="shared" si="8"/>
        <v>8.279378849074243E-6</v>
      </c>
      <c r="AT15" s="148">
        <f t="shared" si="15"/>
        <v>40517.579573662544</v>
      </c>
    </row>
    <row r="16" spans="2:46" ht="15.75" thickBot="1" x14ac:dyDescent="0.3">
      <c r="F16" s="224"/>
      <c r="G16" s="224"/>
      <c r="J16" s="323" t="s">
        <v>169</v>
      </c>
      <c r="K16" s="333"/>
      <c r="L16" s="324"/>
      <c r="N16" s="88">
        <v>10</v>
      </c>
      <c r="O16" s="86">
        <v>0.7</v>
      </c>
      <c r="P16" s="88">
        <v>3467.74</v>
      </c>
      <c r="Q16" s="96">
        <v>1817.0066439991783</v>
      </c>
      <c r="R16" s="211">
        <f t="shared" si="9"/>
        <v>6.5681391066181393E-6</v>
      </c>
      <c r="S16" s="165">
        <f t="shared" si="10"/>
        <v>1.3321108594991789E-7</v>
      </c>
      <c r="T16" s="96">
        <f>(O16*$G$12*$AC$28)</f>
        <v>5.6</v>
      </c>
      <c r="U16" s="96">
        <f>O16*$G$13*$AC$28</f>
        <v>6.3</v>
      </c>
      <c r="V16" s="134">
        <f>(($G$15/2)*(1-O16)*$AC$28)</f>
        <v>3.7500000000000004</v>
      </c>
      <c r="W16" s="144">
        <f>$G$14*$AC$28</f>
        <v>47.023800000000001</v>
      </c>
      <c r="X16" s="170">
        <f t="shared" si="0"/>
        <v>1.2488539307804806E-2</v>
      </c>
      <c r="Y16" s="142">
        <f t="shared" si="1"/>
        <v>0.15660228658729375</v>
      </c>
      <c r="Z16" s="165">
        <f t="shared" si="2"/>
        <v>1.8604968490737604E-13</v>
      </c>
      <c r="AA16" s="187">
        <f t="shared" si="11"/>
        <v>4.1987251671933932E-7</v>
      </c>
      <c r="AB16" s="163">
        <f t="shared" si="3"/>
        <v>8.3488449586079632E-6</v>
      </c>
      <c r="AC16" s="148">
        <f t="shared" si="12"/>
        <v>50291.090420410248</v>
      </c>
      <c r="AE16" s="88">
        <v>10</v>
      </c>
      <c r="AF16" s="86">
        <v>0.7</v>
      </c>
      <c r="AG16" s="88">
        <v>3467.74</v>
      </c>
      <c r="AH16" s="86">
        <v>1857.1459153237527</v>
      </c>
      <c r="AI16" s="211">
        <f t="shared" si="13"/>
        <v>6.5681391066181393E-6</v>
      </c>
      <c r="AJ16" s="165">
        <f t="shared" si="4"/>
        <v>1.3321108594991789E-7</v>
      </c>
      <c r="AK16" s="96">
        <f>(AF16*$G$12*$AC$28)</f>
        <v>5.6</v>
      </c>
      <c r="AL16" s="96">
        <f>AF16*$G$13*$AC$28</f>
        <v>6.3</v>
      </c>
      <c r="AM16" s="134">
        <f>(($G$15/2)*(1-AF16)*$AC$28)</f>
        <v>3.7500000000000004</v>
      </c>
      <c r="AN16" s="144">
        <f>$G$14*$AC$28</f>
        <v>47.023800000000001</v>
      </c>
      <c r="AO16" s="170">
        <f t="shared" si="5"/>
        <v>1.2488539307804806E-2</v>
      </c>
      <c r="AP16" s="142">
        <f t="shared" si="6"/>
        <v>0.15660228658729375</v>
      </c>
      <c r="AQ16" s="165">
        <f t="shared" si="7"/>
        <v>4.1693882649046407E-13</v>
      </c>
      <c r="AR16" s="187">
        <f t="shared" si="14"/>
        <v>3.3546039133786429E-7</v>
      </c>
      <c r="AS16" s="163">
        <f t="shared" si="8"/>
        <v>8.3488449586079632E-6</v>
      </c>
      <c r="AT16" s="148">
        <f t="shared" si="15"/>
        <v>40180.455260699557</v>
      </c>
    </row>
    <row r="17" spans="2:46" ht="18.75" thickBot="1" x14ac:dyDescent="0.4">
      <c r="F17" s="293" t="s">
        <v>22</v>
      </c>
      <c r="G17" s="295"/>
      <c r="J17" s="414" t="s">
        <v>176</v>
      </c>
      <c r="K17" s="415"/>
      <c r="L17" s="416"/>
      <c r="N17" s="88">
        <v>10</v>
      </c>
      <c r="O17" s="86">
        <v>0.65</v>
      </c>
      <c r="P17" s="88">
        <v>3201.5300000000007</v>
      </c>
      <c r="Q17" s="96">
        <v>1733.2710989386992</v>
      </c>
      <c r="R17" s="211">
        <f t="shared" si="9"/>
        <v>6.5681391066181393E-6</v>
      </c>
      <c r="S17" s="165">
        <f t="shared" si="10"/>
        <v>1.3592036176271897E-7</v>
      </c>
      <c r="T17" s="96">
        <f>(O17*$G$12*$AC$28)</f>
        <v>5.2</v>
      </c>
      <c r="U17" s="96">
        <f>O17*$G$13*$AC$28</f>
        <v>5.8500000000000005</v>
      </c>
      <c r="V17" s="134">
        <f>(($G$15/2)*(1-O17)*$AC$28)</f>
        <v>4.375</v>
      </c>
      <c r="W17" s="144">
        <f>$G$14*$AC$28</f>
        <v>47.023800000000001</v>
      </c>
      <c r="X17" s="170">
        <f t="shared" si="0"/>
        <v>1.486628956779739E-2</v>
      </c>
      <c r="Y17" s="142">
        <f t="shared" si="1"/>
        <v>0.15978729768644362</v>
      </c>
      <c r="Z17" s="165">
        <f t="shared" si="2"/>
        <v>3.4111525486085616E-14</v>
      </c>
      <c r="AA17" s="187">
        <f t="shared" si="11"/>
        <v>4.1987251671933932E-7</v>
      </c>
      <c r="AB17" s="163">
        <f t="shared" si="3"/>
        <v>8.4880634876476858E-6</v>
      </c>
      <c r="AC17" s="148">
        <f t="shared" si="12"/>
        <v>49466.231883204193</v>
      </c>
      <c r="AE17" s="88">
        <v>10</v>
      </c>
      <c r="AF17" s="86">
        <v>0.65</v>
      </c>
      <c r="AG17" s="88">
        <v>3201.5300000000007</v>
      </c>
      <c r="AH17" s="86">
        <v>1758.1155324548247</v>
      </c>
      <c r="AI17" s="211">
        <f t="shared" si="13"/>
        <v>6.5681391066181393E-6</v>
      </c>
      <c r="AJ17" s="165">
        <f t="shared" si="4"/>
        <v>1.3592036176271897E-7</v>
      </c>
      <c r="AK17" s="96">
        <f>(AF17*$G$12*$AC$28)</f>
        <v>5.2</v>
      </c>
      <c r="AL17" s="96">
        <f>AF17*$G$13*$AC$28</f>
        <v>5.8500000000000005</v>
      </c>
      <c r="AM17" s="134">
        <f>(($G$15/2)*(1-AF17)*$AC$28)</f>
        <v>4.375</v>
      </c>
      <c r="AN17" s="144">
        <f>$G$14*$AC$28</f>
        <v>47.023800000000001</v>
      </c>
      <c r="AO17" s="170">
        <f t="shared" si="5"/>
        <v>1.486628956779739E-2</v>
      </c>
      <c r="AP17" s="142">
        <f t="shared" si="6"/>
        <v>0.15978729768644362</v>
      </c>
      <c r="AQ17" s="165">
        <f t="shared" si="7"/>
        <v>5.9305824002322983E-14</v>
      </c>
      <c r="AR17" s="187">
        <f t="shared" si="14"/>
        <v>3.3546039133786429E-7</v>
      </c>
      <c r="AS17" s="163">
        <f t="shared" si="8"/>
        <v>8.4880634876476858E-6</v>
      </c>
      <c r="AT17" s="148">
        <f t="shared" si="15"/>
        <v>39521.428159207979</v>
      </c>
    </row>
    <row r="18" spans="2:46" ht="15.75" thickBot="1" x14ac:dyDescent="0.3">
      <c r="F18" s="296"/>
      <c r="G18" s="298"/>
      <c r="N18" s="88">
        <v>10</v>
      </c>
      <c r="O18" s="225">
        <v>0.6</v>
      </c>
      <c r="P18" s="218">
        <v>2935.32</v>
      </c>
      <c r="Q18" s="96">
        <v>1645.2518815512619</v>
      </c>
      <c r="R18" s="232">
        <f t="shared" si="9"/>
        <v>6.5681391066181393E-6</v>
      </c>
      <c r="S18" s="166">
        <f t="shared" si="10"/>
        <v>1.3989646659463557E-7</v>
      </c>
      <c r="T18" s="96">
        <f>(O18*$G$12*$AC$28)</f>
        <v>4.8</v>
      </c>
      <c r="U18" s="96">
        <f>O18*$G$13*$AC$28</f>
        <v>5.3999999999999995</v>
      </c>
      <c r="V18" s="134">
        <f>(($G$15/2)*(1-O18)*$AC$28)</f>
        <v>5</v>
      </c>
      <c r="W18" s="144">
        <f>$G$14*$AC$28</f>
        <v>47.023800000000001</v>
      </c>
      <c r="X18" s="233">
        <f t="shared" si="0"/>
        <v>1.7487058324329448E-2</v>
      </c>
      <c r="Y18" s="143">
        <f t="shared" si="1"/>
        <v>0.16446158664632063</v>
      </c>
      <c r="Z18" s="165">
        <f t="shared" si="2"/>
        <v>4.6917366115904909E-15</v>
      </c>
      <c r="AA18" s="187">
        <f t="shared" si="11"/>
        <v>4.1987251671933932E-7</v>
      </c>
      <c r="AB18" s="234">
        <f t="shared" si="3"/>
        <v>8.7048897580912845E-6</v>
      </c>
      <c r="AC18" s="149">
        <f t="shared" si="12"/>
        <v>48234.099269214006</v>
      </c>
      <c r="AE18" s="88">
        <v>10</v>
      </c>
      <c r="AF18" s="259">
        <v>0.6</v>
      </c>
      <c r="AG18" s="247">
        <v>2935.32</v>
      </c>
      <c r="AH18" s="249">
        <v>1655.8692558793909</v>
      </c>
      <c r="AI18" s="232">
        <f t="shared" si="13"/>
        <v>6.5681391066181393E-6</v>
      </c>
      <c r="AJ18" s="166">
        <f t="shared" si="4"/>
        <v>1.3989646659463557E-7</v>
      </c>
      <c r="AK18" s="96">
        <f>(AF18*$G$12*$AC$28)</f>
        <v>4.8</v>
      </c>
      <c r="AL18" s="96">
        <f>AF18*$G$13*$AC$28</f>
        <v>5.3999999999999995</v>
      </c>
      <c r="AM18" s="134">
        <f>(($G$15/2)*(1-AF18)*$AC$28)</f>
        <v>5</v>
      </c>
      <c r="AN18" s="144">
        <f>$G$14*$AC$28</f>
        <v>47.023800000000001</v>
      </c>
      <c r="AO18" s="233">
        <f t="shared" si="5"/>
        <v>1.7487058324329448E-2</v>
      </c>
      <c r="AP18" s="143">
        <f t="shared" si="6"/>
        <v>0.16446158664632063</v>
      </c>
      <c r="AQ18" s="165">
        <f t="shared" si="7"/>
        <v>6.1115523026862687E-15</v>
      </c>
      <c r="AR18" s="187">
        <f t="shared" si="14"/>
        <v>3.3546039133786429E-7</v>
      </c>
      <c r="AS18" s="234">
        <f t="shared" si="8"/>
        <v>8.7048897580912845E-6</v>
      </c>
      <c r="AT18" s="149">
        <f t="shared" si="15"/>
        <v>38537.006287305405</v>
      </c>
    </row>
    <row r="19" spans="2:46" x14ac:dyDescent="0.25">
      <c r="F19" s="329" t="s">
        <v>63</v>
      </c>
      <c r="G19" s="303">
        <f>G11*((2*L5)+(L7*2*L6))</f>
        <v>1717.2997331999998</v>
      </c>
      <c r="I19" s="329" t="s">
        <v>168</v>
      </c>
      <c r="J19" s="374">
        <v>0.6</v>
      </c>
      <c r="N19" s="224"/>
    </row>
    <row r="20" spans="2:46" ht="15.75" thickBot="1" x14ac:dyDescent="0.3">
      <c r="F20" s="330"/>
      <c r="G20" s="304"/>
      <c r="I20" s="330"/>
      <c r="J20" s="375"/>
    </row>
    <row r="21" spans="2:46" ht="15.75" thickBot="1" x14ac:dyDescent="0.3">
      <c r="F21" s="329" t="s">
        <v>20</v>
      </c>
      <c r="G21" s="303">
        <f>(G6*L3)+(G7*L4)</f>
        <v>114.232</v>
      </c>
    </row>
    <row r="22" spans="2:46" ht="15.75" thickBot="1" x14ac:dyDescent="0.3">
      <c r="F22" s="330"/>
      <c r="G22" s="304"/>
      <c r="I22" s="293" t="s">
        <v>58</v>
      </c>
      <c r="J22" s="294"/>
      <c r="K22" s="294"/>
      <c r="L22" s="295"/>
    </row>
    <row r="23" spans="2:46" ht="15.75" thickBot="1" x14ac:dyDescent="0.3">
      <c r="I23" s="296"/>
      <c r="J23" s="297"/>
      <c r="K23" s="297"/>
      <c r="L23" s="298"/>
    </row>
    <row r="24" spans="2:46" x14ac:dyDescent="0.25">
      <c r="F24" s="329" t="s">
        <v>23</v>
      </c>
      <c r="G24" s="303">
        <f>G19/G21</f>
        <v>15.033438381539321</v>
      </c>
      <c r="I24" s="299" t="s">
        <v>170</v>
      </c>
      <c r="J24" s="300"/>
      <c r="K24" s="246">
        <v>1645.2518815512619</v>
      </c>
      <c r="L24" s="120"/>
    </row>
    <row r="25" spans="2:46" ht="15.75" thickBot="1" x14ac:dyDescent="0.3">
      <c r="F25" s="330"/>
      <c r="G25" s="304"/>
      <c r="I25" s="301"/>
      <c r="J25" s="302"/>
      <c r="K25" s="121"/>
      <c r="L25" s="122"/>
    </row>
    <row r="26" spans="2:46" ht="15.75" thickBot="1" x14ac:dyDescent="0.3">
      <c r="B26" s="293" t="s">
        <v>30</v>
      </c>
      <c r="C26" s="295"/>
      <c r="D26" s="329" t="s">
        <v>54</v>
      </c>
      <c r="E26" s="224"/>
      <c r="I26" s="299" t="s">
        <v>59</v>
      </c>
      <c r="J26" s="300"/>
      <c r="K26" s="376">
        <f>(T6*J19*( 8.5770134353E-19*K24^6 - 1.0374875556E-14*K24^5 + 4.9689475953E-11*K24^4 - 0.00000012019118054*K24^3 + 0.00015650954893*K24^2 - 0.048239362033*K24 + 5.2084519626) + (U6*J19*(6.6506859177E-19*K24^6 - 7.8984343104E-15*K24^5 + 3.6879849877E-11*K24^4 - 0.000000086386228559*K24^3 + 0.00011074017861*K24^2 - 0.031241611608*K24 + 3.3006694533) + (V6*(1-J19)*(5.9376621671E-19*K24^6 - 7.1020711589E-15*K24^5 + 3.3460896805E-11*K24^4 - 0.000000078909601634*K24^3 + 0.000098599769212*K24^2 - 0.028172899156*K24 + 3.05378908) + (W6*(6.4958291549E-19*K24^6 - 7.8224528491E-15*K24^5 + 3.7120417697E-11*K24^4 - 0.00000008798317617*K24^3 + 0.00010982327235*K24^2 - 0.032606444641*K24 + 3.5786489003)))))</f>
        <v>2795.5428571902935</v>
      </c>
      <c r="L26" s="120"/>
      <c r="P26" s="102"/>
    </row>
    <row r="27" spans="2:46" ht="15.75" thickBot="1" x14ac:dyDescent="0.3">
      <c r="B27" s="296"/>
      <c r="C27" s="298"/>
      <c r="D27" s="330"/>
      <c r="E27" s="140"/>
      <c r="F27" s="329" t="s">
        <v>61</v>
      </c>
      <c r="G27" s="303">
        <f>C30-B30</f>
        <v>5065.0000000000009</v>
      </c>
      <c r="I27" s="301"/>
      <c r="J27" s="302"/>
      <c r="K27" s="377"/>
      <c r="L27" s="122"/>
    </row>
    <row r="28" spans="2:46" ht="15.75" thickBot="1" x14ac:dyDescent="0.3">
      <c r="B28" s="329" t="s">
        <v>44</v>
      </c>
      <c r="C28" s="329" t="s">
        <v>45</v>
      </c>
      <c r="D28" s="329" t="s">
        <v>45</v>
      </c>
      <c r="E28" s="140"/>
      <c r="F28" s="330"/>
      <c r="G28" s="304"/>
      <c r="AB28" s="341" t="s">
        <v>222</v>
      </c>
      <c r="AC28" s="446">
        <v>1</v>
      </c>
    </row>
    <row r="29" spans="2:46" ht="15.75" thickBot="1" x14ac:dyDescent="0.3">
      <c r="B29" s="330"/>
      <c r="C29" s="330"/>
      <c r="D29" s="330"/>
      <c r="E29" s="140"/>
      <c r="F29" s="329" t="s">
        <v>62</v>
      </c>
      <c r="G29" s="303">
        <f>D30-B30</f>
        <v>5461.0000000000009</v>
      </c>
      <c r="I29" s="246" t="s">
        <v>232</v>
      </c>
      <c r="J29" s="251" t="s">
        <v>222</v>
      </c>
      <c r="K29" s="2" t="s">
        <v>238</v>
      </c>
      <c r="L29" s="3" t="s">
        <v>239</v>
      </c>
      <c r="AB29" s="342"/>
      <c r="AC29" s="447"/>
    </row>
    <row r="30" spans="2:46" ht="15.75" thickBot="1" x14ac:dyDescent="0.3">
      <c r="B30" s="303">
        <f>L11</f>
        <v>259.2</v>
      </c>
      <c r="C30" s="303">
        <f>((($G$12*$L$12)+($G$13*$L$13)+($G$14*0)))</f>
        <v>5324.2000000000007</v>
      </c>
      <c r="D30" s="303">
        <f>(((G12*L12)+(G13*L14)+(G14*0)))</f>
        <v>5720.2000000000007</v>
      </c>
      <c r="E30" s="140"/>
      <c r="F30" s="330"/>
      <c r="G30" s="304"/>
      <c r="I30" s="471">
        <v>0</v>
      </c>
      <c r="J30" s="258">
        <v>1</v>
      </c>
      <c r="K30" s="148">
        <v>28927.832386959522</v>
      </c>
      <c r="L30" s="248">
        <v>0</v>
      </c>
    </row>
    <row r="31" spans="2:46" ht="15.75" thickBot="1" x14ac:dyDescent="0.3">
      <c r="B31" s="304"/>
      <c r="C31" s="304"/>
      <c r="D31" s="304"/>
      <c r="E31" s="224"/>
      <c r="I31" s="472">
        <v>0.05</v>
      </c>
      <c r="J31" s="97">
        <v>1.05</v>
      </c>
      <c r="K31" s="148">
        <v>7948.5857194278415</v>
      </c>
      <c r="L31" s="132">
        <f>((K30-K31)/K30)*100</f>
        <v>72.52270542396046</v>
      </c>
    </row>
    <row r="32" spans="2:46" x14ac:dyDescent="0.25">
      <c r="F32" s="329" t="s">
        <v>50</v>
      </c>
      <c r="G32" s="303">
        <f>(G6*L3)+(G7*L4)</f>
        <v>114.232</v>
      </c>
      <c r="I32" s="472">
        <v>0.1</v>
      </c>
      <c r="J32" s="97">
        <v>1.1000000000000001</v>
      </c>
      <c r="K32" s="148">
        <v>3203.5797548504383</v>
      </c>
      <c r="L32" s="132">
        <f t="shared" ref="L32:L34" si="16">((K31-K32)/K31)*100</f>
        <v>59.696229393107188</v>
      </c>
    </row>
    <row r="33" spans="4:56" ht="15.75" thickBot="1" x14ac:dyDescent="0.3">
      <c r="F33" s="330"/>
      <c r="G33" s="304"/>
      <c r="I33" s="472">
        <v>0.15</v>
      </c>
      <c r="J33" s="97">
        <v>1.1499999999999999</v>
      </c>
      <c r="K33" s="148">
        <v>1303.8480885391564</v>
      </c>
      <c r="L33" s="132">
        <f t="shared" si="16"/>
        <v>59.300276930360752</v>
      </c>
    </row>
    <row r="34" spans="4:56" ht="15.75" thickBot="1" x14ac:dyDescent="0.3">
      <c r="I34" s="473">
        <v>0.2</v>
      </c>
      <c r="J34" s="259">
        <v>1.2</v>
      </c>
      <c r="K34" s="149">
        <v>535.33838365317877</v>
      </c>
      <c r="L34" s="133">
        <f t="shared" si="16"/>
        <v>58.941659817672708</v>
      </c>
    </row>
    <row r="35" spans="4:56" ht="15" customHeight="1" thickBot="1" x14ac:dyDescent="0.3">
      <c r="F35" s="329" t="s">
        <v>43</v>
      </c>
      <c r="G35" s="303">
        <f>G27/G32</f>
        <v>44.33958960711535</v>
      </c>
    </row>
    <row r="36" spans="4:56" ht="27" thickBot="1" x14ac:dyDescent="0.3">
      <c r="F36" s="330"/>
      <c r="G36" s="304"/>
      <c r="I36" s="250" t="s">
        <v>222</v>
      </c>
      <c r="J36" s="443" t="s">
        <v>226</v>
      </c>
      <c r="K36" s="262" t="s">
        <v>227</v>
      </c>
      <c r="L36" s="443" t="s">
        <v>228</v>
      </c>
      <c r="M36" s="256" t="s">
        <v>229</v>
      </c>
      <c r="Y36" s="396" t="s">
        <v>29</v>
      </c>
      <c r="Z36" s="397"/>
      <c r="AA36" s="400">
        <v>1</v>
      </c>
      <c r="AB36" s="401"/>
      <c r="AC36" s="401"/>
      <c r="AD36" s="401"/>
      <c r="AE36" s="401"/>
      <c r="AF36" s="401"/>
      <c r="AG36" s="401"/>
      <c r="AH36" s="401"/>
      <c r="AI36" s="401"/>
      <c r="AJ36" s="402"/>
      <c r="AK36" s="179"/>
      <c r="AP36" s="396" t="s">
        <v>29</v>
      </c>
      <c r="AQ36" s="397"/>
      <c r="AR36" s="400">
        <v>0.9</v>
      </c>
      <c r="AS36" s="401"/>
      <c r="AT36" s="401"/>
      <c r="AU36" s="401"/>
      <c r="AV36" s="401"/>
      <c r="AW36" s="401"/>
      <c r="AX36" s="401"/>
      <c r="AY36" s="401"/>
      <c r="AZ36" s="401"/>
      <c r="BA36" s="402"/>
      <c r="BB36" s="179"/>
    </row>
    <row r="37" spans="4:56" ht="15" customHeight="1" thickBot="1" x14ac:dyDescent="0.3">
      <c r="F37" s="329" t="s">
        <v>55</v>
      </c>
      <c r="G37" s="303">
        <f>G29/G32</f>
        <v>47.80621892289377</v>
      </c>
      <c r="I37" s="472">
        <v>0</v>
      </c>
      <c r="J37" s="86">
        <v>9</v>
      </c>
      <c r="K37" s="96">
        <v>8</v>
      </c>
      <c r="L37" s="86">
        <v>0</v>
      </c>
      <c r="M37" s="148">
        <f>$G$14*$AC$28</f>
        <v>47.023800000000001</v>
      </c>
      <c r="N37" s="98"/>
      <c r="O37" s="98"/>
      <c r="P37" s="98"/>
      <c r="Y37" s="398"/>
      <c r="Z37" s="399"/>
      <c r="AA37" s="403"/>
      <c r="AB37" s="404"/>
      <c r="AC37" s="404"/>
      <c r="AD37" s="404"/>
      <c r="AE37" s="404"/>
      <c r="AF37" s="404"/>
      <c r="AG37" s="404"/>
      <c r="AH37" s="404"/>
      <c r="AI37" s="404"/>
      <c r="AJ37" s="405"/>
      <c r="AK37" s="179"/>
      <c r="AP37" s="398"/>
      <c r="AQ37" s="399"/>
      <c r="AR37" s="403"/>
      <c r="AS37" s="404"/>
      <c r="AT37" s="404"/>
      <c r="AU37" s="404"/>
      <c r="AV37" s="404"/>
      <c r="AW37" s="404"/>
      <c r="AX37" s="404"/>
      <c r="AY37" s="404"/>
      <c r="AZ37" s="404"/>
      <c r="BA37" s="405"/>
      <c r="BB37" s="179"/>
    </row>
    <row r="38" spans="4:56" ht="18" customHeight="1" thickBot="1" x14ac:dyDescent="0.3">
      <c r="D38" s="475" t="s">
        <v>177</v>
      </c>
      <c r="F38" s="330"/>
      <c r="G38" s="304"/>
      <c r="I38" s="472">
        <v>0.05</v>
      </c>
      <c r="J38" s="86">
        <f>($G$12*$D$52*1.05)</f>
        <v>8.1479999999999997</v>
      </c>
      <c r="K38" s="96">
        <f>($D$52*$G$13*1.05)</f>
        <v>9.166500000000001</v>
      </c>
      <c r="L38" s="136">
        <f>(($G$15/2)*(1-$D$52)*1.05)</f>
        <v>0.39375000000000038</v>
      </c>
      <c r="M38" s="148">
        <f>$G$14*1.05</f>
        <v>49.374990000000004</v>
      </c>
      <c r="N38" s="98"/>
      <c r="O38" s="98"/>
      <c r="P38" s="98"/>
      <c r="Y38" s="2" t="s">
        <v>73</v>
      </c>
      <c r="Z38" s="2" t="s">
        <v>69</v>
      </c>
      <c r="AA38" s="245" t="s">
        <v>177</v>
      </c>
      <c r="AB38" s="2" t="s">
        <v>178</v>
      </c>
      <c r="AC38" s="251" t="s">
        <v>237</v>
      </c>
      <c r="AD38" s="2" t="s">
        <v>151</v>
      </c>
      <c r="AE38" s="251" t="s">
        <v>155</v>
      </c>
      <c r="AF38" s="252" t="s">
        <v>156</v>
      </c>
      <c r="AG38" s="251" t="s">
        <v>157</v>
      </c>
      <c r="AH38" s="251" t="s">
        <v>158</v>
      </c>
      <c r="AI38" s="251" t="s">
        <v>180</v>
      </c>
      <c r="AJ38" s="2" t="s">
        <v>181</v>
      </c>
      <c r="AK38" s="2" t="s">
        <v>185</v>
      </c>
      <c r="AL38" s="2" t="s">
        <v>182</v>
      </c>
      <c r="AM38" s="251" t="s">
        <v>183</v>
      </c>
      <c r="AP38" s="2" t="s">
        <v>73</v>
      </c>
      <c r="AQ38" s="2" t="s">
        <v>69</v>
      </c>
      <c r="AR38" s="245" t="s">
        <v>177</v>
      </c>
      <c r="AS38" s="2" t="s">
        <v>178</v>
      </c>
      <c r="AT38" s="251" t="s">
        <v>237</v>
      </c>
      <c r="AU38" s="2" t="s">
        <v>151</v>
      </c>
      <c r="AV38" s="251" t="s">
        <v>155</v>
      </c>
      <c r="AW38" s="252" t="s">
        <v>156</v>
      </c>
      <c r="AX38" s="251" t="s">
        <v>157</v>
      </c>
      <c r="AY38" s="251" t="s">
        <v>158</v>
      </c>
      <c r="AZ38" s="251" t="s">
        <v>180</v>
      </c>
      <c r="BA38" s="2" t="s">
        <v>181</v>
      </c>
      <c r="BB38" s="2" t="s">
        <v>185</v>
      </c>
      <c r="BC38" s="2" t="s">
        <v>182</v>
      </c>
      <c r="BD38" s="251" t="s">
        <v>183</v>
      </c>
    </row>
    <row r="39" spans="4:56" ht="15.75" thickBot="1" x14ac:dyDescent="0.3">
      <c r="D39" s="86">
        <v>2390.3031441465077</v>
      </c>
      <c r="I39" s="472">
        <v>0.1</v>
      </c>
      <c r="J39" s="86">
        <f>($G$12*$D$52*1.1)</f>
        <v>8.5359999999999996</v>
      </c>
      <c r="K39" s="96">
        <f>($D$52*$G$13*1.1)</f>
        <v>9.6030000000000015</v>
      </c>
      <c r="L39" s="136">
        <f>(($G$15/2)*(1-$D$52)*1.1)</f>
        <v>0.41250000000000042</v>
      </c>
      <c r="M39" s="148">
        <f>$G$14*1.1</f>
        <v>51.726180000000006</v>
      </c>
      <c r="N39" s="98"/>
      <c r="O39" s="98"/>
      <c r="P39" s="98"/>
      <c r="Y39" s="86">
        <v>0</v>
      </c>
      <c r="Z39" s="86">
        <v>10</v>
      </c>
      <c r="AA39" s="248">
        <v>2390.3031441465077</v>
      </c>
      <c r="AB39" s="191">
        <f>((4.7*10^13*AJ39*(AI39^0.5)*EXP($C$11/AA39))/($C$14*6))*$C$5*10^-6</f>
        <v>0</v>
      </c>
      <c r="AC39" s="153">
        <f>(((10^5*($C$4*$C$6)*10^-6)/($C$8*$C$7)))</f>
        <v>6.5681391066181393E-6</v>
      </c>
      <c r="AD39" s="88">
        <f>AC39/(AA$36*$G$11*((AG39/2)+3.76))</f>
        <v>1.3974764056634339E-7</v>
      </c>
      <c r="AE39" s="96">
        <f>$G$12*$AA$36*$AC$28</f>
        <v>8</v>
      </c>
      <c r="AF39" s="96">
        <f>$G$13*$AA$36*$AC$28</f>
        <v>9</v>
      </c>
      <c r="AG39" s="134">
        <f>(($G$15/2)*(1-$AA$36)*$AC$28)</f>
        <v>0</v>
      </c>
      <c r="AH39" s="144">
        <f>$G$14*$AC$28</f>
        <v>47.023800000000001</v>
      </c>
      <c r="AI39" s="152">
        <f>((AG39*AD39)/($C$5*10^-6))</f>
        <v>0</v>
      </c>
      <c r="AJ39" s="151">
        <f>((AH39*AD39)/($C$5*10^-6))</f>
        <v>0.16428662751159046</v>
      </c>
      <c r="AK39" s="163">
        <f>SUM($AB$39:$AB$54)</f>
        <v>0</v>
      </c>
      <c r="AL39" s="161">
        <f>AD39*(AE39+AF39+AG39+AH39)</f>
        <v>8.9471749900914556E-6</v>
      </c>
      <c r="AM39" s="144">
        <f>(AK39/AL39)*10^6</f>
        <v>0</v>
      </c>
      <c r="AP39" s="86">
        <v>0</v>
      </c>
      <c r="AQ39" s="86">
        <v>10</v>
      </c>
      <c r="AR39" s="248">
        <v>2390.3031441465077</v>
      </c>
      <c r="AS39" s="191">
        <f>((4.7*10^13*BA39*(AZ39^0.5)*EXP($C$11/AR39))/($C$14*6))*$C$5*10^-6</f>
        <v>8.3096746563227241E-10</v>
      </c>
      <c r="AT39" s="153">
        <f>(((10^5*($C$4*$C$6)*10^-6)/($C$8*$C$7)))</f>
        <v>6.5681391066181393E-6</v>
      </c>
      <c r="AU39" s="88">
        <f>AT39/(AR$36*$G$11*((AX39/2)+3.76))</f>
        <v>1.331435774811735E-7</v>
      </c>
      <c r="AV39" s="96">
        <f>$G$12*$AR$36*$AC$28</f>
        <v>7.2</v>
      </c>
      <c r="AW39" s="96">
        <f>$G$13*$AR$36*$AC$28</f>
        <v>8.1</v>
      </c>
      <c r="AX39" s="134">
        <f>(($G$15/2)*(1-$AR$36)*$AC$28)</f>
        <v>1.2499999999999998</v>
      </c>
      <c r="AY39" s="144">
        <f>$G$14*$AC$28</f>
        <v>47.023800000000001</v>
      </c>
      <c r="AZ39" s="152">
        <f>((AX39*AU39)/($C$5*10^-6))</f>
        <v>4.160736796286672E-3</v>
      </c>
      <c r="BA39" s="151">
        <f>((AY39*AU39)/($C$5*10^-6))</f>
        <v>0.15652292396898015</v>
      </c>
      <c r="BB39" s="163">
        <f>SUM($AS$39:$AS$54)</f>
        <v>7.3262117951203337E-7</v>
      </c>
      <c r="BC39" s="161">
        <f>AU39*(AV39+AW39+AX39+AY39)</f>
        <v>8.4644431660726279E-6</v>
      </c>
      <c r="BD39" s="144">
        <f>(BB39/BC39)*10^6</f>
        <v>86552.790908744253</v>
      </c>
    </row>
    <row r="40" spans="4:56" ht="18" customHeight="1" x14ac:dyDescent="0.25">
      <c r="D40" s="86">
        <v>2220.94006104853</v>
      </c>
      <c r="F40" s="329" t="s">
        <v>56</v>
      </c>
      <c r="G40" s="303">
        <f>(G12*(L3+(L5*2)))</f>
        <v>352.072</v>
      </c>
      <c r="I40" s="472">
        <v>0.15</v>
      </c>
      <c r="J40" s="86">
        <f>$G$12*$D$52*1.15</f>
        <v>8.9239999999999995</v>
      </c>
      <c r="K40" s="144">
        <f>$D$100*$G$13*1.15</f>
        <v>10.0395</v>
      </c>
      <c r="L40" s="136">
        <f>(($G$15/2)*(1-$D$52)*1.15)</f>
        <v>0.43125000000000036</v>
      </c>
      <c r="M40" s="148">
        <f>$G$14*1.15</f>
        <v>54.077369999999995</v>
      </c>
      <c r="N40" s="224"/>
      <c r="Y40" s="86">
        <v>1</v>
      </c>
      <c r="Z40" s="86">
        <f>Z39+2</f>
        <v>12</v>
      </c>
      <c r="AA40" s="132">
        <f>(AA39*((Z40/Z39)^(($C$13-1)/$C$13)))</f>
        <v>2454.4712538274748</v>
      </c>
      <c r="AB40" s="191">
        <f t="shared" ref="AB40:AB54" si="17">((4.7*10^13*AJ40*(AI40^0.5)*EXP($C$11/AA40))/($C$14*6))*$C$5*10^-6</f>
        <v>0</v>
      </c>
      <c r="AC40" s="153">
        <f t="shared" ref="AC40:AC54" si="18">(((10^5*($C$4*$C$6)*10^-6)/($C$8*$C$7)))</f>
        <v>6.5681391066181393E-6</v>
      </c>
      <c r="AD40" s="88">
        <f>AC40/(AA$36*$G$11*((AG40/2)+3.76))</f>
        <v>1.3974764056634339E-7</v>
      </c>
      <c r="AE40" s="96">
        <f>$G$12*$AA$36*$AC$28</f>
        <v>8</v>
      </c>
      <c r="AF40" s="96">
        <f>$G$13*$AA$36*$AC$28</f>
        <v>9</v>
      </c>
      <c r="AG40" s="134">
        <f>(($G$15/2)*(1-$AA$36)*$AC$28)</f>
        <v>0</v>
      </c>
      <c r="AH40" s="144">
        <f>$G$14*$AC$28</f>
        <v>47.023800000000001</v>
      </c>
      <c r="AI40" s="152">
        <f t="shared" ref="AI40:AI54" si="19">((AG40*AD40)/($C$5*10^-6))</f>
        <v>0</v>
      </c>
      <c r="AJ40" s="142">
        <f t="shared" ref="AJ39:AJ54" si="20">((AH40*AD40)/($C$5*10^-6))</f>
        <v>0.16428662751159046</v>
      </c>
      <c r="AK40" s="163">
        <f>SUM($AB$39:$AB$54)</f>
        <v>0</v>
      </c>
      <c r="AL40" s="153">
        <f t="shared" ref="AL40:AL54" si="21">AD40*(AE40+AF40+AG40+AH40)</f>
        <v>8.9471749900914556E-6</v>
      </c>
      <c r="AM40" s="144">
        <f t="shared" ref="AM40:AM54" si="22">(AK40/AL40)*10^6</f>
        <v>0</v>
      </c>
      <c r="AP40" s="86">
        <v>1</v>
      </c>
      <c r="AQ40" s="86">
        <f>AQ39+2</f>
        <v>12</v>
      </c>
      <c r="AR40" s="132">
        <f>(AR39*((AQ40/AQ39)^(($C$13-1)/$C$13)))</f>
        <v>2454.4712538274748</v>
      </c>
      <c r="AS40" s="191">
        <f t="shared" ref="AS40:AS54" si="23">((4.7*10^13*BA40*(AZ40^0.5)*EXP($C$11/AR40))/($C$14*6))*$C$5*10^-6</f>
        <v>1.7450546777365795E-9</v>
      </c>
      <c r="AT40" s="153">
        <f t="shared" ref="AT40:AT54" si="24">(((10^5*($C$4*$C$6)*10^-6)/($C$8*$C$7)))</f>
        <v>6.5681391066181393E-6</v>
      </c>
      <c r="AU40" s="88">
        <f>AT40/(AR$36*$G$11*((AX40/2)+3.76))</f>
        <v>1.331435774811735E-7</v>
      </c>
      <c r="AV40" s="96">
        <f>$G$12*$AR$36*$AC$28</f>
        <v>7.2</v>
      </c>
      <c r="AW40" s="96">
        <f>$G$13*$AR$36*$AC$28</f>
        <v>8.1</v>
      </c>
      <c r="AX40" s="134">
        <f>(($G$15/2)*(1-$AR$36)*$AC$28)</f>
        <v>1.2499999999999998</v>
      </c>
      <c r="AY40" s="144">
        <f>$G$14*$AC$28</f>
        <v>47.023800000000001</v>
      </c>
      <c r="AZ40" s="152">
        <f t="shared" ref="AZ40:AZ54" si="25">((AX40*AU40)/($C$5*10^-6))</f>
        <v>4.160736796286672E-3</v>
      </c>
      <c r="BA40" s="142">
        <f t="shared" ref="BA40:BA55" si="26">((AY40*AU40)/($C$5*10^-6))</f>
        <v>0.15652292396898015</v>
      </c>
      <c r="BB40" s="163">
        <f t="shared" ref="BB40:BB54" si="27">SUM($AS$39:$AS$54)</f>
        <v>7.3262117951203337E-7</v>
      </c>
      <c r="BC40" s="153">
        <f t="shared" ref="BC40:BC54" si="28">AU40*(AV40+AW40+AX40+AY40)</f>
        <v>8.4644431660726279E-6</v>
      </c>
      <c r="BD40" s="144">
        <f t="shared" ref="BD40:BD54" si="29">(BB40/BC40)*10^6</f>
        <v>86552.790908744253</v>
      </c>
    </row>
    <row r="41" spans="4:56" ht="15.75" thickBot="1" x14ac:dyDescent="0.3">
      <c r="D41" s="86">
        <v>2143.1460589726248</v>
      </c>
      <c r="F41" s="330"/>
      <c r="G41" s="304"/>
      <c r="I41" s="473">
        <v>0.2</v>
      </c>
      <c r="J41" s="249">
        <f>$G$12*$D$52*1.2</f>
        <v>9.3119999999999994</v>
      </c>
      <c r="K41" s="145">
        <f>$D$100*$G$13*1.2</f>
        <v>10.476000000000001</v>
      </c>
      <c r="L41" s="125">
        <f>(($G$15/2)*(1-$D$52)*1.2)</f>
        <v>0.4500000000000004</v>
      </c>
      <c r="M41" s="149">
        <f>$G$14*1.2</f>
        <v>56.428559999999997</v>
      </c>
      <c r="Y41" s="86">
        <v>2</v>
      </c>
      <c r="Z41" s="86">
        <f t="shared" ref="Z41:Z54" si="30">Z40+2</f>
        <v>14</v>
      </c>
      <c r="AA41" s="132">
        <f t="shared" ref="AA41:AA54" si="31">(AA40*((Z41/Z40)^(($C$13-1)/$C$13)))</f>
        <v>2510.0666958766406</v>
      </c>
      <c r="AB41" s="191">
        <f t="shared" si="17"/>
        <v>0</v>
      </c>
      <c r="AC41" s="153">
        <f t="shared" si="18"/>
        <v>6.5681391066181393E-6</v>
      </c>
      <c r="AD41" s="88">
        <f>AC41/(AA$36*$G$11*((AG41/2)+3.76))</f>
        <v>1.3974764056634339E-7</v>
      </c>
      <c r="AE41" s="96">
        <f>$G$12*$AA$36*$AC$28</f>
        <v>8</v>
      </c>
      <c r="AF41" s="96">
        <f>$G$13*$AA$36*$AC$28</f>
        <v>9</v>
      </c>
      <c r="AG41" s="134">
        <f>(($G$15/2)*(1-$AA$36)*$AC$28)</f>
        <v>0</v>
      </c>
      <c r="AH41" s="144">
        <f>$G$14*$AC$28</f>
        <v>47.023800000000001</v>
      </c>
      <c r="AI41" s="152">
        <f t="shared" si="19"/>
        <v>0</v>
      </c>
      <c r="AJ41" s="142">
        <f t="shared" si="20"/>
        <v>0.16428662751159046</v>
      </c>
      <c r="AK41" s="163">
        <f>SUM($AB$39:$AB$54)</f>
        <v>0</v>
      </c>
      <c r="AL41" s="153">
        <f t="shared" si="21"/>
        <v>8.9471749900914556E-6</v>
      </c>
      <c r="AM41" s="144">
        <f t="shared" si="22"/>
        <v>0</v>
      </c>
      <c r="AP41" s="86">
        <v>2</v>
      </c>
      <c r="AQ41" s="86">
        <f t="shared" ref="AQ41:AQ54" si="32">AQ40+2</f>
        <v>14</v>
      </c>
      <c r="AR41" s="132">
        <f t="shared" ref="AR41:AR54" si="33">(AR40*((AQ41/AQ40)^(($C$13-1)/$C$13)))</f>
        <v>2510.0666958766406</v>
      </c>
      <c r="AS41" s="191">
        <f t="shared" si="23"/>
        <v>3.2185874808977053E-9</v>
      </c>
      <c r="AT41" s="153">
        <f t="shared" si="24"/>
        <v>6.5681391066181393E-6</v>
      </c>
      <c r="AU41" s="88">
        <f>AT41/(AR$36*$G$11*((AX41/2)+3.76))</f>
        <v>1.331435774811735E-7</v>
      </c>
      <c r="AV41" s="96">
        <f>$G$12*$AR$36*$AC$28</f>
        <v>7.2</v>
      </c>
      <c r="AW41" s="96">
        <f>$G$13*$AR$36*$AC$28</f>
        <v>8.1</v>
      </c>
      <c r="AX41" s="134">
        <f>(($G$15/2)*(1-$AR$36)*$AC$28)</f>
        <v>1.2499999999999998</v>
      </c>
      <c r="AY41" s="144">
        <f>$G$14*$AC$28</f>
        <v>47.023800000000001</v>
      </c>
      <c r="AZ41" s="152">
        <f t="shared" si="25"/>
        <v>4.160736796286672E-3</v>
      </c>
      <c r="BA41" s="142">
        <f t="shared" si="26"/>
        <v>0.15652292396898015</v>
      </c>
      <c r="BB41" s="163">
        <f t="shared" si="27"/>
        <v>7.3262117951203337E-7</v>
      </c>
      <c r="BC41" s="153">
        <f t="shared" si="28"/>
        <v>8.4644431660726279E-6</v>
      </c>
      <c r="BD41" s="144">
        <f t="shared" si="29"/>
        <v>86552.790908744253</v>
      </c>
    </row>
    <row r="42" spans="4:56" x14ac:dyDescent="0.25">
      <c r="D42" s="86">
        <v>2071.3773839715413</v>
      </c>
      <c r="F42" s="329" t="s">
        <v>57</v>
      </c>
      <c r="G42" s="303">
        <f>G40/G32</f>
        <v>3.0820785769311576</v>
      </c>
      <c r="Y42" s="86">
        <v>3</v>
      </c>
      <c r="Z42" s="86">
        <f t="shared" si="30"/>
        <v>16</v>
      </c>
      <c r="AA42" s="132">
        <f t="shared" si="31"/>
        <v>2559.2425148554435</v>
      </c>
      <c r="AB42" s="191">
        <f t="shared" si="17"/>
        <v>0</v>
      </c>
      <c r="AC42" s="153">
        <f t="shared" si="18"/>
        <v>6.5681391066181393E-6</v>
      </c>
      <c r="AD42" s="88">
        <f>AC42/(AA$36*$G$11*((AG42/2)+3.76))</f>
        <v>1.3974764056634339E-7</v>
      </c>
      <c r="AE42" s="96">
        <f>$G$12*$AA$36*$AC$28</f>
        <v>8</v>
      </c>
      <c r="AF42" s="96">
        <f>$G$13*$AA$36*$AC$28</f>
        <v>9</v>
      </c>
      <c r="AG42" s="134">
        <f>(($G$15/2)*(1-$AA$36)*$AC$28)</f>
        <v>0</v>
      </c>
      <c r="AH42" s="144">
        <f>$G$14*$AC$28</f>
        <v>47.023800000000001</v>
      </c>
      <c r="AI42" s="152">
        <f t="shared" si="19"/>
        <v>0</v>
      </c>
      <c r="AJ42" s="142">
        <f t="shared" si="20"/>
        <v>0.16428662751159046</v>
      </c>
      <c r="AK42" s="163">
        <f>SUM($AB$39:$AB$54)</f>
        <v>0</v>
      </c>
      <c r="AL42" s="153">
        <f t="shared" si="21"/>
        <v>8.9471749900914556E-6</v>
      </c>
      <c r="AM42" s="144">
        <f t="shared" si="22"/>
        <v>0</v>
      </c>
      <c r="AP42" s="86">
        <v>3</v>
      </c>
      <c r="AQ42" s="86">
        <f t="shared" si="32"/>
        <v>16</v>
      </c>
      <c r="AR42" s="132">
        <f t="shared" si="33"/>
        <v>2559.2425148554435</v>
      </c>
      <c r="AS42" s="191">
        <f t="shared" si="23"/>
        <v>5.4099855949666495E-9</v>
      </c>
      <c r="AT42" s="153">
        <f t="shared" si="24"/>
        <v>6.5681391066181393E-6</v>
      </c>
      <c r="AU42" s="88">
        <f>AT42/(AR$36*$G$11*((AX42/2)+3.76))</f>
        <v>1.331435774811735E-7</v>
      </c>
      <c r="AV42" s="96">
        <f>$G$12*$AR$36*$AC$28</f>
        <v>7.2</v>
      </c>
      <c r="AW42" s="96">
        <f>$G$13*$AR$36*$AC$28</f>
        <v>8.1</v>
      </c>
      <c r="AX42" s="134">
        <f>(($G$15/2)*(1-$AR$36)*$AC$28)</f>
        <v>1.2499999999999998</v>
      </c>
      <c r="AY42" s="144">
        <f>$G$14*$AC$28</f>
        <v>47.023800000000001</v>
      </c>
      <c r="AZ42" s="152">
        <f t="shared" si="25"/>
        <v>4.160736796286672E-3</v>
      </c>
      <c r="BA42" s="142">
        <f t="shared" si="26"/>
        <v>0.15652292396898015</v>
      </c>
      <c r="BB42" s="163">
        <f t="shared" si="27"/>
        <v>7.3262117951203337E-7</v>
      </c>
      <c r="BC42" s="153">
        <f t="shared" si="28"/>
        <v>8.4644431660726279E-6</v>
      </c>
      <c r="BD42" s="144">
        <f t="shared" si="29"/>
        <v>86552.790908744253</v>
      </c>
    </row>
    <row r="43" spans="4:56" ht="15.75" thickBot="1" x14ac:dyDescent="0.3">
      <c r="D43" s="249">
        <v>2004.898583949637</v>
      </c>
      <c r="F43" s="330"/>
      <c r="G43" s="304"/>
      <c r="Y43" s="86">
        <v>4</v>
      </c>
      <c r="Z43" s="86">
        <f t="shared" si="30"/>
        <v>18</v>
      </c>
      <c r="AA43" s="132">
        <f t="shared" si="31"/>
        <v>2603.4177381529535</v>
      </c>
      <c r="AB43" s="191">
        <f t="shared" si="17"/>
        <v>0</v>
      </c>
      <c r="AC43" s="153">
        <f t="shared" si="18"/>
        <v>6.5681391066181393E-6</v>
      </c>
      <c r="AD43" s="88">
        <f>AC43/(AA$36*$G$11*((AG43/2)+3.76))</f>
        <v>1.3974764056634339E-7</v>
      </c>
      <c r="AE43" s="96">
        <f>$G$12*$AA$36*$AC$28</f>
        <v>8</v>
      </c>
      <c r="AF43" s="96">
        <f>$G$13*$AA$36*$AC$28</f>
        <v>9</v>
      </c>
      <c r="AG43" s="134">
        <f>(($G$15/2)*(1-$AA$36)*$AC$28)</f>
        <v>0</v>
      </c>
      <c r="AH43" s="144">
        <f>$G$14*$AC$28</f>
        <v>47.023800000000001</v>
      </c>
      <c r="AI43" s="152">
        <f t="shared" si="19"/>
        <v>0</v>
      </c>
      <c r="AJ43" s="142">
        <f t="shared" si="20"/>
        <v>0.16428662751159046</v>
      </c>
      <c r="AK43" s="163">
        <f>SUM($AB$39:$AB$54)</f>
        <v>0</v>
      </c>
      <c r="AL43" s="153">
        <f t="shared" si="21"/>
        <v>8.9471749900914556E-6</v>
      </c>
      <c r="AM43" s="144">
        <f t="shared" si="22"/>
        <v>0</v>
      </c>
      <c r="AP43" s="86">
        <v>4</v>
      </c>
      <c r="AQ43" s="86">
        <f t="shared" si="32"/>
        <v>18</v>
      </c>
      <c r="AR43" s="132">
        <f t="shared" si="33"/>
        <v>2603.4177381529535</v>
      </c>
      <c r="AS43" s="191">
        <f t="shared" si="23"/>
        <v>8.4825916094046476E-9</v>
      </c>
      <c r="AT43" s="153">
        <f t="shared" si="24"/>
        <v>6.5681391066181393E-6</v>
      </c>
      <c r="AU43" s="88">
        <f>AT43/(AR$36*$G$11*((AX43/2)+3.76))</f>
        <v>1.331435774811735E-7</v>
      </c>
      <c r="AV43" s="96">
        <f>$G$12*$AR$36*$AC$28</f>
        <v>7.2</v>
      </c>
      <c r="AW43" s="96">
        <f>$G$13*$AR$36*$AC$28</f>
        <v>8.1</v>
      </c>
      <c r="AX43" s="134">
        <f>(($G$15/2)*(1-$AR$36)*$AC$28)</f>
        <v>1.2499999999999998</v>
      </c>
      <c r="AY43" s="144">
        <f>$G$14*$AC$28</f>
        <v>47.023800000000001</v>
      </c>
      <c r="AZ43" s="152">
        <f t="shared" si="25"/>
        <v>4.160736796286672E-3</v>
      </c>
      <c r="BA43" s="142">
        <f t="shared" si="26"/>
        <v>0.15652292396898015</v>
      </c>
      <c r="BB43" s="163">
        <f t="shared" si="27"/>
        <v>7.3262117951203337E-7</v>
      </c>
      <c r="BC43" s="153">
        <f t="shared" si="28"/>
        <v>8.4644431660726279E-6</v>
      </c>
      <c r="BD43" s="144">
        <f t="shared" si="29"/>
        <v>86552.790908744253</v>
      </c>
    </row>
    <row r="44" spans="4:56" x14ac:dyDescent="0.25">
      <c r="Y44" s="86">
        <v>5</v>
      </c>
      <c r="Z44" s="86">
        <f t="shared" si="30"/>
        <v>20</v>
      </c>
      <c r="AA44" s="132">
        <f t="shared" si="31"/>
        <v>2643.5795511532228</v>
      </c>
      <c r="AB44" s="191">
        <f t="shared" si="17"/>
        <v>0</v>
      </c>
      <c r="AC44" s="153">
        <f t="shared" si="18"/>
        <v>6.5681391066181393E-6</v>
      </c>
      <c r="AD44" s="88">
        <f>AC44/(AA$36*$G$11*((AG44/2)+3.76))</f>
        <v>1.3974764056634339E-7</v>
      </c>
      <c r="AE44" s="96">
        <f>$G$12*$AA$36*$AC$28</f>
        <v>8</v>
      </c>
      <c r="AF44" s="96">
        <f>$G$13*$AA$36*$AC$28</f>
        <v>9</v>
      </c>
      <c r="AG44" s="134">
        <f>(($G$15/2)*(1-$AA$36)*$AC$28)</f>
        <v>0</v>
      </c>
      <c r="AH44" s="144">
        <f>$G$14*$AC$28</f>
        <v>47.023800000000001</v>
      </c>
      <c r="AI44" s="152">
        <f t="shared" si="19"/>
        <v>0</v>
      </c>
      <c r="AJ44" s="142">
        <f t="shared" si="20"/>
        <v>0.16428662751159046</v>
      </c>
      <c r="AK44" s="163">
        <f>SUM($AB$39:$AB$54)</f>
        <v>0</v>
      </c>
      <c r="AL44" s="153">
        <f t="shared" si="21"/>
        <v>8.9471749900914556E-6</v>
      </c>
      <c r="AM44" s="144">
        <f t="shared" si="22"/>
        <v>0</v>
      </c>
      <c r="AP44" s="86">
        <v>5</v>
      </c>
      <c r="AQ44" s="86">
        <f t="shared" si="32"/>
        <v>20</v>
      </c>
      <c r="AR44" s="132">
        <f t="shared" si="33"/>
        <v>2643.5795511532228</v>
      </c>
      <c r="AS44" s="191">
        <f t="shared" si="23"/>
        <v>1.2602282054036824E-8</v>
      </c>
      <c r="AT44" s="153">
        <f t="shared" si="24"/>
        <v>6.5681391066181393E-6</v>
      </c>
      <c r="AU44" s="88">
        <f>AT44/(AR$36*$G$11*((AX44/2)+3.76))</f>
        <v>1.331435774811735E-7</v>
      </c>
      <c r="AV44" s="96">
        <f>$G$12*$AR$36*$AC$28</f>
        <v>7.2</v>
      </c>
      <c r="AW44" s="96">
        <f>$G$13*$AR$36*$AC$28</f>
        <v>8.1</v>
      </c>
      <c r="AX44" s="134">
        <f>(($G$15/2)*(1-$AR$36)*$AC$28)</f>
        <v>1.2499999999999998</v>
      </c>
      <c r="AY44" s="144">
        <f>$G$14*$AC$28</f>
        <v>47.023800000000001</v>
      </c>
      <c r="AZ44" s="152">
        <f t="shared" si="25"/>
        <v>4.160736796286672E-3</v>
      </c>
      <c r="BA44" s="142">
        <f t="shared" si="26"/>
        <v>0.15652292396898015</v>
      </c>
      <c r="BB44" s="163">
        <f t="shared" si="27"/>
        <v>7.3262117951203337E-7</v>
      </c>
      <c r="BC44" s="153">
        <f t="shared" si="28"/>
        <v>8.4644431660726279E-6</v>
      </c>
      <c r="BD44" s="144">
        <f t="shared" si="29"/>
        <v>86552.790908744253</v>
      </c>
    </row>
    <row r="45" spans="4:56" x14ac:dyDescent="0.25">
      <c r="O45" s="1"/>
      <c r="P45" s="1"/>
      <c r="Y45" s="86">
        <v>6</v>
      </c>
      <c r="Z45" s="86">
        <f t="shared" si="30"/>
        <v>22</v>
      </c>
      <c r="AA45" s="132">
        <f t="shared" si="31"/>
        <v>2680.4437978364645</v>
      </c>
      <c r="AB45" s="191">
        <f t="shared" si="17"/>
        <v>0</v>
      </c>
      <c r="AC45" s="153">
        <f t="shared" si="18"/>
        <v>6.5681391066181393E-6</v>
      </c>
      <c r="AD45" s="88">
        <f>AC45/(AA$36*$G$11*((AG45/2)+3.76))</f>
        <v>1.3974764056634339E-7</v>
      </c>
      <c r="AE45" s="96">
        <f>$G$12*$AA$36*$AC$28</f>
        <v>8</v>
      </c>
      <c r="AF45" s="96">
        <f>$G$13*$AA$36*$AC$28</f>
        <v>9</v>
      </c>
      <c r="AG45" s="134">
        <f>(($G$15/2)*(1-$AA$36)*$AC$28)</f>
        <v>0</v>
      </c>
      <c r="AH45" s="144">
        <f>$G$14*$AC$28</f>
        <v>47.023800000000001</v>
      </c>
      <c r="AI45" s="152">
        <f t="shared" si="19"/>
        <v>0</v>
      </c>
      <c r="AJ45" s="142">
        <f t="shared" si="20"/>
        <v>0.16428662751159046</v>
      </c>
      <c r="AK45" s="163">
        <f>SUM($AB$39:$AB$54)</f>
        <v>0</v>
      </c>
      <c r="AL45" s="153">
        <f t="shared" si="21"/>
        <v>8.9471749900914556E-6</v>
      </c>
      <c r="AM45" s="144">
        <f t="shared" si="22"/>
        <v>0</v>
      </c>
      <c r="AP45" s="86">
        <v>6</v>
      </c>
      <c r="AQ45" s="86">
        <f t="shared" si="32"/>
        <v>22</v>
      </c>
      <c r="AR45" s="132">
        <f t="shared" si="33"/>
        <v>2680.4437978364645</v>
      </c>
      <c r="AS45" s="191">
        <f t="shared" si="23"/>
        <v>1.7935736592437069E-8</v>
      </c>
      <c r="AT45" s="153">
        <f t="shared" si="24"/>
        <v>6.5681391066181393E-6</v>
      </c>
      <c r="AU45" s="88">
        <f>AT45/(AR$36*$G$11*((AX45/2)+3.76))</f>
        <v>1.331435774811735E-7</v>
      </c>
      <c r="AV45" s="96">
        <f>$G$12*$AR$36*$AC$28</f>
        <v>7.2</v>
      </c>
      <c r="AW45" s="96">
        <f>$G$13*$AR$36*$AC$28</f>
        <v>8.1</v>
      </c>
      <c r="AX45" s="134">
        <f>(($G$15/2)*(1-$AR$36)*$AC$28)</f>
        <v>1.2499999999999998</v>
      </c>
      <c r="AY45" s="144">
        <f>$G$14*$AC$28</f>
        <v>47.023800000000001</v>
      </c>
      <c r="AZ45" s="152">
        <f t="shared" si="25"/>
        <v>4.160736796286672E-3</v>
      </c>
      <c r="BA45" s="142">
        <f t="shared" si="26"/>
        <v>0.15652292396898015</v>
      </c>
      <c r="BB45" s="163">
        <f t="shared" si="27"/>
        <v>7.3262117951203337E-7</v>
      </c>
      <c r="BC45" s="153">
        <f t="shared" si="28"/>
        <v>8.4644431660726279E-6</v>
      </c>
      <c r="BD45" s="144">
        <f t="shared" si="29"/>
        <v>86552.790908744253</v>
      </c>
    </row>
    <row r="46" spans="4:56" x14ac:dyDescent="0.25">
      <c r="O46" s="1"/>
      <c r="P46" s="1"/>
      <c r="Y46" s="86">
        <v>7</v>
      </c>
      <c r="Z46" s="86">
        <f t="shared" si="30"/>
        <v>24</v>
      </c>
      <c r="AA46" s="132">
        <f t="shared" si="31"/>
        <v>2714.5469106716873</v>
      </c>
      <c r="AB46" s="191">
        <f t="shared" si="17"/>
        <v>0</v>
      </c>
      <c r="AC46" s="153">
        <f t="shared" si="18"/>
        <v>6.5681391066181393E-6</v>
      </c>
      <c r="AD46" s="88">
        <f>AC46/(AA$36*$G$11*((AG46/2)+3.76))</f>
        <v>1.3974764056634339E-7</v>
      </c>
      <c r="AE46" s="96">
        <f>$G$12*$AA$36*$AC$28</f>
        <v>8</v>
      </c>
      <c r="AF46" s="96">
        <f>$G$13*$AA$36*$AC$28</f>
        <v>9</v>
      </c>
      <c r="AG46" s="134">
        <f>(($G$15/2)*(1-$AA$36)*$AC$28)</f>
        <v>0</v>
      </c>
      <c r="AH46" s="144">
        <f>$G$14*$AC$28</f>
        <v>47.023800000000001</v>
      </c>
      <c r="AI46" s="152">
        <f t="shared" si="19"/>
        <v>0</v>
      </c>
      <c r="AJ46" s="142">
        <f t="shared" si="20"/>
        <v>0.16428662751159046</v>
      </c>
      <c r="AK46" s="163">
        <f>SUM($AB$39:$AB$54)</f>
        <v>0</v>
      </c>
      <c r="AL46" s="153">
        <f t="shared" si="21"/>
        <v>8.9471749900914556E-6</v>
      </c>
      <c r="AM46" s="144">
        <f t="shared" si="22"/>
        <v>0</v>
      </c>
      <c r="AP46" s="86">
        <v>7</v>
      </c>
      <c r="AQ46" s="86">
        <f t="shared" si="32"/>
        <v>24</v>
      </c>
      <c r="AR46" s="132">
        <f t="shared" si="33"/>
        <v>2714.5469106716873</v>
      </c>
      <c r="AS46" s="191">
        <f t="shared" si="23"/>
        <v>2.4649177856411754E-8</v>
      </c>
      <c r="AT46" s="153">
        <f t="shared" si="24"/>
        <v>6.5681391066181393E-6</v>
      </c>
      <c r="AU46" s="88">
        <f>AT46/(AR$36*$G$11*((AX46/2)+3.76))</f>
        <v>1.331435774811735E-7</v>
      </c>
      <c r="AV46" s="96">
        <f>$G$12*$AR$36*$AC$28</f>
        <v>7.2</v>
      </c>
      <c r="AW46" s="96">
        <f>$G$13*$AR$36*$AC$28</f>
        <v>8.1</v>
      </c>
      <c r="AX46" s="134">
        <f>(($G$15/2)*(1-$AR$36)*$AC$28)</f>
        <v>1.2499999999999998</v>
      </c>
      <c r="AY46" s="144">
        <f>$G$14*$AC$28</f>
        <v>47.023800000000001</v>
      </c>
      <c r="AZ46" s="152">
        <f t="shared" si="25"/>
        <v>4.160736796286672E-3</v>
      </c>
      <c r="BA46" s="142">
        <f t="shared" si="26"/>
        <v>0.15652292396898015</v>
      </c>
      <c r="BB46" s="163">
        <f t="shared" si="27"/>
        <v>7.3262117951203337E-7</v>
      </c>
      <c r="BC46" s="153">
        <f t="shared" si="28"/>
        <v>8.4644431660726279E-6</v>
      </c>
      <c r="BD46" s="144">
        <f t="shared" si="29"/>
        <v>86552.790908744253</v>
      </c>
    </row>
    <row r="47" spans="4:56" x14ac:dyDescent="0.25">
      <c r="O47" s="1"/>
      <c r="P47" s="1"/>
      <c r="Y47" s="86">
        <v>8</v>
      </c>
      <c r="Z47" s="86">
        <f t="shared" si="30"/>
        <v>26</v>
      </c>
      <c r="AA47" s="132">
        <f t="shared" si="31"/>
        <v>2746.3017618750005</v>
      </c>
      <c r="AB47" s="191">
        <f t="shared" si="17"/>
        <v>0</v>
      </c>
      <c r="AC47" s="153">
        <f t="shared" si="18"/>
        <v>6.5681391066181393E-6</v>
      </c>
      <c r="AD47" s="88">
        <f>AC47/(AA$36*$G$11*((AG47/2)+3.76))</f>
        <v>1.3974764056634339E-7</v>
      </c>
      <c r="AE47" s="96">
        <f>$G$12*$AA$36*$AC$28</f>
        <v>8</v>
      </c>
      <c r="AF47" s="96">
        <f>$G$13*$AA$36*$AC$28</f>
        <v>9</v>
      </c>
      <c r="AG47" s="134">
        <f>(($G$15/2)*(1-$AA$36)*$AC$28)</f>
        <v>0</v>
      </c>
      <c r="AH47" s="144">
        <f>$G$14*$AC$28</f>
        <v>47.023800000000001</v>
      </c>
      <c r="AI47" s="152">
        <f t="shared" si="19"/>
        <v>0</v>
      </c>
      <c r="AJ47" s="142">
        <f t="shared" si="20"/>
        <v>0.16428662751159046</v>
      </c>
      <c r="AK47" s="163">
        <f>SUM($AB$39:$AB$54)</f>
        <v>0</v>
      </c>
      <c r="AL47" s="153">
        <f t="shared" si="21"/>
        <v>8.9471749900914556E-6</v>
      </c>
      <c r="AM47" s="144">
        <f t="shared" si="22"/>
        <v>0</v>
      </c>
      <c r="AP47" s="86">
        <v>8</v>
      </c>
      <c r="AQ47" s="86">
        <f t="shared" si="32"/>
        <v>26</v>
      </c>
      <c r="AR47" s="132">
        <f t="shared" si="33"/>
        <v>2746.3017618750005</v>
      </c>
      <c r="AS47" s="191">
        <f t="shared" si="23"/>
        <v>3.2907452202491203E-8</v>
      </c>
      <c r="AT47" s="153">
        <f t="shared" si="24"/>
        <v>6.5681391066181393E-6</v>
      </c>
      <c r="AU47" s="88">
        <f>AT47/(AR$36*$G$11*((AX47/2)+3.76))</f>
        <v>1.331435774811735E-7</v>
      </c>
      <c r="AV47" s="96">
        <f>$G$12*$AR$36*$AC$28</f>
        <v>7.2</v>
      </c>
      <c r="AW47" s="96">
        <f>$G$13*$AR$36*$AC$28</f>
        <v>8.1</v>
      </c>
      <c r="AX47" s="134">
        <f>(($G$15/2)*(1-$AR$36)*$AC$28)</f>
        <v>1.2499999999999998</v>
      </c>
      <c r="AY47" s="144">
        <f>$G$14*$AC$28</f>
        <v>47.023800000000001</v>
      </c>
      <c r="AZ47" s="152">
        <f t="shared" si="25"/>
        <v>4.160736796286672E-3</v>
      </c>
      <c r="BA47" s="142">
        <f t="shared" si="26"/>
        <v>0.15652292396898015</v>
      </c>
      <c r="BB47" s="163">
        <f t="shared" si="27"/>
        <v>7.3262117951203337E-7</v>
      </c>
      <c r="BC47" s="153">
        <f t="shared" si="28"/>
        <v>8.4644431660726279E-6</v>
      </c>
      <c r="BD47" s="144">
        <f t="shared" si="29"/>
        <v>86552.790908744253</v>
      </c>
    </row>
    <row r="48" spans="4:56" x14ac:dyDescent="0.25">
      <c r="O48" s="1"/>
      <c r="P48" s="1"/>
      <c r="Y48" s="86">
        <v>9</v>
      </c>
      <c r="Z48" s="86">
        <f t="shared" si="30"/>
        <v>28</v>
      </c>
      <c r="AA48" s="132">
        <f t="shared" si="31"/>
        <v>2776.0332431054658</v>
      </c>
      <c r="AB48" s="191">
        <f t="shared" si="17"/>
        <v>0</v>
      </c>
      <c r="AC48" s="153">
        <f t="shared" si="18"/>
        <v>6.5681391066181393E-6</v>
      </c>
      <c r="AD48" s="88">
        <f>AC48/(AA$36*$G$11*((AG48/2)+3.76))</f>
        <v>1.3974764056634339E-7</v>
      </c>
      <c r="AE48" s="96">
        <f>$G$12*$AA$36*$AC$28</f>
        <v>8</v>
      </c>
      <c r="AF48" s="96">
        <f>$G$13*$AA$36*$AC$28</f>
        <v>9</v>
      </c>
      <c r="AG48" s="134">
        <f>(($G$15/2)*(1-$AA$36)*$AC$28)</f>
        <v>0</v>
      </c>
      <c r="AH48" s="144">
        <f>$G$14*$AC$28</f>
        <v>47.023800000000001</v>
      </c>
      <c r="AI48" s="152">
        <f t="shared" si="19"/>
        <v>0</v>
      </c>
      <c r="AJ48" s="142">
        <f t="shared" si="20"/>
        <v>0.16428662751159046</v>
      </c>
      <c r="AK48" s="163">
        <f>SUM($AB$39:$AB$54)</f>
        <v>0</v>
      </c>
      <c r="AL48" s="153">
        <f t="shared" si="21"/>
        <v>8.9471749900914556E-6</v>
      </c>
      <c r="AM48" s="144">
        <f t="shared" si="22"/>
        <v>0</v>
      </c>
      <c r="AP48" s="86">
        <v>9</v>
      </c>
      <c r="AQ48" s="86">
        <f t="shared" si="32"/>
        <v>28</v>
      </c>
      <c r="AR48" s="132">
        <f t="shared" si="33"/>
        <v>2776.0332431054658</v>
      </c>
      <c r="AS48" s="191">
        <f t="shared" si="23"/>
        <v>4.287336039920531E-8</v>
      </c>
      <c r="AT48" s="153">
        <f t="shared" si="24"/>
        <v>6.5681391066181393E-6</v>
      </c>
      <c r="AU48" s="88">
        <f>AT48/(AR$36*$G$11*((AX48/2)+3.76))</f>
        <v>1.331435774811735E-7</v>
      </c>
      <c r="AV48" s="96">
        <f>$G$12*$AR$36*$AC$28</f>
        <v>7.2</v>
      </c>
      <c r="AW48" s="96">
        <f>$G$13*$AR$36*$AC$28</f>
        <v>8.1</v>
      </c>
      <c r="AX48" s="134">
        <f>(($G$15/2)*(1-$AR$36)*$AC$28)</f>
        <v>1.2499999999999998</v>
      </c>
      <c r="AY48" s="144">
        <f>$G$14*$AC$28</f>
        <v>47.023800000000001</v>
      </c>
      <c r="AZ48" s="152">
        <f t="shared" si="25"/>
        <v>4.160736796286672E-3</v>
      </c>
      <c r="BA48" s="142">
        <f t="shared" si="26"/>
        <v>0.15652292396898015</v>
      </c>
      <c r="BB48" s="163">
        <f t="shared" si="27"/>
        <v>7.3262117951203337E-7</v>
      </c>
      <c r="BC48" s="153">
        <f t="shared" si="28"/>
        <v>8.4644431660726279E-6</v>
      </c>
      <c r="BD48" s="144">
        <f t="shared" si="29"/>
        <v>86552.790908744253</v>
      </c>
    </row>
    <row r="49" spans="1:56" ht="15.75" thickBot="1" x14ac:dyDescent="0.3">
      <c r="O49" s="1"/>
      <c r="P49" s="1"/>
      <c r="Y49" s="86">
        <v>10</v>
      </c>
      <c r="Z49" s="86">
        <f t="shared" si="30"/>
        <v>30</v>
      </c>
      <c r="AA49" s="132">
        <f t="shared" si="31"/>
        <v>2804.0018333718417</v>
      </c>
      <c r="AB49" s="191">
        <f t="shared" si="17"/>
        <v>0</v>
      </c>
      <c r="AC49" s="153">
        <f t="shared" si="18"/>
        <v>6.5681391066181393E-6</v>
      </c>
      <c r="AD49" s="88">
        <f>AC49/(AA$36*$G$11*((AG49/2)+3.76))</f>
        <v>1.3974764056634339E-7</v>
      </c>
      <c r="AE49" s="96">
        <f>$G$12*$AA$36*$AC$28</f>
        <v>8</v>
      </c>
      <c r="AF49" s="96">
        <f>$G$13*$AA$36*$AC$28</f>
        <v>9</v>
      </c>
      <c r="AG49" s="134">
        <f>(($G$15/2)*(1-$AA$36)*$AC$28)</f>
        <v>0</v>
      </c>
      <c r="AH49" s="144">
        <f>$G$14*$AC$28</f>
        <v>47.023800000000001</v>
      </c>
      <c r="AI49" s="152">
        <f t="shared" si="19"/>
        <v>0</v>
      </c>
      <c r="AJ49" s="142">
        <f t="shared" si="20"/>
        <v>0.16428662751159046</v>
      </c>
      <c r="AK49" s="163">
        <f>SUM($AB$39:$AB$54)</f>
        <v>0</v>
      </c>
      <c r="AL49" s="153">
        <f t="shared" si="21"/>
        <v>8.9471749900914556E-6</v>
      </c>
      <c r="AM49" s="144">
        <f t="shared" si="22"/>
        <v>0</v>
      </c>
      <c r="AP49" s="86">
        <v>10</v>
      </c>
      <c r="AQ49" s="86">
        <f t="shared" si="32"/>
        <v>30</v>
      </c>
      <c r="AR49" s="132">
        <f t="shared" si="33"/>
        <v>2804.0018333718417</v>
      </c>
      <c r="AS49" s="191">
        <f t="shared" si="23"/>
        <v>5.4707173490911961E-8</v>
      </c>
      <c r="AT49" s="153">
        <f t="shared" si="24"/>
        <v>6.5681391066181393E-6</v>
      </c>
      <c r="AU49" s="88">
        <f>AT49/(AR$36*$G$11*((AX49/2)+3.76))</f>
        <v>1.331435774811735E-7</v>
      </c>
      <c r="AV49" s="96">
        <f>$G$12*$AR$36*$AC$28</f>
        <v>7.2</v>
      </c>
      <c r="AW49" s="96">
        <f>$G$13*$AR$36*$AC$28</f>
        <v>8.1</v>
      </c>
      <c r="AX49" s="134">
        <f>(($G$15/2)*(1-$AR$36)*$AC$28)</f>
        <v>1.2499999999999998</v>
      </c>
      <c r="AY49" s="144">
        <f>$G$14*$AC$28</f>
        <v>47.023800000000001</v>
      </c>
      <c r="AZ49" s="152">
        <f t="shared" si="25"/>
        <v>4.160736796286672E-3</v>
      </c>
      <c r="BA49" s="142">
        <f t="shared" si="26"/>
        <v>0.15652292396898015</v>
      </c>
      <c r="BB49" s="163">
        <f t="shared" si="27"/>
        <v>7.3262117951203337E-7</v>
      </c>
      <c r="BC49" s="153">
        <f t="shared" si="28"/>
        <v>8.4644431660726279E-6</v>
      </c>
      <c r="BD49" s="144">
        <f t="shared" si="29"/>
        <v>86552.790908744253</v>
      </c>
    </row>
    <row r="50" spans="1:56" ht="15" customHeight="1" x14ac:dyDescent="0.25">
      <c r="B50" s="372"/>
      <c r="C50" s="372"/>
      <c r="D50" s="314" t="s">
        <v>221</v>
      </c>
      <c r="E50" s="315"/>
      <c r="F50" s="315"/>
      <c r="G50" s="315"/>
      <c r="H50" s="315"/>
      <c r="I50" s="315"/>
      <c r="J50" s="315"/>
      <c r="K50" s="315"/>
      <c r="L50" s="315"/>
      <c r="M50" s="315"/>
      <c r="N50" s="315"/>
      <c r="O50" s="315"/>
      <c r="P50" s="316"/>
      <c r="Y50" s="86">
        <v>11</v>
      </c>
      <c r="Z50" s="86">
        <f t="shared" si="30"/>
        <v>32</v>
      </c>
      <c r="AA50" s="132">
        <f t="shared" si="31"/>
        <v>2830.4197295149102</v>
      </c>
      <c r="AB50" s="191">
        <f t="shared" si="17"/>
        <v>0</v>
      </c>
      <c r="AC50" s="153">
        <f t="shared" si="18"/>
        <v>6.5681391066181393E-6</v>
      </c>
      <c r="AD50" s="88">
        <f>AC50/(AA$36*$G$11*((AG50/2)+3.76))</f>
        <v>1.3974764056634339E-7</v>
      </c>
      <c r="AE50" s="96">
        <f>$G$12*$AA$36*$AC$28</f>
        <v>8</v>
      </c>
      <c r="AF50" s="96">
        <f>$G$13*$AA$36*$AC$28</f>
        <v>9</v>
      </c>
      <c r="AG50" s="134">
        <f>(($G$15/2)*(1-$AA$36)*$AC$28)</f>
        <v>0</v>
      </c>
      <c r="AH50" s="144">
        <f>$G$14*$AC$28</f>
        <v>47.023800000000001</v>
      </c>
      <c r="AI50" s="152">
        <f t="shared" si="19"/>
        <v>0</v>
      </c>
      <c r="AJ50" s="142">
        <f t="shared" si="20"/>
        <v>0.16428662751159046</v>
      </c>
      <c r="AK50" s="163">
        <f>SUM($AB$39:$AB$54)</f>
        <v>0</v>
      </c>
      <c r="AL50" s="153">
        <f t="shared" si="21"/>
        <v>8.9471749900914556E-6</v>
      </c>
      <c r="AM50" s="144">
        <f t="shared" si="22"/>
        <v>0</v>
      </c>
      <c r="AP50" s="86">
        <v>11</v>
      </c>
      <c r="AQ50" s="86">
        <f t="shared" si="32"/>
        <v>32</v>
      </c>
      <c r="AR50" s="132">
        <f t="shared" si="33"/>
        <v>2830.4197295149102</v>
      </c>
      <c r="AS50" s="191">
        <f t="shared" si="23"/>
        <v>6.8566287111635768E-8</v>
      </c>
      <c r="AT50" s="153">
        <f t="shared" si="24"/>
        <v>6.5681391066181393E-6</v>
      </c>
      <c r="AU50" s="88">
        <f>AT50/(AR$36*$G$11*((AX50/2)+3.76))</f>
        <v>1.331435774811735E-7</v>
      </c>
      <c r="AV50" s="96">
        <f>$G$12*$AR$36*$AC$28</f>
        <v>7.2</v>
      </c>
      <c r="AW50" s="96">
        <f>$G$13*$AR$36*$AC$28</f>
        <v>8.1</v>
      </c>
      <c r="AX50" s="134">
        <f>(($G$15/2)*(1-$AR$36)*$AC$28)</f>
        <v>1.2499999999999998</v>
      </c>
      <c r="AY50" s="144">
        <f>$G$14*$AC$28</f>
        <v>47.023800000000001</v>
      </c>
      <c r="AZ50" s="152">
        <f t="shared" si="25"/>
        <v>4.160736796286672E-3</v>
      </c>
      <c r="BA50" s="142">
        <f t="shared" si="26"/>
        <v>0.15652292396898015</v>
      </c>
      <c r="BB50" s="163">
        <f t="shared" si="27"/>
        <v>7.3262117951203337E-7</v>
      </c>
      <c r="BC50" s="153">
        <f t="shared" si="28"/>
        <v>8.4644431660726279E-6</v>
      </c>
      <c r="BD50" s="144">
        <f t="shared" si="29"/>
        <v>86552.790908744253</v>
      </c>
    </row>
    <row r="51" spans="1:56" ht="15.75" customHeight="1" thickBot="1" x14ac:dyDescent="0.3">
      <c r="B51" s="372"/>
      <c r="C51" s="372"/>
      <c r="D51" s="320"/>
      <c r="E51" s="321"/>
      <c r="F51" s="321"/>
      <c r="G51" s="321"/>
      <c r="H51" s="321"/>
      <c r="I51" s="321"/>
      <c r="J51" s="321"/>
      <c r="K51" s="321"/>
      <c r="L51" s="321"/>
      <c r="M51" s="321"/>
      <c r="N51" s="321"/>
      <c r="O51" s="321"/>
      <c r="P51" s="322"/>
      <c r="Y51" s="86">
        <v>12</v>
      </c>
      <c r="Z51" s="86">
        <f t="shared" si="30"/>
        <v>34</v>
      </c>
      <c r="AA51" s="132">
        <f t="shared" si="31"/>
        <v>2855.4621979565291</v>
      </c>
      <c r="AB51" s="191">
        <f t="shared" si="17"/>
        <v>0</v>
      </c>
      <c r="AC51" s="153">
        <f t="shared" si="18"/>
        <v>6.5681391066181393E-6</v>
      </c>
      <c r="AD51" s="88">
        <f>AC51/(AA$36*$G$11*((AG51/2)+3.76))</f>
        <v>1.3974764056634339E-7</v>
      </c>
      <c r="AE51" s="96">
        <f>$G$12*$AA$36*$AC$28</f>
        <v>8</v>
      </c>
      <c r="AF51" s="96">
        <f>$G$13*$AA$36*$AC$28</f>
        <v>9</v>
      </c>
      <c r="AG51" s="134">
        <f>(($G$15/2)*(1-$AA$36)*$AC$28)</f>
        <v>0</v>
      </c>
      <c r="AH51" s="144">
        <f>$G$14*$AC$28</f>
        <v>47.023800000000001</v>
      </c>
      <c r="AI51" s="152">
        <f t="shared" si="19"/>
        <v>0</v>
      </c>
      <c r="AJ51" s="142">
        <f t="shared" si="20"/>
        <v>0.16428662751159046</v>
      </c>
      <c r="AK51" s="163">
        <f>SUM($AB$39:$AB$54)</f>
        <v>0</v>
      </c>
      <c r="AL51" s="153">
        <f t="shared" si="21"/>
        <v>8.9471749900914556E-6</v>
      </c>
      <c r="AM51" s="144">
        <f t="shared" si="22"/>
        <v>0</v>
      </c>
      <c r="AP51" s="86">
        <v>12</v>
      </c>
      <c r="AQ51" s="86">
        <f t="shared" si="32"/>
        <v>34</v>
      </c>
      <c r="AR51" s="132">
        <f t="shared" si="33"/>
        <v>2855.4621979565291</v>
      </c>
      <c r="AS51" s="191">
        <f t="shared" si="23"/>
        <v>8.4604980095572768E-8</v>
      </c>
      <c r="AT51" s="153">
        <f t="shared" si="24"/>
        <v>6.5681391066181393E-6</v>
      </c>
      <c r="AU51" s="88">
        <f>AT51/(AR$36*$G$11*((AX51/2)+3.76))</f>
        <v>1.331435774811735E-7</v>
      </c>
      <c r="AV51" s="96">
        <f>$G$12*$AR$36*$AC$28</f>
        <v>7.2</v>
      </c>
      <c r="AW51" s="96">
        <f>$G$13*$AR$36*$AC$28</f>
        <v>8.1</v>
      </c>
      <c r="AX51" s="134">
        <f>(($G$15/2)*(1-$AR$36)*$AC$28)</f>
        <v>1.2499999999999998</v>
      </c>
      <c r="AY51" s="144">
        <f>$G$14*$AC$28</f>
        <v>47.023800000000001</v>
      </c>
      <c r="AZ51" s="152">
        <f t="shared" si="25"/>
        <v>4.160736796286672E-3</v>
      </c>
      <c r="BA51" s="142">
        <f t="shared" si="26"/>
        <v>0.15652292396898015</v>
      </c>
      <c r="BB51" s="163">
        <f t="shared" si="27"/>
        <v>7.3262117951203337E-7</v>
      </c>
      <c r="BC51" s="153">
        <f t="shared" si="28"/>
        <v>8.4644431660726279E-6</v>
      </c>
      <c r="BD51" s="144">
        <f t="shared" si="29"/>
        <v>86552.790908744253</v>
      </c>
    </row>
    <row r="52" spans="1:56" ht="18.75" customHeight="1" x14ac:dyDescent="0.25">
      <c r="B52" s="356" t="s">
        <v>29</v>
      </c>
      <c r="C52" s="358"/>
      <c r="D52" s="408">
        <v>0.97</v>
      </c>
      <c r="E52" s="409"/>
      <c r="F52" s="409"/>
      <c r="G52" s="409"/>
      <c r="H52" s="409"/>
      <c r="I52" s="409"/>
      <c r="J52" s="409"/>
      <c r="K52" s="409"/>
      <c r="L52" s="409"/>
      <c r="M52" s="409"/>
      <c r="N52" s="409"/>
      <c r="O52" s="409"/>
      <c r="P52" s="410"/>
      <c r="Y52" s="86">
        <v>13</v>
      </c>
      <c r="Z52" s="86">
        <f t="shared" si="30"/>
        <v>36</v>
      </c>
      <c r="AA52" s="132">
        <f t="shared" si="31"/>
        <v>2879.2757573634708</v>
      </c>
      <c r="AB52" s="191">
        <f t="shared" si="17"/>
        <v>0</v>
      </c>
      <c r="AC52" s="153">
        <f t="shared" si="18"/>
        <v>6.5681391066181393E-6</v>
      </c>
      <c r="AD52" s="88">
        <f>AC52/(AA$36*$G$11*((AG52/2)+3.76))</f>
        <v>1.3974764056634339E-7</v>
      </c>
      <c r="AE52" s="96">
        <f>$G$12*$AA$36*$AC$28</f>
        <v>8</v>
      </c>
      <c r="AF52" s="96">
        <f>$G$13*$AA$36*$AC$28</f>
        <v>9</v>
      </c>
      <c r="AG52" s="134">
        <f>(($G$15/2)*(1-$AA$36)*$AC$28)</f>
        <v>0</v>
      </c>
      <c r="AH52" s="144">
        <f>$G$14*$AC$28</f>
        <v>47.023800000000001</v>
      </c>
      <c r="AI52" s="152">
        <f t="shared" si="19"/>
        <v>0</v>
      </c>
      <c r="AJ52" s="142">
        <f t="shared" si="20"/>
        <v>0.16428662751159046</v>
      </c>
      <c r="AK52" s="163">
        <f>SUM($AB$39:$AB$54)</f>
        <v>0</v>
      </c>
      <c r="AL52" s="153">
        <f t="shared" si="21"/>
        <v>8.9471749900914556E-6</v>
      </c>
      <c r="AM52" s="144">
        <f t="shared" si="22"/>
        <v>0</v>
      </c>
      <c r="AP52" s="86">
        <v>13</v>
      </c>
      <c r="AQ52" s="86">
        <f t="shared" si="32"/>
        <v>36</v>
      </c>
      <c r="AR52" s="132">
        <f t="shared" si="33"/>
        <v>2879.2757573634708</v>
      </c>
      <c r="AS52" s="191">
        <f t="shared" si="23"/>
        <v>1.0297425212832306E-7</v>
      </c>
      <c r="AT52" s="153">
        <f t="shared" si="24"/>
        <v>6.5681391066181393E-6</v>
      </c>
      <c r="AU52" s="88">
        <f>AT52/(AR$36*$G$11*((AX52/2)+3.76))</f>
        <v>1.331435774811735E-7</v>
      </c>
      <c r="AV52" s="96">
        <f>$G$12*$AR$36*$AC$28</f>
        <v>7.2</v>
      </c>
      <c r="AW52" s="96">
        <f>$G$13*$AR$36*$AC$28</f>
        <v>8.1</v>
      </c>
      <c r="AX52" s="134">
        <f>(($G$15/2)*(1-$AR$36)*$AC$28)</f>
        <v>1.2499999999999998</v>
      </c>
      <c r="AY52" s="144">
        <f>$G$14*$AC$28</f>
        <v>47.023800000000001</v>
      </c>
      <c r="AZ52" s="152">
        <f t="shared" si="25"/>
        <v>4.160736796286672E-3</v>
      </c>
      <c r="BA52" s="142">
        <f t="shared" si="26"/>
        <v>0.15652292396898015</v>
      </c>
      <c r="BB52" s="163">
        <f t="shared" si="27"/>
        <v>7.3262117951203337E-7</v>
      </c>
      <c r="BC52" s="153">
        <f t="shared" si="28"/>
        <v>8.4644431660726279E-6</v>
      </c>
      <c r="BD52" s="144">
        <f t="shared" si="29"/>
        <v>86552.790908744253</v>
      </c>
    </row>
    <row r="53" spans="1:56" ht="15.75" thickBot="1" x14ac:dyDescent="0.3">
      <c r="B53" s="357"/>
      <c r="C53" s="359"/>
      <c r="D53" s="411"/>
      <c r="E53" s="412"/>
      <c r="F53" s="412"/>
      <c r="G53" s="412"/>
      <c r="H53" s="412"/>
      <c r="I53" s="412"/>
      <c r="J53" s="412"/>
      <c r="K53" s="412"/>
      <c r="L53" s="412"/>
      <c r="M53" s="412"/>
      <c r="N53" s="412"/>
      <c r="O53" s="412"/>
      <c r="P53" s="413"/>
      <c r="Y53" s="86">
        <v>14</v>
      </c>
      <c r="Z53" s="86">
        <f t="shared" si="30"/>
        <v>38</v>
      </c>
      <c r="AA53" s="132">
        <f t="shared" si="31"/>
        <v>2901.9842014469746</v>
      </c>
      <c r="AB53" s="191">
        <f t="shared" si="17"/>
        <v>0</v>
      </c>
      <c r="AC53" s="153">
        <f t="shared" si="18"/>
        <v>6.5681391066181393E-6</v>
      </c>
      <c r="AD53" s="88">
        <f>AC53/(AA$36*$G$11*((AG53/2)+3.76))</f>
        <v>1.3974764056634339E-7</v>
      </c>
      <c r="AE53" s="96">
        <f>$G$12*$AA$36*$AC$28</f>
        <v>8</v>
      </c>
      <c r="AF53" s="96">
        <f>$G$13*$AA$36*$AC$28</f>
        <v>9</v>
      </c>
      <c r="AG53" s="134">
        <f>(($G$15/2)*(1-$AA$36)*$AC$28)</f>
        <v>0</v>
      </c>
      <c r="AH53" s="144">
        <f>$G$14*$AC$28</f>
        <v>47.023800000000001</v>
      </c>
      <c r="AI53" s="152">
        <f t="shared" si="19"/>
        <v>0</v>
      </c>
      <c r="AJ53" s="142">
        <f t="shared" si="20"/>
        <v>0.16428662751159046</v>
      </c>
      <c r="AK53" s="163">
        <f>SUM($AB$39:$AB$54)</f>
        <v>0</v>
      </c>
      <c r="AL53" s="153">
        <f t="shared" si="21"/>
        <v>8.9471749900914556E-6</v>
      </c>
      <c r="AM53" s="144">
        <f t="shared" si="22"/>
        <v>0</v>
      </c>
      <c r="AP53" s="86">
        <v>14</v>
      </c>
      <c r="AQ53" s="86">
        <f t="shared" si="32"/>
        <v>38</v>
      </c>
      <c r="AR53" s="132">
        <f t="shared" si="33"/>
        <v>2901.9842014469746</v>
      </c>
      <c r="AS53" s="191">
        <f t="shared" si="23"/>
        <v>1.2382172156594025E-7</v>
      </c>
      <c r="AT53" s="153">
        <f t="shared" si="24"/>
        <v>6.5681391066181393E-6</v>
      </c>
      <c r="AU53" s="88">
        <f>AT53/(AR$36*$G$11*((AX53/2)+3.76))</f>
        <v>1.331435774811735E-7</v>
      </c>
      <c r="AV53" s="96">
        <f>$G$12*$AR$36*$AC$28</f>
        <v>7.2</v>
      </c>
      <c r="AW53" s="96">
        <f>$G$13*$AR$36*$AC$28</f>
        <v>8.1</v>
      </c>
      <c r="AX53" s="134">
        <f>(($G$15/2)*(1-$AR$36)*$AC$28)</f>
        <v>1.2499999999999998</v>
      </c>
      <c r="AY53" s="144">
        <f>$G$14*$AC$28</f>
        <v>47.023800000000001</v>
      </c>
      <c r="AZ53" s="152">
        <f t="shared" si="25"/>
        <v>4.160736796286672E-3</v>
      </c>
      <c r="BA53" s="142">
        <f t="shared" si="26"/>
        <v>0.15652292396898015</v>
      </c>
      <c r="BB53" s="163">
        <f t="shared" si="27"/>
        <v>7.3262117951203337E-7</v>
      </c>
      <c r="BC53" s="153">
        <f t="shared" si="28"/>
        <v>8.4644431660726279E-6</v>
      </c>
      <c r="BD53" s="144">
        <f t="shared" si="29"/>
        <v>86552.790908744253</v>
      </c>
    </row>
    <row r="54" spans="1:56" ht="21" thickBot="1" x14ac:dyDescent="0.3">
      <c r="B54" s="203" t="s">
        <v>73</v>
      </c>
      <c r="C54" s="203" t="s">
        <v>69</v>
      </c>
      <c r="D54" s="441" t="s">
        <v>177</v>
      </c>
      <c r="E54" s="255" t="s">
        <v>178</v>
      </c>
      <c r="F54" s="442" t="s">
        <v>173</v>
      </c>
      <c r="G54" s="255" t="s">
        <v>151</v>
      </c>
      <c r="H54" s="442" t="s">
        <v>214</v>
      </c>
      <c r="I54" s="265" t="s">
        <v>215</v>
      </c>
      <c r="J54" s="442" t="s">
        <v>216</v>
      </c>
      <c r="K54" s="442" t="s">
        <v>217</v>
      </c>
      <c r="L54" s="255" t="s">
        <v>218</v>
      </c>
      <c r="M54" s="255" t="s">
        <v>219</v>
      </c>
      <c r="N54" s="255" t="s">
        <v>185</v>
      </c>
      <c r="O54" s="255" t="s">
        <v>182</v>
      </c>
      <c r="P54" s="442" t="s">
        <v>183</v>
      </c>
      <c r="R54" s="299" t="s">
        <v>58</v>
      </c>
      <c r="S54" s="420"/>
      <c r="T54" s="420"/>
      <c r="U54" s="300"/>
      <c r="Y54" s="86">
        <v>15</v>
      </c>
      <c r="Z54" s="86">
        <f t="shared" si="30"/>
        <v>40</v>
      </c>
      <c r="AA54" s="132">
        <f t="shared" si="31"/>
        <v>2923.6931141513533</v>
      </c>
      <c r="AB54" s="191">
        <f t="shared" si="17"/>
        <v>0</v>
      </c>
      <c r="AC54" s="153">
        <f t="shared" si="18"/>
        <v>6.5681391066181393E-6</v>
      </c>
      <c r="AD54" s="88">
        <f>AC54/(AA$36*$G$11*((AG54/2)+3.76))</f>
        <v>1.3974764056634339E-7</v>
      </c>
      <c r="AE54" s="96">
        <f>$G$12*$AA$36*$AC$28</f>
        <v>8</v>
      </c>
      <c r="AF54" s="96">
        <f>$G$13*$AA$36*$AC$28</f>
        <v>9</v>
      </c>
      <c r="AG54" s="134">
        <f>(($G$15/2)*(1-$AA$36)*$AC$28)</f>
        <v>0</v>
      </c>
      <c r="AH54" s="144">
        <f>$G$14*$AC$28</f>
        <v>47.023800000000001</v>
      </c>
      <c r="AI54" s="152">
        <f t="shared" si="19"/>
        <v>0</v>
      </c>
      <c r="AJ54" s="142">
        <f t="shared" si="20"/>
        <v>0.16428662751159046</v>
      </c>
      <c r="AK54" s="163">
        <f>SUM($AB$39:$AB$54)</f>
        <v>0</v>
      </c>
      <c r="AL54" s="153">
        <f t="shared" si="21"/>
        <v>8.9471749900914556E-6</v>
      </c>
      <c r="AM54" s="144">
        <f t="shared" si="22"/>
        <v>0</v>
      </c>
      <c r="AP54" s="86">
        <v>15</v>
      </c>
      <c r="AQ54" s="86">
        <f t="shared" si="32"/>
        <v>40</v>
      </c>
      <c r="AR54" s="132">
        <f t="shared" si="33"/>
        <v>2923.6931141513533</v>
      </c>
      <c r="AS54" s="191">
        <f t="shared" si="23"/>
        <v>1.4729156918642961E-7</v>
      </c>
      <c r="AT54" s="153">
        <f t="shared" si="24"/>
        <v>6.5681391066181393E-6</v>
      </c>
      <c r="AU54" s="88">
        <f>AT54/(AR$36*$G$11*((AX54/2)+3.76))</f>
        <v>1.331435774811735E-7</v>
      </c>
      <c r="AV54" s="96">
        <f>$G$12*$AR$36*$AC$28</f>
        <v>7.2</v>
      </c>
      <c r="AW54" s="96">
        <f>$G$13*$AR$36*$AC$28</f>
        <v>8.1</v>
      </c>
      <c r="AX54" s="134">
        <f>(($G$15/2)*(1-$AR$36)*$AC$28)</f>
        <v>1.2499999999999998</v>
      </c>
      <c r="AY54" s="144">
        <f>$G$14*$AC$28</f>
        <v>47.023800000000001</v>
      </c>
      <c r="AZ54" s="152">
        <f t="shared" si="25"/>
        <v>4.160736796286672E-3</v>
      </c>
      <c r="BA54" s="142">
        <f t="shared" si="26"/>
        <v>0.15652292396898015</v>
      </c>
      <c r="BB54" s="163">
        <f t="shared" si="27"/>
        <v>7.3262117951203337E-7</v>
      </c>
      <c r="BC54" s="153">
        <f t="shared" si="28"/>
        <v>8.4644431660726279E-6</v>
      </c>
      <c r="BD54" s="144">
        <f t="shared" si="29"/>
        <v>86552.790908744253</v>
      </c>
    </row>
    <row r="55" spans="1:56" ht="15.75" thickBot="1" x14ac:dyDescent="0.3">
      <c r="B55" s="86">
        <v>0</v>
      </c>
      <c r="C55" s="86">
        <v>10</v>
      </c>
      <c r="D55" s="246">
        <v>2220.94006104853</v>
      </c>
      <c r="E55" s="153">
        <f>((4.7*10^13*M55*(L55^0.5)*EXP($C$11/D55))/($C$14*6))*$C$5*10^-6</f>
        <v>5.8636022052614899E-11</v>
      </c>
      <c r="F55" s="153">
        <f>(((10^5*($C$4*$C$6)*10^-6)/($C$8*$C$7)))</f>
        <v>6.5681391066181393E-6</v>
      </c>
      <c r="G55" s="88">
        <f>F55/(D$52*$G$11*((J55/2)+3.76))</f>
        <v>1.3690151808188505E-7</v>
      </c>
      <c r="H55" s="96">
        <f>($G$12*$D$52*1.05)</f>
        <v>8.1479999999999997</v>
      </c>
      <c r="I55" s="96">
        <f>($D$52*$G$13*1.05)</f>
        <v>9.166500000000001</v>
      </c>
      <c r="J55" s="134">
        <f>(($G$15/2)*(1-$D$52)*1.05)</f>
        <v>0.39375000000000038</v>
      </c>
      <c r="K55" s="144">
        <f>$G$14*1.05</f>
        <v>49.374990000000004</v>
      </c>
      <c r="L55" s="440">
        <f>((J55*G55)/($C$5*10^-6))</f>
        <v>1.3476243186185573E-3</v>
      </c>
      <c r="M55" s="137">
        <f>((K55*G55)/($C$5*10^-6))</f>
        <v>0.16898777715694735</v>
      </c>
      <c r="N55" s="163">
        <f>SUM($E$55:$E$70)</f>
        <v>7.2998200814886142E-8</v>
      </c>
      <c r="O55" s="164">
        <f t="shared" ref="O55:O70" si="34">G55*(H55+I55+J55+K55)</f>
        <v>9.1837973938514352E-6</v>
      </c>
      <c r="P55" s="170">
        <f>(N55/O55)*10^6</f>
        <v>7948.5857194278415</v>
      </c>
      <c r="R55" s="301"/>
      <c r="S55" s="421"/>
      <c r="T55" s="421"/>
      <c r="U55" s="302"/>
      <c r="Y55" s="249"/>
      <c r="Z55" s="249"/>
      <c r="AA55" s="132"/>
      <c r="AB55" s="97"/>
      <c r="AC55" s="86"/>
      <c r="AD55" s="88"/>
      <c r="AE55" s="96"/>
      <c r="AF55" s="96"/>
      <c r="AG55" s="134"/>
      <c r="AH55" s="145"/>
      <c r="AI55" s="152"/>
      <c r="AJ55" s="143"/>
      <c r="AK55" s="143"/>
      <c r="AL55" s="162"/>
      <c r="AM55" s="144"/>
      <c r="AP55" s="249"/>
      <c r="AQ55" s="249"/>
      <c r="AR55" s="132"/>
      <c r="AS55" s="97"/>
      <c r="AT55" s="86"/>
      <c r="AU55" s="88"/>
      <c r="AV55" s="96"/>
      <c r="AW55" s="96"/>
      <c r="AX55" s="134"/>
      <c r="AY55" s="145"/>
      <c r="AZ55" s="152"/>
      <c r="BA55" s="143"/>
      <c r="BB55" s="143"/>
      <c r="BC55" s="162"/>
      <c r="BD55" s="144"/>
    </row>
    <row r="56" spans="1:56" ht="15.75" thickBot="1" x14ac:dyDescent="0.3">
      <c r="B56" s="86">
        <v>1</v>
      </c>
      <c r="C56" s="86">
        <f>C55+2</f>
        <v>12</v>
      </c>
      <c r="D56" s="132">
        <f>(D55*((C56/C55)^(($C$13-1)/$C$13)))</f>
        <v>2280.561588879094</v>
      </c>
      <c r="E56" s="153">
        <f t="shared" ref="E56:E70" si="35">((4.7*10^13*M56*(L56^0.5)*EXP($C$11/D56))/($C$14*6))*$C$5*10^-6</f>
        <v>1.3030514261045383E-10</v>
      </c>
      <c r="F56" s="153">
        <f t="shared" ref="F56:F70" si="36">(((10^5*($C$4*$C$6)*10^-6)/($C$8*$C$7)))</f>
        <v>6.5681391066181393E-6</v>
      </c>
      <c r="G56" s="88">
        <f>F56/(D$52*$G$11*((J56/2)+3.76))</f>
        <v>1.3690151808188505E-7</v>
      </c>
      <c r="H56" s="96">
        <f>($G$12*$D$52*1.05)</f>
        <v>8.1479999999999997</v>
      </c>
      <c r="I56" s="96">
        <f>($D$52*$G$13*1.05)</f>
        <v>9.166500000000001</v>
      </c>
      <c r="J56" s="134">
        <f>(($G$15/2)*(1-$D$52)*1.05)</f>
        <v>0.39375000000000038</v>
      </c>
      <c r="K56" s="144">
        <f t="shared" ref="K56:K70" si="37">$G$14*1.05</f>
        <v>49.374990000000004</v>
      </c>
      <c r="L56" s="193">
        <f t="shared" ref="L56:L70" si="38">((J56*G56)/($C$5*10^-6))</f>
        <v>1.3476243186185573E-3</v>
      </c>
      <c r="M56" s="136">
        <f t="shared" ref="M56:M70" si="39">((K56*G56)/($C$5*10^-6))</f>
        <v>0.16898777715694735</v>
      </c>
      <c r="N56" s="163">
        <f>SUM($E$55:$E$70)</f>
        <v>7.2998200814886142E-8</v>
      </c>
      <c r="O56" s="165">
        <f t="shared" si="34"/>
        <v>9.1837973938514352E-6</v>
      </c>
      <c r="P56" s="170">
        <f t="shared" ref="P56:P70" si="40">(N56/O56)*10^6</f>
        <v>7948.5857194278415</v>
      </c>
      <c r="R56" s="468" t="s">
        <v>170</v>
      </c>
      <c r="S56" s="120"/>
      <c r="T56" s="246">
        <v>2220.94006104853</v>
      </c>
      <c r="U56" s="120"/>
    </row>
    <row r="57" spans="1:56" ht="27" thickBot="1" x14ac:dyDescent="0.3">
      <c r="B57" s="86">
        <v>2</v>
      </c>
      <c r="C57" s="86">
        <f t="shared" ref="C57:C70" si="41">C56+2</f>
        <v>14</v>
      </c>
      <c r="D57" s="132">
        <f>(D56*((C57/C56)^(($C$13-1)/$C$13)))</f>
        <v>2332.2178588217012</v>
      </c>
      <c r="E57" s="153">
        <f t="shared" si="35"/>
        <v>2.5182064915349931E-10</v>
      </c>
      <c r="F57" s="153">
        <f t="shared" si="36"/>
        <v>6.5681391066181393E-6</v>
      </c>
      <c r="G57" s="88">
        <f>F57/(D$52*$G$11*((J57/2)+3.76))</f>
        <v>1.3690151808188505E-7</v>
      </c>
      <c r="H57" s="96">
        <f>($G$12*$D$52*1.05)</f>
        <v>8.1479999999999997</v>
      </c>
      <c r="I57" s="96">
        <f>($D$52*$G$13*1.05)</f>
        <v>9.166500000000001</v>
      </c>
      <c r="J57" s="134">
        <f>(($G$15/2)*(1-$D$52)*1.05)</f>
        <v>0.39375000000000038</v>
      </c>
      <c r="K57" s="144">
        <f t="shared" si="37"/>
        <v>49.374990000000004</v>
      </c>
      <c r="L57" s="193">
        <f t="shared" si="38"/>
        <v>1.3476243186185573E-3</v>
      </c>
      <c r="M57" s="136">
        <f t="shared" si="39"/>
        <v>0.16898777715694735</v>
      </c>
      <c r="N57" s="163">
        <f>SUM($E$55:$E$70)</f>
        <v>7.2998200814886142E-8</v>
      </c>
      <c r="O57" s="165">
        <f t="shared" si="34"/>
        <v>9.1837973938514352E-6</v>
      </c>
      <c r="P57" s="170">
        <f t="shared" si="40"/>
        <v>7948.5857194278415</v>
      </c>
      <c r="R57" s="121"/>
      <c r="S57" s="122"/>
      <c r="T57" s="121"/>
      <c r="U57" s="122"/>
      <c r="AP57" s="396" t="s">
        <v>29</v>
      </c>
      <c r="AQ57" s="397"/>
      <c r="AR57" s="400">
        <v>0.85</v>
      </c>
      <c r="AS57" s="401"/>
      <c r="AT57" s="401"/>
      <c r="AU57" s="401"/>
      <c r="AV57" s="401"/>
      <c r="AW57" s="401"/>
      <c r="AX57" s="401"/>
      <c r="AY57" s="401"/>
      <c r="AZ57" s="401"/>
      <c r="BA57" s="402"/>
      <c r="BB57" s="179"/>
    </row>
    <row r="58" spans="1:56" ht="27" thickBot="1" x14ac:dyDescent="0.3">
      <c r="B58" s="86">
        <v>3</v>
      </c>
      <c r="C58" s="86">
        <f t="shared" si="41"/>
        <v>16</v>
      </c>
      <c r="D58" s="132">
        <f>(D57*((C58/C57)^(($C$13-1)/$C$13)))</f>
        <v>2377.9093631283195</v>
      </c>
      <c r="E58" s="153">
        <f t="shared" si="35"/>
        <v>4.4037283258586094E-10</v>
      </c>
      <c r="F58" s="153">
        <f t="shared" si="36"/>
        <v>6.5681391066181393E-6</v>
      </c>
      <c r="G58" s="88">
        <f>F58/(D$52*$G$11*((J58/2)+3.76))</f>
        <v>1.3690151808188505E-7</v>
      </c>
      <c r="H58" s="96">
        <f>($G$12*$D$52*1.05)</f>
        <v>8.1479999999999997</v>
      </c>
      <c r="I58" s="96">
        <f>($D$52*$G$13*1.05)</f>
        <v>9.166500000000001</v>
      </c>
      <c r="J58" s="134">
        <f>(($G$15/2)*(1-$D$52)*1.05)</f>
        <v>0.39375000000000038</v>
      </c>
      <c r="K58" s="144">
        <f t="shared" si="37"/>
        <v>49.374990000000004</v>
      </c>
      <c r="L58" s="193">
        <f t="shared" si="38"/>
        <v>1.3476243186185573E-3</v>
      </c>
      <c r="M58" s="136">
        <f t="shared" si="39"/>
        <v>0.16898777715694735</v>
      </c>
      <c r="N58" s="163">
        <f>SUM($E$55:$E$70)</f>
        <v>7.2998200814886142E-8</v>
      </c>
      <c r="O58" s="165">
        <f t="shared" si="34"/>
        <v>9.1837973938514352E-6</v>
      </c>
      <c r="P58" s="170">
        <f t="shared" si="40"/>
        <v>7948.5857194278415</v>
      </c>
      <c r="R58" s="468" t="s">
        <v>59</v>
      </c>
      <c r="S58" s="120"/>
      <c r="T58" s="469">
        <f>(H55*D52*( 8.5770134353E-19*T56^6 - 1.0374875556E-14*T56^5 + 4.9689475953E-11*T56^4 - 0.00000012019118054*T56^3 + 0.00015650954893*T56^2 - 0.048239362033*T56 + 5.2084519626) + (I55*D52*(6.6506859177E-19*T56^6 - 7.8984343104E-15*T56^5 + 3.6879849877E-11*T56^4 - 0.000000086386228559*T56^3 + 0.00011074017861*T56^2 - 0.031241611608*T56 + 3.3006694533) + (J55*(1-D52)*(5.9376621671E-19*T56^6 - 7.1020711589E-15*T56^5 + 3.3460896805E-11*T56^4 - 0.000000078909601634*T56^3 + 0.000098599769212*T56^2 - 0.028172899156*T56 + 3.05378908) + (K55*(6.4958291549E-19*T56^6 - 7.8224528491E-15*T56^5 + 3.7120417697E-11*T56^4 - 0.00000008798317617*T56^3 + 0.00010982327235*T56^2 - 0.032606444641*T56 + 3.5786489003)))))</f>
        <v>4905.2740023291699</v>
      </c>
      <c r="U58" s="120"/>
      <c r="Y58" s="396" t="s">
        <v>29</v>
      </c>
      <c r="Z58" s="397"/>
      <c r="AA58" s="400">
        <v>0.99</v>
      </c>
      <c r="AB58" s="401"/>
      <c r="AC58" s="401"/>
      <c r="AD58" s="401"/>
      <c r="AE58" s="401"/>
      <c r="AF58" s="401"/>
      <c r="AG58" s="401"/>
      <c r="AH58" s="401"/>
      <c r="AI58" s="401"/>
      <c r="AJ58" s="402"/>
      <c r="AK58" s="179"/>
      <c r="AP58" s="398"/>
      <c r="AQ58" s="399"/>
      <c r="AR58" s="403"/>
      <c r="AS58" s="404"/>
      <c r="AT58" s="404"/>
      <c r="AU58" s="404"/>
      <c r="AV58" s="404"/>
      <c r="AW58" s="404"/>
      <c r="AX58" s="404"/>
      <c r="AY58" s="404"/>
      <c r="AZ58" s="404"/>
      <c r="BA58" s="405"/>
      <c r="BB58" s="179"/>
    </row>
    <row r="59" spans="1:56" ht="27" thickBot="1" x14ac:dyDescent="0.3">
      <c r="B59" s="86">
        <v>4</v>
      </c>
      <c r="C59" s="86">
        <f t="shared" si="41"/>
        <v>18</v>
      </c>
      <c r="D59" s="132">
        <f>(D58*((C59/C58)^(($C$13-1)/$C$13)))</f>
        <v>2418.9545850983704</v>
      </c>
      <c r="E59" s="153">
        <f t="shared" si="35"/>
        <v>7.1457613954468091E-10</v>
      </c>
      <c r="F59" s="153">
        <f t="shared" si="36"/>
        <v>6.5681391066181393E-6</v>
      </c>
      <c r="G59" s="88">
        <f>F59/(D$52*$G$11*((J59/2)+3.76))</f>
        <v>1.3690151808188505E-7</v>
      </c>
      <c r="H59" s="96">
        <f>($G$12*$D$52*1.05)</f>
        <v>8.1479999999999997</v>
      </c>
      <c r="I59" s="96">
        <f>($D$52*$G$13*1.05)</f>
        <v>9.166500000000001</v>
      </c>
      <c r="J59" s="134">
        <f>(($G$15/2)*(1-$D$52)*1.05)</f>
        <v>0.39375000000000038</v>
      </c>
      <c r="K59" s="144">
        <f t="shared" si="37"/>
        <v>49.374990000000004</v>
      </c>
      <c r="L59" s="193">
        <f t="shared" si="38"/>
        <v>1.3476243186185573E-3</v>
      </c>
      <c r="M59" s="136">
        <f t="shared" si="39"/>
        <v>0.16898777715694735</v>
      </c>
      <c r="N59" s="163">
        <f>SUM($E$55:$E$70)</f>
        <v>7.2998200814886142E-8</v>
      </c>
      <c r="O59" s="165">
        <f t="shared" si="34"/>
        <v>9.1837973938514352E-6</v>
      </c>
      <c r="P59" s="170">
        <f t="shared" si="40"/>
        <v>7948.5857194278415</v>
      </c>
      <c r="R59" s="121"/>
      <c r="S59" s="122"/>
      <c r="T59" s="470"/>
      <c r="U59" s="122"/>
      <c r="Y59" s="398"/>
      <c r="Z59" s="399"/>
      <c r="AA59" s="403"/>
      <c r="AB59" s="404"/>
      <c r="AC59" s="404"/>
      <c r="AD59" s="404"/>
      <c r="AE59" s="404"/>
      <c r="AF59" s="404"/>
      <c r="AG59" s="404"/>
      <c r="AH59" s="404"/>
      <c r="AI59" s="404"/>
      <c r="AJ59" s="405"/>
      <c r="AK59" s="179"/>
      <c r="AP59" s="2" t="s">
        <v>73</v>
      </c>
      <c r="AQ59" s="2" t="s">
        <v>69</v>
      </c>
      <c r="AR59" s="245" t="s">
        <v>177</v>
      </c>
      <c r="AS59" s="2" t="s">
        <v>178</v>
      </c>
      <c r="AT59" s="251" t="s">
        <v>237</v>
      </c>
      <c r="AU59" s="2" t="s">
        <v>151</v>
      </c>
      <c r="AV59" s="251" t="s">
        <v>155</v>
      </c>
      <c r="AW59" s="252" t="s">
        <v>156</v>
      </c>
      <c r="AX59" s="251" t="s">
        <v>157</v>
      </c>
      <c r="AY59" s="251" t="s">
        <v>158</v>
      </c>
      <c r="AZ59" s="251" t="s">
        <v>180</v>
      </c>
      <c r="BA59" s="2" t="s">
        <v>181</v>
      </c>
      <c r="BB59" s="2" t="s">
        <v>185</v>
      </c>
      <c r="BC59" s="2" t="s">
        <v>182</v>
      </c>
      <c r="BD59" s="251" t="s">
        <v>183</v>
      </c>
    </row>
    <row r="60" spans="1:56" ht="18.75" thickBot="1" x14ac:dyDescent="0.3">
      <c r="B60" s="86">
        <v>5</v>
      </c>
      <c r="C60" s="86">
        <f t="shared" si="41"/>
        <v>20</v>
      </c>
      <c r="D60" s="132">
        <f>(D59*((C60/C59)^(($C$13-1)/$C$13)))</f>
        <v>2456.2707638579845</v>
      </c>
      <c r="E60" s="153">
        <f t="shared" si="35"/>
        <v>1.0941563010185504E-9</v>
      </c>
      <c r="F60" s="153">
        <f t="shared" si="36"/>
        <v>6.5681391066181393E-6</v>
      </c>
      <c r="G60" s="88">
        <f>F60/(D$52*$G$11*((J60/2)+3.76))</f>
        <v>1.3690151808188505E-7</v>
      </c>
      <c r="H60" s="96">
        <f>($G$12*$D$52*1.05)</f>
        <v>8.1479999999999997</v>
      </c>
      <c r="I60" s="96">
        <f>($D$52*$G$13*1.05)</f>
        <v>9.166500000000001</v>
      </c>
      <c r="J60" s="134">
        <f>(($G$15/2)*(1-$D$52)*1.05)</f>
        <v>0.39375000000000038</v>
      </c>
      <c r="K60" s="144">
        <f t="shared" si="37"/>
        <v>49.374990000000004</v>
      </c>
      <c r="L60" s="193">
        <f t="shared" si="38"/>
        <v>1.3476243186185573E-3</v>
      </c>
      <c r="M60" s="136">
        <f t="shared" si="39"/>
        <v>0.16898777715694735</v>
      </c>
      <c r="N60" s="163">
        <f>SUM($E$55:$E$70)</f>
        <v>7.2998200814886142E-8</v>
      </c>
      <c r="O60" s="165">
        <f t="shared" si="34"/>
        <v>9.1837973938514352E-6</v>
      </c>
      <c r="P60" s="170">
        <f t="shared" si="40"/>
        <v>7948.5857194278415</v>
      </c>
      <c r="Y60" s="2" t="s">
        <v>73</v>
      </c>
      <c r="Z60" s="2" t="s">
        <v>69</v>
      </c>
      <c r="AA60" s="245" t="s">
        <v>177</v>
      </c>
      <c r="AB60" s="2" t="s">
        <v>178</v>
      </c>
      <c r="AC60" s="251" t="s">
        <v>237</v>
      </c>
      <c r="AD60" s="2" t="s">
        <v>151</v>
      </c>
      <c r="AE60" s="251" t="s">
        <v>155</v>
      </c>
      <c r="AF60" s="252" t="s">
        <v>156</v>
      </c>
      <c r="AG60" s="251" t="s">
        <v>157</v>
      </c>
      <c r="AH60" s="251" t="s">
        <v>158</v>
      </c>
      <c r="AI60" s="251" t="s">
        <v>180</v>
      </c>
      <c r="AJ60" s="2" t="s">
        <v>181</v>
      </c>
      <c r="AK60" s="2" t="s">
        <v>185</v>
      </c>
      <c r="AL60" s="2" t="s">
        <v>182</v>
      </c>
      <c r="AM60" s="251" t="s">
        <v>183</v>
      </c>
      <c r="AP60" s="86">
        <v>0</v>
      </c>
      <c r="AQ60" s="86">
        <v>10</v>
      </c>
      <c r="AR60" s="248">
        <v>2390.3031441465077</v>
      </c>
      <c r="AS60" s="191">
        <f>((4.7*10^13*BA60*(AZ60^0.5)*EXP($C$11/AR60))/($C$14*6))*$C$5*10^-6</f>
        <v>1.0000443003164345E-9</v>
      </c>
      <c r="AT60" s="153">
        <f>(((10^5*($C$4*$C$6)*10^-6)/($C$8*$C$7)))</f>
        <v>6.5681391066181393E-6</v>
      </c>
      <c r="AU60" s="88">
        <f>AT60/($AR$57*$G$11*((AX60/2)+3.76))</f>
        <v>1.3159718962638479E-7</v>
      </c>
      <c r="AV60" s="96">
        <f>$G$12*$AR$57*$AC$28</f>
        <v>6.8</v>
      </c>
      <c r="AW60" s="96">
        <f>$G$13*$AR$57*$AC$28</f>
        <v>7.6499999999999995</v>
      </c>
      <c r="AX60" s="134">
        <f>(($G$15/2)*(1-$AR$57)*$AC$28)</f>
        <v>1.8750000000000002</v>
      </c>
      <c r="AY60" s="144">
        <f>$G$14*$AC$28</f>
        <v>47.023800000000001</v>
      </c>
      <c r="AZ60" s="152">
        <f>((AX60*AU60)/($C$5*10^-6))</f>
        <v>6.1686182637367875E-3</v>
      </c>
      <c r="BA60" s="151">
        <f>((AY60*AU60)/($C$5*10^-6))</f>
        <v>0.15470499813882985</v>
      </c>
      <c r="BB60" s="163">
        <f>SUM($AS$60:$AS$75)</f>
        <v>8.8168750903459936E-7</v>
      </c>
      <c r="BC60" s="161">
        <f>AU60*(AV60+AW60+AX60+AY60)</f>
        <v>8.3365240462039239E-6</v>
      </c>
      <c r="BD60" s="144">
        <f>(BB60/BC60)*10^6</f>
        <v>105762.0063407698</v>
      </c>
    </row>
    <row r="61" spans="1:56" x14ac:dyDescent="0.25">
      <c r="B61" s="86">
        <v>6</v>
      </c>
      <c r="C61" s="86">
        <f t="shared" si="41"/>
        <v>22</v>
      </c>
      <c r="D61" s="132">
        <f>(D60*((C61/C60)^(($C$13-1)/$C$13)))</f>
        <v>2490.5230228150472</v>
      </c>
      <c r="E61" s="153">
        <f t="shared" si="35"/>
        <v>1.5996956308519569E-9</v>
      </c>
      <c r="F61" s="153">
        <f t="shared" si="36"/>
        <v>6.5681391066181393E-6</v>
      </c>
      <c r="G61" s="88">
        <f>F61/(D$52*$G$11*((J61/2)+3.76))</f>
        <v>1.3690151808188505E-7</v>
      </c>
      <c r="H61" s="96">
        <f>($G$12*$D$52*1.05)</f>
        <v>8.1479999999999997</v>
      </c>
      <c r="I61" s="96">
        <f>($D$52*$G$13*1.05)</f>
        <v>9.166500000000001</v>
      </c>
      <c r="J61" s="134">
        <f>(($G$15/2)*(1-$D$52)*1.05)</f>
        <v>0.39375000000000038</v>
      </c>
      <c r="K61" s="144">
        <f t="shared" si="37"/>
        <v>49.374990000000004</v>
      </c>
      <c r="L61" s="193">
        <f t="shared" si="38"/>
        <v>1.3476243186185573E-3</v>
      </c>
      <c r="M61" s="136">
        <f t="shared" si="39"/>
        <v>0.16898777715694735</v>
      </c>
      <c r="N61" s="163">
        <f>SUM($E$55:$E$70)</f>
        <v>7.2998200814886142E-8</v>
      </c>
      <c r="O61" s="165">
        <f t="shared" si="34"/>
        <v>9.1837973938514352E-6</v>
      </c>
      <c r="P61" s="170">
        <f t="shared" si="40"/>
        <v>7948.5857194278415</v>
      </c>
      <c r="Y61" s="86">
        <v>0</v>
      </c>
      <c r="Z61" s="86">
        <v>10</v>
      </c>
      <c r="AA61" s="248">
        <v>2390.3031441465077</v>
      </c>
      <c r="AB61" s="191">
        <f>((4.7*10^13*AJ61*(AI61^0.5)*EXP($C$11/AA61))/($C$14*6))*$C$5*10^-6</f>
        <v>2.798518280390797E-10</v>
      </c>
      <c r="AC61" s="153">
        <f>(((10^5*($C$4*$C$6)*10^-6)/($C$8*$C$7)))</f>
        <v>6.5681391066181393E-6</v>
      </c>
      <c r="AD61" s="88">
        <f>AC61/(AA$58*$G$11*((AG61/2)+3.76))</f>
        <v>1.3885120096437262E-7</v>
      </c>
      <c r="AE61" s="96">
        <f>$G$12*$AA$58*$AC$28</f>
        <v>7.92</v>
      </c>
      <c r="AF61" s="96">
        <f>$G$13*$AA$58*$AC$28</f>
        <v>8.91</v>
      </c>
      <c r="AG61" s="134">
        <f>(($G$15/2)*(1-$AA$58)*$AC$28)</f>
        <v>0.12500000000000011</v>
      </c>
      <c r="AH61" s="144">
        <f>$G$14*$AC$28</f>
        <v>47.023800000000001</v>
      </c>
      <c r="AI61" s="152">
        <f>((AG61*AD61)/($C$5*10^-6))</f>
        <v>4.3391000301366492E-4</v>
      </c>
      <c r="AJ61" s="151">
        <f>((AH61*AD61)/($C$5*10^-6))</f>
        <v>0.16323277759771165</v>
      </c>
      <c r="AK61" s="163">
        <f>SUM($AB$61:$AB$76)</f>
        <v>2.4673093090424205E-7</v>
      </c>
      <c r="AL61" s="161">
        <f>AD61*(AE61+AF61+AG61+AH61)</f>
        <v>8.8835332162594029E-6</v>
      </c>
      <c r="AM61" s="144">
        <f>(AK61/AL61)*10^6</f>
        <v>27773.963905786266</v>
      </c>
      <c r="AP61" s="86">
        <v>1</v>
      </c>
      <c r="AQ61" s="86">
        <f>AQ60+2</f>
        <v>12</v>
      </c>
      <c r="AR61" s="132">
        <f>(AR60*((AQ61/AQ60)^(($C$13-1)/$C$13)))</f>
        <v>2454.4712538274748</v>
      </c>
      <c r="AS61" s="191">
        <f t="shared" ref="AS61:AS75" si="42">((4.7*10^13*BA61*(AZ61^0.5)*EXP($C$11/AR61))/($C$14*6))*$C$5*10^-6</f>
        <v>2.1001207103615669E-9</v>
      </c>
      <c r="AT61" s="153">
        <f t="shared" ref="AT61:AT75" si="43">(((10^5*($C$4*$C$6)*10^-6)/($C$8*$C$7)))</f>
        <v>6.5681391066181393E-6</v>
      </c>
      <c r="AU61" s="88">
        <f>AT61/($AR$57*$G$11*((AX61/2)+3.76))</f>
        <v>1.3159718962638479E-7</v>
      </c>
      <c r="AV61" s="96">
        <f>$G$12*$AR$57*$AC$28</f>
        <v>6.8</v>
      </c>
      <c r="AW61" s="96">
        <f>$G$13*$AR$57*$AC$28</f>
        <v>7.6499999999999995</v>
      </c>
      <c r="AX61" s="134">
        <f>(($G$15/2)*(1-$AR$57)*$AC$28)</f>
        <v>1.8750000000000002</v>
      </c>
      <c r="AY61" s="144">
        <f>$G$14*$AC$28</f>
        <v>47.023800000000001</v>
      </c>
      <c r="AZ61" s="152">
        <f t="shared" ref="AZ61:AZ75" si="44">((AX61*AU61)/($C$5*10^-6))</f>
        <v>6.1686182637367875E-3</v>
      </c>
      <c r="BA61" s="142">
        <f t="shared" ref="BA61:BA76" si="45">((AY61*AU61)/($C$5*10^-6))</f>
        <v>0.15470499813882985</v>
      </c>
      <c r="BB61" s="163">
        <f t="shared" ref="BB61:BB75" si="46">SUM($AS$60:$AS$75)</f>
        <v>8.8168750903459936E-7</v>
      </c>
      <c r="BC61" s="153">
        <f t="shared" ref="BC61:BC75" si="47">AU61*(AV61+AW61+AX61+AY61)</f>
        <v>8.3365240462039239E-6</v>
      </c>
      <c r="BD61" s="144">
        <f t="shared" ref="BD61:BD75" si="48">(BB61/BC61)*10^6</f>
        <v>105762.0063407698</v>
      </c>
    </row>
    <row r="62" spans="1:56" x14ac:dyDescent="0.25">
      <c r="B62" s="86">
        <v>7</v>
      </c>
      <c r="C62" s="86">
        <f t="shared" si="41"/>
        <v>24</v>
      </c>
      <c r="D62" s="132">
        <f>(D61*((C62/C61)^(($C$13-1)/$C$13)))</f>
        <v>2522.2097859302962</v>
      </c>
      <c r="E62" s="153">
        <f t="shared" si="35"/>
        <v>2.2524255520995602E-9</v>
      </c>
      <c r="F62" s="153">
        <f t="shared" si="36"/>
        <v>6.5681391066181393E-6</v>
      </c>
      <c r="G62" s="88">
        <f>F62/(D$52*$G$11*((J62/2)+3.76))</f>
        <v>1.3690151808188505E-7</v>
      </c>
      <c r="H62" s="96">
        <f>($G$12*$D$52*1.05)</f>
        <v>8.1479999999999997</v>
      </c>
      <c r="I62" s="96">
        <f>($D$52*$G$13*1.05)</f>
        <v>9.166500000000001</v>
      </c>
      <c r="J62" s="134">
        <f>(($G$15/2)*(1-$D$52)*1.05)</f>
        <v>0.39375000000000038</v>
      </c>
      <c r="K62" s="144">
        <f t="shared" si="37"/>
        <v>49.374990000000004</v>
      </c>
      <c r="L62" s="193">
        <f t="shared" si="38"/>
        <v>1.3476243186185573E-3</v>
      </c>
      <c r="M62" s="136">
        <f t="shared" si="39"/>
        <v>0.16898777715694735</v>
      </c>
      <c r="N62" s="163">
        <f>SUM($E$55:$E$70)</f>
        <v>7.2998200814886142E-8</v>
      </c>
      <c r="O62" s="165">
        <f t="shared" si="34"/>
        <v>9.1837973938514352E-6</v>
      </c>
      <c r="P62" s="170">
        <f t="shared" si="40"/>
        <v>7948.5857194278415</v>
      </c>
      <c r="Y62" s="86">
        <v>1</v>
      </c>
      <c r="Z62" s="86">
        <f>Z61+2</f>
        <v>12</v>
      </c>
      <c r="AA62" s="132">
        <f>(AA61*((Z62/Z61)^(($C$13-1)/$C$13)))</f>
        <v>2454.4712538274748</v>
      </c>
      <c r="AB62" s="191">
        <f t="shared" ref="AB62:AB76" si="49">((4.7*10^13*AJ62*(AI62^0.5)*EXP($C$11/AA62))/($C$14*6))*$C$5*10^-6</f>
        <v>5.8769658475274303E-10</v>
      </c>
      <c r="AC62" s="153">
        <f t="shared" ref="AC62:AC76" si="50">(((10^5*($C$4*$C$6)*10^-6)/($C$8*$C$7)))</f>
        <v>6.5681391066181393E-6</v>
      </c>
      <c r="AD62" s="88">
        <f>AC62/(AA$58*$G$11*((AG62/2)+3.76))</f>
        <v>1.3885120096437262E-7</v>
      </c>
      <c r="AE62" s="96">
        <f>$G$12*$AA$58*$AC$28</f>
        <v>7.92</v>
      </c>
      <c r="AF62" s="96">
        <f>$G$13*$AA$58*$AC$28</f>
        <v>8.91</v>
      </c>
      <c r="AG62" s="134">
        <f>(($G$15/2)*(1-$AA$58)*$AC$28)</f>
        <v>0.12500000000000011</v>
      </c>
      <c r="AH62" s="144">
        <f>$G$14*$AC$28</f>
        <v>47.023800000000001</v>
      </c>
      <c r="AI62" s="152">
        <f t="shared" ref="AI62:AI76" si="51">((AG62*AD62)/($C$5*10^-6))</f>
        <v>4.3391000301366492E-4</v>
      </c>
      <c r="AJ62" s="142">
        <f t="shared" ref="AJ62:AJ77" si="52">((AH62*AD62)/($C$5*10^-6))</f>
        <v>0.16323277759771165</v>
      </c>
      <c r="AK62" s="163">
        <f t="shared" ref="AK62:AK76" si="53">SUM($AB$61:$AB$76)</f>
        <v>2.4673093090424205E-7</v>
      </c>
      <c r="AL62" s="153">
        <f t="shared" ref="AL62:AL76" si="54">AD62*(AE62+AF62+AG62+AH62)</f>
        <v>8.8835332162594029E-6</v>
      </c>
      <c r="AM62" s="144">
        <f t="shared" ref="AM62:AM76" si="55">(AK62/AL62)*10^6</f>
        <v>27773.963905786266</v>
      </c>
      <c r="AP62" s="86">
        <v>2</v>
      </c>
      <c r="AQ62" s="86">
        <f t="shared" ref="AQ62:AQ75" si="56">AQ61+2</f>
        <v>14</v>
      </c>
      <c r="AR62" s="132">
        <f t="shared" ref="AR62:AR75" si="57">(AR61*((AQ62/AQ61)^(($C$13-1)/$C$13)))</f>
        <v>2510.0666958766406</v>
      </c>
      <c r="AS62" s="191">
        <f t="shared" si="42"/>
        <v>3.8734730280835854E-9</v>
      </c>
      <c r="AT62" s="153">
        <f t="shared" si="43"/>
        <v>6.5681391066181393E-6</v>
      </c>
      <c r="AU62" s="88">
        <f>AT62/($AR$57*$G$11*((AX62/2)+3.76))</f>
        <v>1.3159718962638479E-7</v>
      </c>
      <c r="AV62" s="96">
        <f>$G$12*$AR$57*$AC$28</f>
        <v>6.8</v>
      </c>
      <c r="AW62" s="96">
        <f>$G$13*$AR$57*$AC$28</f>
        <v>7.6499999999999995</v>
      </c>
      <c r="AX62" s="134">
        <f>(($G$15/2)*(1-$AR$57)*$AC$28)</f>
        <v>1.8750000000000002</v>
      </c>
      <c r="AY62" s="144">
        <f>$G$14*$AC$28</f>
        <v>47.023800000000001</v>
      </c>
      <c r="AZ62" s="152">
        <f t="shared" si="44"/>
        <v>6.1686182637367875E-3</v>
      </c>
      <c r="BA62" s="142">
        <f t="shared" si="45"/>
        <v>0.15470499813882985</v>
      </c>
      <c r="BB62" s="163">
        <f t="shared" si="46"/>
        <v>8.8168750903459936E-7</v>
      </c>
      <c r="BC62" s="153">
        <f t="shared" si="47"/>
        <v>8.3365240462039239E-6</v>
      </c>
      <c r="BD62" s="144">
        <f t="shared" si="48"/>
        <v>105762.0063407698</v>
      </c>
    </row>
    <row r="63" spans="1:56" x14ac:dyDescent="0.25">
      <c r="B63" s="86">
        <v>8</v>
      </c>
      <c r="C63" s="86">
        <f t="shared" si="41"/>
        <v>26</v>
      </c>
      <c r="D63" s="132">
        <f>(D62*((C63/C62)^(($C$13-1)/$C$13)))</f>
        <v>2551.7146716778552</v>
      </c>
      <c r="E63" s="153">
        <f t="shared" si="35"/>
        <v>3.0740572000624339E-9</v>
      </c>
      <c r="F63" s="153">
        <f t="shared" si="36"/>
        <v>6.5681391066181393E-6</v>
      </c>
      <c r="G63" s="88">
        <f>F63/(D$52*$G$11*((J63/2)+3.76))</f>
        <v>1.3690151808188505E-7</v>
      </c>
      <c r="H63" s="96">
        <f>($G$12*$D$52*1.05)</f>
        <v>8.1479999999999997</v>
      </c>
      <c r="I63" s="96">
        <f>($D$52*$G$13*1.05)</f>
        <v>9.166500000000001</v>
      </c>
      <c r="J63" s="134">
        <f>(($G$15/2)*(1-$D$52)*1.05)</f>
        <v>0.39375000000000038</v>
      </c>
      <c r="K63" s="144">
        <f t="shared" si="37"/>
        <v>49.374990000000004</v>
      </c>
      <c r="L63" s="193">
        <f t="shared" si="38"/>
        <v>1.3476243186185573E-3</v>
      </c>
      <c r="M63" s="136">
        <f t="shared" si="39"/>
        <v>0.16898777715694735</v>
      </c>
      <c r="N63" s="163">
        <f>SUM($E$55:$E$70)</f>
        <v>7.2998200814886142E-8</v>
      </c>
      <c r="O63" s="165">
        <f t="shared" si="34"/>
        <v>9.1837973938514352E-6</v>
      </c>
      <c r="P63" s="170">
        <f t="shared" si="40"/>
        <v>7948.5857194278415</v>
      </c>
      <c r="Y63" s="86">
        <v>2</v>
      </c>
      <c r="Z63" s="86">
        <f t="shared" ref="Z63:Z76" si="58">Z62+2</f>
        <v>14</v>
      </c>
      <c r="AA63" s="132">
        <f t="shared" ref="AA63:AA76" si="59">(AA62*((Z63/Z62)^(($C$13-1)/$C$13)))</f>
        <v>2510.0666958766406</v>
      </c>
      <c r="AB63" s="191">
        <f t="shared" si="49"/>
        <v>1.0839504884196246E-9</v>
      </c>
      <c r="AC63" s="153">
        <f t="shared" si="50"/>
        <v>6.5681391066181393E-6</v>
      </c>
      <c r="AD63" s="88">
        <f>AC63/(AA$58*$G$11*((AG63/2)+3.76))</f>
        <v>1.3885120096437262E-7</v>
      </c>
      <c r="AE63" s="96">
        <f>$G$12*$AA$58*$AC$28</f>
        <v>7.92</v>
      </c>
      <c r="AF63" s="96">
        <f>$G$13*$AA$58*$AC$28</f>
        <v>8.91</v>
      </c>
      <c r="AG63" s="134">
        <f>(($G$15/2)*(1-$AA$58)*$AC$28)</f>
        <v>0.12500000000000011</v>
      </c>
      <c r="AH63" s="144">
        <f>$G$14*$AC$28</f>
        <v>47.023800000000001</v>
      </c>
      <c r="AI63" s="152">
        <f t="shared" si="51"/>
        <v>4.3391000301366492E-4</v>
      </c>
      <c r="AJ63" s="142">
        <f t="shared" si="52"/>
        <v>0.16323277759771165</v>
      </c>
      <c r="AK63" s="163">
        <f t="shared" si="53"/>
        <v>2.4673093090424205E-7</v>
      </c>
      <c r="AL63" s="153">
        <f t="shared" si="54"/>
        <v>8.8835332162594029E-6</v>
      </c>
      <c r="AM63" s="144">
        <f t="shared" si="55"/>
        <v>27773.963905786266</v>
      </c>
      <c r="AN63" s="260"/>
      <c r="AO63" s="260"/>
      <c r="AP63" s="86">
        <v>3</v>
      </c>
      <c r="AQ63" s="86">
        <f t="shared" si="56"/>
        <v>16</v>
      </c>
      <c r="AR63" s="132">
        <f t="shared" si="57"/>
        <v>2559.2425148554435</v>
      </c>
      <c r="AS63" s="191">
        <f t="shared" si="42"/>
        <v>6.510754611702928E-9</v>
      </c>
      <c r="AT63" s="153">
        <f t="shared" si="43"/>
        <v>6.5681391066181393E-6</v>
      </c>
      <c r="AU63" s="88">
        <f>AT63/($AR$57*$G$11*((AX63/2)+3.76))</f>
        <v>1.3159718962638479E-7</v>
      </c>
      <c r="AV63" s="96">
        <f>$G$12*$AR$57*$AC$28</f>
        <v>6.8</v>
      </c>
      <c r="AW63" s="96">
        <f>$G$13*$AR$57*$AC$28</f>
        <v>7.6499999999999995</v>
      </c>
      <c r="AX63" s="134">
        <f>(($G$15/2)*(1-$AR$57)*$AC$28)</f>
        <v>1.8750000000000002</v>
      </c>
      <c r="AY63" s="144">
        <f>$G$14*$AC$28</f>
        <v>47.023800000000001</v>
      </c>
      <c r="AZ63" s="152">
        <f t="shared" si="44"/>
        <v>6.1686182637367875E-3</v>
      </c>
      <c r="BA63" s="142">
        <f t="shared" si="45"/>
        <v>0.15470499813882985</v>
      </c>
      <c r="BB63" s="163">
        <f t="shared" si="46"/>
        <v>8.8168750903459936E-7</v>
      </c>
      <c r="BC63" s="153">
        <f t="shared" si="47"/>
        <v>8.3365240462039239E-6</v>
      </c>
      <c r="BD63" s="144">
        <f t="shared" si="48"/>
        <v>105762.0063407698</v>
      </c>
    </row>
    <row r="64" spans="1:56" ht="26.25" x14ac:dyDescent="0.25">
      <c r="A64" s="243"/>
      <c r="B64" s="86">
        <v>9</v>
      </c>
      <c r="C64" s="86">
        <f t="shared" si="41"/>
        <v>28</v>
      </c>
      <c r="D64" s="132">
        <f>(D63*((C64/C63)^(($C$13-1)/$C$13)))</f>
        <v>2579.3395517692175</v>
      </c>
      <c r="E64" s="153">
        <f t="shared" si="35"/>
        <v>4.0866427134263175E-9</v>
      </c>
      <c r="F64" s="153">
        <f t="shared" si="36"/>
        <v>6.5681391066181393E-6</v>
      </c>
      <c r="G64" s="88">
        <f>F64/(D$52*$G$11*((J64/2)+3.76))</f>
        <v>1.3690151808188505E-7</v>
      </c>
      <c r="H64" s="96">
        <f>($G$12*$D$52*1.05)</f>
        <v>8.1479999999999997</v>
      </c>
      <c r="I64" s="96">
        <f>($D$52*$G$13*1.05)</f>
        <v>9.166500000000001</v>
      </c>
      <c r="J64" s="134">
        <f>(($G$15/2)*(1-$D$52)*1.05)</f>
        <v>0.39375000000000038</v>
      </c>
      <c r="K64" s="144">
        <f t="shared" si="37"/>
        <v>49.374990000000004</v>
      </c>
      <c r="L64" s="193">
        <f t="shared" si="38"/>
        <v>1.3476243186185573E-3</v>
      </c>
      <c r="M64" s="136">
        <f t="shared" si="39"/>
        <v>0.16898777715694735</v>
      </c>
      <c r="N64" s="163">
        <f>SUM($E$55:$E$70)</f>
        <v>7.2998200814886142E-8</v>
      </c>
      <c r="O64" s="165">
        <f t="shared" si="34"/>
        <v>9.1837973938514352E-6</v>
      </c>
      <c r="P64" s="170">
        <f t="shared" si="40"/>
        <v>7948.5857194278415</v>
      </c>
      <c r="X64" s="209"/>
      <c r="Y64" s="86">
        <v>3</v>
      </c>
      <c r="Z64" s="86">
        <f t="shared" si="58"/>
        <v>16</v>
      </c>
      <c r="AA64" s="132">
        <f t="shared" si="59"/>
        <v>2559.2425148554435</v>
      </c>
      <c r="AB64" s="191">
        <f t="shared" si="49"/>
        <v>1.8219658663345215E-9</v>
      </c>
      <c r="AC64" s="153">
        <f t="shared" si="50"/>
        <v>6.5681391066181393E-6</v>
      </c>
      <c r="AD64" s="88">
        <f>AC64/(AA$58*$G$11*((AG64/2)+3.76))</f>
        <v>1.3885120096437262E-7</v>
      </c>
      <c r="AE64" s="96">
        <f>$G$12*$AA$58*$AC$28</f>
        <v>7.92</v>
      </c>
      <c r="AF64" s="96">
        <f>$G$13*$AA$58*$AC$28</f>
        <v>8.91</v>
      </c>
      <c r="AG64" s="134">
        <f>(($G$15/2)*(1-$AA$58)*$AC$28)</f>
        <v>0.12500000000000011</v>
      </c>
      <c r="AH64" s="144">
        <f>$G$14*$AC$28</f>
        <v>47.023800000000001</v>
      </c>
      <c r="AI64" s="152">
        <f t="shared" si="51"/>
        <v>4.3391000301366492E-4</v>
      </c>
      <c r="AJ64" s="142">
        <f t="shared" si="52"/>
        <v>0.16323277759771165</v>
      </c>
      <c r="AK64" s="163">
        <f t="shared" si="53"/>
        <v>2.4673093090424205E-7</v>
      </c>
      <c r="AL64" s="153">
        <f t="shared" si="54"/>
        <v>8.8835332162594029E-6</v>
      </c>
      <c r="AM64" s="144">
        <f t="shared" si="55"/>
        <v>27773.963905786266</v>
      </c>
      <c r="AN64" s="260"/>
      <c r="AO64" s="260"/>
      <c r="AP64" s="86">
        <v>4</v>
      </c>
      <c r="AQ64" s="86">
        <f t="shared" si="56"/>
        <v>18</v>
      </c>
      <c r="AR64" s="132">
        <f t="shared" si="57"/>
        <v>2603.4177381529535</v>
      </c>
      <c r="AS64" s="191">
        <f t="shared" si="42"/>
        <v>1.0208543344645324E-8</v>
      </c>
      <c r="AT64" s="153">
        <f t="shared" si="43"/>
        <v>6.5681391066181393E-6</v>
      </c>
      <c r="AU64" s="88">
        <f>AT64/($AR$57*$G$11*((AX64/2)+3.76))</f>
        <v>1.3159718962638479E-7</v>
      </c>
      <c r="AV64" s="96">
        <f>$G$12*$AR$57*$AC$28</f>
        <v>6.8</v>
      </c>
      <c r="AW64" s="96">
        <f>$G$13*$AR$57*$AC$28</f>
        <v>7.6499999999999995</v>
      </c>
      <c r="AX64" s="134">
        <f>(($G$15/2)*(1-$AR$57)*$AC$28)</f>
        <v>1.8750000000000002</v>
      </c>
      <c r="AY64" s="144">
        <f>$G$14*$AC$28</f>
        <v>47.023800000000001</v>
      </c>
      <c r="AZ64" s="152">
        <f t="shared" si="44"/>
        <v>6.1686182637367875E-3</v>
      </c>
      <c r="BA64" s="142">
        <f t="shared" si="45"/>
        <v>0.15470499813882985</v>
      </c>
      <c r="BB64" s="163">
        <f t="shared" si="46"/>
        <v>8.8168750903459936E-7</v>
      </c>
      <c r="BC64" s="153">
        <f t="shared" si="47"/>
        <v>8.3365240462039239E-6</v>
      </c>
      <c r="BD64" s="144">
        <f t="shared" si="48"/>
        <v>105762.0063407698</v>
      </c>
    </row>
    <row r="65" spans="1:56" ht="26.25" x14ac:dyDescent="0.25">
      <c r="A65" s="243"/>
      <c r="B65" s="86">
        <v>10</v>
      </c>
      <c r="C65" s="86">
        <f t="shared" si="41"/>
        <v>30</v>
      </c>
      <c r="D65" s="132">
        <f>(D64*((C65/C64)^(($C$13-1)/$C$13)))</f>
        <v>2605.3264491741597</v>
      </c>
      <c r="E65" s="153">
        <f t="shared" si="35"/>
        <v>5.3124613259228053E-9</v>
      </c>
      <c r="F65" s="153">
        <f t="shared" si="36"/>
        <v>6.5681391066181393E-6</v>
      </c>
      <c r="G65" s="88">
        <f>F65/(D$52*$G$11*((J65/2)+3.76))</f>
        <v>1.3690151808188505E-7</v>
      </c>
      <c r="H65" s="96">
        <f>($G$12*$D$52*1.05)</f>
        <v>8.1479999999999997</v>
      </c>
      <c r="I65" s="96">
        <f>($D$52*$G$13*1.05)</f>
        <v>9.166500000000001</v>
      </c>
      <c r="J65" s="134">
        <f>(($G$15/2)*(1-$D$52)*1.05)</f>
        <v>0.39375000000000038</v>
      </c>
      <c r="K65" s="144">
        <f t="shared" si="37"/>
        <v>49.374990000000004</v>
      </c>
      <c r="L65" s="193">
        <f t="shared" si="38"/>
        <v>1.3476243186185573E-3</v>
      </c>
      <c r="M65" s="136">
        <f t="shared" si="39"/>
        <v>0.16898777715694735</v>
      </c>
      <c r="N65" s="163">
        <f>SUM($E$55:$E$70)</f>
        <v>7.2998200814886142E-8</v>
      </c>
      <c r="O65" s="165">
        <f t="shared" si="34"/>
        <v>9.1837973938514352E-6</v>
      </c>
      <c r="P65" s="170">
        <f t="shared" si="40"/>
        <v>7948.5857194278415</v>
      </c>
      <c r="X65" s="209"/>
      <c r="Y65" s="86">
        <v>4</v>
      </c>
      <c r="Z65" s="86">
        <f t="shared" si="58"/>
        <v>18</v>
      </c>
      <c r="AA65" s="132">
        <f t="shared" si="59"/>
        <v>2603.4177381529535</v>
      </c>
      <c r="AB65" s="191">
        <f t="shared" si="49"/>
        <v>2.8567529615550036E-9</v>
      </c>
      <c r="AC65" s="153">
        <f t="shared" si="50"/>
        <v>6.5681391066181393E-6</v>
      </c>
      <c r="AD65" s="88">
        <f>AC65/(AA$58*$G$11*((AG65/2)+3.76))</f>
        <v>1.3885120096437262E-7</v>
      </c>
      <c r="AE65" s="96">
        <f>$G$12*$AA$58*$AC$28</f>
        <v>7.92</v>
      </c>
      <c r="AF65" s="96">
        <f>$G$13*$AA$58*$AC$28</f>
        <v>8.91</v>
      </c>
      <c r="AG65" s="134">
        <f>(($G$15/2)*(1-$AA$58)*$AC$28)</f>
        <v>0.12500000000000011</v>
      </c>
      <c r="AH65" s="144">
        <f>$G$14*$AC$28</f>
        <v>47.023800000000001</v>
      </c>
      <c r="AI65" s="152">
        <f t="shared" si="51"/>
        <v>4.3391000301366492E-4</v>
      </c>
      <c r="AJ65" s="142">
        <f t="shared" si="52"/>
        <v>0.16323277759771165</v>
      </c>
      <c r="AK65" s="163">
        <f t="shared" si="53"/>
        <v>2.4673093090424205E-7</v>
      </c>
      <c r="AL65" s="153">
        <f t="shared" si="54"/>
        <v>8.8835332162594029E-6</v>
      </c>
      <c r="AM65" s="144">
        <f t="shared" si="55"/>
        <v>27773.963905786266</v>
      </c>
      <c r="AN65" s="260"/>
      <c r="AO65" s="260"/>
      <c r="AP65" s="86">
        <v>5</v>
      </c>
      <c r="AQ65" s="86">
        <f t="shared" si="56"/>
        <v>20</v>
      </c>
      <c r="AR65" s="132">
        <f t="shared" si="57"/>
        <v>2643.5795511532228</v>
      </c>
      <c r="AS65" s="191">
        <f t="shared" si="42"/>
        <v>1.5166466631193889E-8</v>
      </c>
      <c r="AT65" s="153">
        <f t="shared" si="43"/>
        <v>6.5681391066181393E-6</v>
      </c>
      <c r="AU65" s="88">
        <f>AT65/($AR$57*$G$11*((AX65/2)+3.76))</f>
        <v>1.3159718962638479E-7</v>
      </c>
      <c r="AV65" s="96">
        <f>$G$12*$AR$57*$AC$28</f>
        <v>6.8</v>
      </c>
      <c r="AW65" s="96">
        <f>$G$13*$AR$57*$AC$28</f>
        <v>7.6499999999999995</v>
      </c>
      <c r="AX65" s="134">
        <f>(($G$15/2)*(1-$AR$57)*$AC$28)</f>
        <v>1.8750000000000002</v>
      </c>
      <c r="AY65" s="144">
        <f>$G$14*$AC$28</f>
        <v>47.023800000000001</v>
      </c>
      <c r="AZ65" s="152">
        <f t="shared" si="44"/>
        <v>6.1686182637367875E-3</v>
      </c>
      <c r="BA65" s="142">
        <f t="shared" si="45"/>
        <v>0.15470499813882985</v>
      </c>
      <c r="BB65" s="163">
        <f t="shared" si="46"/>
        <v>8.8168750903459936E-7</v>
      </c>
      <c r="BC65" s="153">
        <f t="shared" si="47"/>
        <v>8.3365240462039239E-6</v>
      </c>
      <c r="BD65" s="144">
        <f t="shared" si="48"/>
        <v>105762.0063407698</v>
      </c>
    </row>
    <row r="66" spans="1:56" x14ac:dyDescent="0.25">
      <c r="A66" s="224"/>
      <c r="B66" s="86">
        <v>11</v>
      </c>
      <c r="C66" s="86">
        <f t="shared" si="41"/>
        <v>32</v>
      </c>
      <c r="D66" s="132">
        <f>(D65*((C66/C65)^(($C$13-1)/$C$13)))</f>
        <v>2629.8725256902035</v>
      </c>
      <c r="E66" s="153">
        <f t="shared" si="35"/>
        <v>6.7739255830445521E-9</v>
      </c>
      <c r="F66" s="153">
        <f t="shared" si="36"/>
        <v>6.5681391066181393E-6</v>
      </c>
      <c r="G66" s="88">
        <f>F66/(D$52*$G$11*((J66/2)+3.76))</f>
        <v>1.3690151808188505E-7</v>
      </c>
      <c r="H66" s="96">
        <f>($G$12*$D$52*1.05)</f>
        <v>8.1479999999999997</v>
      </c>
      <c r="I66" s="96">
        <f>($D$52*$G$13*1.05)</f>
        <v>9.166500000000001</v>
      </c>
      <c r="J66" s="134">
        <f>(($G$15/2)*(1-$D$52)*1.05)</f>
        <v>0.39375000000000038</v>
      </c>
      <c r="K66" s="144">
        <f t="shared" si="37"/>
        <v>49.374990000000004</v>
      </c>
      <c r="L66" s="193">
        <f t="shared" si="38"/>
        <v>1.3476243186185573E-3</v>
      </c>
      <c r="M66" s="136">
        <f t="shared" si="39"/>
        <v>0.16898777715694735</v>
      </c>
      <c r="N66" s="163">
        <f>SUM($E$55:$E$70)</f>
        <v>7.2998200814886142E-8</v>
      </c>
      <c r="O66" s="165">
        <f t="shared" si="34"/>
        <v>9.1837973938514352E-6</v>
      </c>
      <c r="P66" s="170">
        <f t="shared" si="40"/>
        <v>7948.5857194278415</v>
      </c>
      <c r="X66" s="260"/>
      <c r="Y66" s="86">
        <v>5</v>
      </c>
      <c r="Z66" s="86">
        <f t="shared" si="58"/>
        <v>20</v>
      </c>
      <c r="AA66" s="132">
        <f t="shared" si="59"/>
        <v>2643.5795511532228</v>
      </c>
      <c r="AB66" s="191">
        <f t="shared" si="49"/>
        <v>4.2441753933203853E-9</v>
      </c>
      <c r="AC66" s="153">
        <f t="shared" si="50"/>
        <v>6.5681391066181393E-6</v>
      </c>
      <c r="AD66" s="88">
        <f>AC66/(AA$58*$G$11*((AG66/2)+3.76))</f>
        <v>1.3885120096437262E-7</v>
      </c>
      <c r="AE66" s="96">
        <f>$G$12*$AA$58*$AC$28</f>
        <v>7.92</v>
      </c>
      <c r="AF66" s="96">
        <f>$G$13*$AA$58*$AC$28</f>
        <v>8.91</v>
      </c>
      <c r="AG66" s="134">
        <f>(($G$15/2)*(1-$AA$58)*$AC$28)</f>
        <v>0.12500000000000011</v>
      </c>
      <c r="AH66" s="144">
        <f>$G$14*$AC$28</f>
        <v>47.023800000000001</v>
      </c>
      <c r="AI66" s="152">
        <f t="shared" si="51"/>
        <v>4.3391000301366492E-4</v>
      </c>
      <c r="AJ66" s="142">
        <f t="shared" si="52"/>
        <v>0.16323277759771165</v>
      </c>
      <c r="AK66" s="163">
        <f t="shared" si="53"/>
        <v>2.4673093090424205E-7</v>
      </c>
      <c r="AL66" s="153">
        <f t="shared" si="54"/>
        <v>8.8835332162594029E-6</v>
      </c>
      <c r="AM66" s="144">
        <f t="shared" si="55"/>
        <v>27773.963905786266</v>
      </c>
      <c r="AN66" s="260"/>
      <c r="AO66" s="260"/>
      <c r="AP66" s="86">
        <v>6</v>
      </c>
      <c r="AQ66" s="86">
        <f t="shared" si="56"/>
        <v>22</v>
      </c>
      <c r="AR66" s="132">
        <f t="shared" si="57"/>
        <v>2680.4437978364645</v>
      </c>
      <c r="AS66" s="191">
        <f t="shared" si="42"/>
        <v>2.1585118422892673E-8</v>
      </c>
      <c r="AT66" s="153">
        <f t="shared" si="43"/>
        <v>6.5681391066181393E-6</v>
      </c>
      <c r="AU66" s="88">
        <f>AT66/($AR$57*$G$11*((AX66/2)+3.76))</f>
        <v>1.3159718962638479E-7</v>
      </c>
      <c r="AV66" s="96">
        <f>$G$12*$AR$57*$AC$28</f>
        <v>6.8</v>
      </c>
      <c r="AW66" s="96">
        <f>$G$13*$AR$57*$AC$28</f>
        <v>7.6499999999999995</v>
      </c>
      <c r="AX66" s="134">
        <f>(($G$15/2)*(1-$AR$57)*$AC$28)</f>
        <v>1.8750000000000002</v>
      </c>
      <c r="AY66" s="144">
        <f>$G$14*$AC$28</f>
        <v>47.023800000000001</v>
      </c>
      <c r="AZ66" s="152">
        <f t="shared" si="44"/>
        <v>6.1686182637367875E-3</v>
      </c>
      <c r="BA66" s="142">
        <f t="shared" si="45"/>
        <v>0.15470499813882985</v>
      </c>
      <c r="BB66" s="163">
        <f t="shared" si="46"/>
        <v>8.8168750903459936E-7</v>
      </c>
      <c r="BC66" s="153">
        <f t="shared" si="47"/>
        <v>8.3365240462039239E-6</v>
      </c>
      <c r="BD66" s="144">
        <f t="shared" si="48"/>
        <v>105762.0063407698</v>
      </c>
    </row>
    <row r="67" spans="1:56" x14ac:dyDescent="0.25">
      <c r="A67" s="224"/>
      <c r="B67" s="86">
        <v>12</v>
      </c>
      <c r="C67" s="86">
        <f t="shared" si="41"/>
        <v>34</v>
      </c>
      <c r="D67" s="132">
        <f>(D66*((C67/C66)^(($C$13-1)/$C$13)))</f>
        <v>2653.1406293722553</v>
      </c>
      <c r="E67" s="153">
        <f t="shared" si="35"/>
        <v>8.4935039662907048E-9</v>
      </c>
      <c r="F67" s="153">
        <f t="shared" si="36"/>
        <v>6.5681391066181393E-6</v>
      </c>
      <c r="G67" s="88">
        <f>F67/(D$52*$G$11*((J67/2)+3.76))</f>
        <v>1.3690151808188505E-7</v>
      </c>
      <c r="H67" s="96">
        <f>($G$12*$D$52*1.05)</f>
        <v>8.1479999999999997</v>
      </c>
      <c r="I67" s="96">
        <f>($D$52*$G$13*1.05)</f>
        <v>9.166500000000001</v>
      </c>
      <c r="J67" s="134">
        <f>(($G$15/2)*(1-$D$52)*1.05)</f>
        <v>0.39375000000000038</v>
      </c>
      <c r="K67" s="144">
        <f t="shared" si="37"/>
        <v>49.374990000000004</v>
      </c>
      <c r="L67" s="193">
        <f t="shared" si="38"/>
        <v>1.3476243186185573E-3</v>
      </c>
      <c r="M67" s="136">
        <f t="shared" si="39"/>
        <v>0.16898777715694735</v>
      </c>
      <c r="N67" s="163">
        <f>SUM($E$55:$E$70)</f>
        <v>7.2998200814886142E-8</v>
      </c>
      <c r="O67" s="165">
        <f t="shared" si="34"/>
        <v>9.1837973938514352E-6</v>
      </c>
      <c r="P67" s="170">
        <f t="shared" si="40"/>
        <v>7948.5857194278415</v>
      </c>
      <c r="S67" s="260"/>
      <c r="T67" s="260"/>
      <c r="U67" s="230"/>
      <c r="V67" s="230"/>
      <c r="W67" s="260"/>
      <c r="X67" s="260"/>
      <c r="Y67" s="86">
        <v>6</v>
      </c>
      <c r="Z67" s="86">
        <f t="shared" si="58"/>
        <v>22</v>
      </c>
      <c r="AA67" s="132">
        <f t="shared" si="59"/>
        <v>2680.4437978364645</v>
      </c>
      <c r="AB67" s="191">
        <f t="shared" si="49"/>
        <v>6.0403672589055814E-9</v>
      </c>
      <c r="AC67" s="153">
        <f t="shared" si="50"/>
        <v>6.5681391066181393E-6</v>
      </c>
      <c r="AD67" s="88">
        <f>AC67/(AA$58*$G$11*((AG67/2)+3.76))</f>
        <v>1.3885120096437262E-7</v>
      </c>
      <c r="AE67" s="96">
        <f>$G$12*$AA$58*$AC$28</f>
        <v>7.92</v>
      </c>
      <c r="AF67" s="96">
        <f>$G$13*$AA$58*$AC$28</f>
        <v>8.91</v>
      </c>
      <c r="AG67" s="134">
        <f>(($G$15/2)*(1-$AA$58)*$AC$28)</f>
        <v>0.12500000000000011</v>
      </c>
      <c r="AH67" s="144">
        <f>$G$14*$AC$28</f>
        <v>47.023800000000001</v>
      </c>
      <c r="AI67" s="152">
        <f t="shared" si="51"/>
        <v>4.3391000301366492E-4</v>
      </c>
      <c r="AJ67" s="142">
        <f t="shared" si="52"/>
        <v>0.16323277759771165</v>
      </c>
      <c r="AK67" s="163">
        <f t="shared" si="53"/>
        <v>2.4673093090424205E-7</v>
      </c>
      <c r="AL67" s="153">
        <f t="shared" si="54"/>
        <v>8.8835332162594029E-6</v>
      </c>
      <c r="AM67" s="144">
        <f t="shared" si="55"/>
        <v>27773.963905786266</v>
      </c>
      <c r="AN67" s="260"/>
      <c r="AO67" s="260"/>
      <c r="AP67" s="86">
        <v>7</v>
      </c>
      <c r="AQ67" s="86">
        <f t="shared" si="56"/>
        <v>24</v>
      </c>
      <c r="AR67" s="132">
        <f t="shared" si="57"/>
        <v>2714.5469106716873</v>
      </c>
      <c r="AS67" s="191">
        <f t="shared" si="42"/>
        <v>2.966454264732804E-8</v>
      </c>
      <c r="AT67" s="153">
        <f t="shared" si="43"/>
        <v>6.5681391066181393E-6</v>
      </c>
      <c r="AU67" s="88">
        <f>AT67/($AR$57*$G$11*((AX67/2)+3.76))</f>
        <v>1.3159718962638479E-7</v>
      </c>
      <c r="AV67" s="96">
        <f>$G$12*$AR$57*$AC$28</f>
        <v>6.8</v>
      </c>
      <c r="AW67" s="96">
        <f>$G$13*$AR$57*$AC$28</f>
        <v>7.6499999999999995</v>
      </c>
      <c r="AX67" s="134">
        <f>(($G$15/2)*(1-$AR$57)*$AC$28)</f>
        <v>1.8750000000000002</v>
      </c>
      <c r="AY67" s="144">
        <f>$G$14*$AC$28</f>
        <v>47.023800000000001</v>
      </c>
      <c r="AZ67" s="152">
        <f t="shared" si="44"/>
        <v>6.1686182637367875E-3</v>
      </c>
      <c r="BA67" s="142">
        <f t="shared" si="45"/>
        <v>0.15470499813882985</v>
      </c>
      <c r="BB67" s="163">
        <f t="shared" si="46"/>
        <v>8.8168750903459936E-7</v>
      </c>
      <c r="BC67" s="153">
        <f t="shared" si="47"/>
        <v>8.3365240462039239E-6</v>
      </c>
      <c r="BD67" s="144">
        <f t="shared" si="48"/>
        <v>105762.0063407698</v>
      </c>
    </row>
    <row r="68" spans="1:56" x14ac:dyDescent="0.25">
      <c r="A68" s="224"/>
      <c r="B68" s="86">
        <v>13</v>
      </c>
      <c r="C68" s="86">
        <f t="shared" si="41"/>
        <v>36</v>
      </c>
      <c r="D68" s="132">
        <f>(D67*((C68/C67)^(($C$13-1)/$C$13)))</f>
        <v>2675.2668974201188</v>
      </c>
      <c r="E68" s="153">
        <f t="shared" si="35"/>
        <v>1.0493656958548607E-8</v>
      </c>
      <c r="F68" s="153">
        <f t="shared" si="36"/>
        <v>6.5681391066181393E-6</v>
      </c>
      <c r="G68" s="88">
        <f>F68/(D$52*$G$11*((J68/2)+3.76))</f>
        <v>1.3690151808188505E-7</v>
      </c>
      <c r="H68" s="96">
        <f>($G$12*$D$52*1.05)</f>
        <v>8.1479999999999997</v>
      </c>
      <c r="I68" s="96">
        <f>($D$52*$G$13*1.05)</f>
        <v>9.166500000000001</v>
      </c>
      <c r="J68" s="134">
        <f>(($G$15/2)*(1-$D$52)*1.05)</f>
        <v>0.39375000000000038</v>
      </c>
      <c r="K68" s="144">
        <f t="shared" si="37"/>
        <v>49.374990000000004</v>
      </c>
      <c r="L68" s="193">
        <f t="shared" si="38"/>
        <v>1.3476243186185573E-3</v>
      </c>
      <c r="M68" s="136">
        <f t="shared" si="39"/>
        <v>0.16898777715694735</v>
      </c>
      <c r="N68" s="163">
        <f>SUM($E$55:$E$70)</f>
        <v>7.2998200814886142E-8</v>
      </c>
      <c r="O68" s="165">
        <f t="shared" si="34"/>
        <v>9.1837973938514352E-6</v>
      </c>
      <c r="P68" s="170">
        <f t="shared" si="40"/>
        <v>7948.5857194278415</v>
      </c>
      <c r="W68" s="260"/>
      <c r="X68" s="260"/>
      <c r="Y68" s="86">
        <v>7</v>
      </c>
      <c r="Z68" s="86">
        <f t="shared" si="58"/>
        <v>24</v>
      </c>
      <c r="AA68" s="132">
        <f t="shared" si="59"/>
        <v>2714.5469106716873</v>
      </c>
      <c r="AB68" s="191">
        <f t="shared" si="49"/>
        <v>8.3013087371941152E-9</v>
      </c>
      <c r="AC68" s="153">
        <f t="shared" si="50"/>
        <v>6.5681391066181393E-6</v>
      </c>
      <c r="AD68" s="88">
        <f>AC68/(AA$58*$G$11*((AG68/2)+3.76))</f>
        <v>1.3885120096437262E-7</v>
      </c>
      <c r="AE68" s="96">
        <f>$G$12*$AA$58*$AC$28</f>
        <v>7.92</v>
      </c>
      <c r="AF68" s="96">
        <f>$G$13*$AA$58*$AC$28</f>
        <v>8.91</v>
      </c>
      <c r="AG68" s="134">
        <f>(($G$15/2)*(1-$AA$58)*$AC$28)</f>
        <v>0.12500000000000011</v>
      </c>
      <c r="AH68" s="144">
        <f>$G$14*$AC$28</f>
        <v>47.023800000000001</v>
      </c>
      <c r="AI68" s="152">
        <f t="shared" si="51"/>
        <v>4.3391000301366492E-4</v>
      </c>
      <c r="AJ68" s="142">
        <f t="shared" si="52"/>
        <v>0.16323277759771165</v>
      </c>
      <c r="AK68" s="163">
        <f t="shared" si="53"/>
        <v>2.4673093090424205E-7</v>
      </c>
      <c r="AL68" s="153">
        <f t="shared" si="54"/>
        <v>8.8835332162594029E-6</v>
      </c>
      <c r="AM68" s="144">
        <f t="shared" si="55"/>
        <v>27773.963905786266</v>
      </c>
      <c r="AN68" s="260"/>
      <c r="AO68" s="260"/>
      <c r="AP68" s="86">
        <v>8</v>
      </c>
      <c r="AQ68" s="86">
        <f t="shared" si="56"/>
        <v>26</v>
      </c>
      <c r="AR68" s="132">
        <f t="shared" si="57"/>
        <v>2746.3017618750005</v>
      </c>
      <c r="AS68" s="191">
        <f t="shared" si="42"/>
        <v>3.9603126926271239E-8</v>
      </c>
      <c r="AT68" s="153">
        <f t="shared" si="43"/>
        <v>6.5681391066181393E-6</v>
      </c>
      <c r="AU68" s="88">
        <f>AT68/($AR$57*$G$11*((AX68/2)+3.76))</f>
        <v>1.3159718962638479E-7</v>
      </c>
      <c r="AV68" s="96">
        <f>$G$12*$AR$57*$AC$28</f>
        <v>6.8</v>
      </c>
      <c r="AW68" s="96">
        <f>$G$13*$AR$57*$AC$28</f>
        <v>7.6499999999999995</v>
      </c>
      <c r="AX68" s="134">
        <f>(($G$15/2)*(1-$AR$57)*$AC$28)</f>
        <v>1.8750000000000002</v>
      </c>
      <c r="AY68" s="144">
        <f>$G$14*$AC$28</f>
        <v>47.023800000000001</v>
      </c>
      <c r="AZ68" s="152">
        <f t="shared" si="44"/>
        <v>6.1686182637367875E-3</v>
      </c>
      <c r="BA68" s="142">
        <f t="shared" si="45"/>
        <v>0.15470499813882985</v>
      </c>
      <c r="BB68" s="163">
        <f t="shared" si="46"/>
        <v>8.8168750903459936E-7</v>
      </c>
      <c r="BC68" s="153">
        <f t="shared" si="47"/>
        <v>8.3365240462039239E-6</v>
      </c>
      <c r="BD68" s="144">
        <f t="shared" si="48"/>
        <v>105762.0063407698</v>
      </c>
    </row>
    <row r="69" spans="1:56" x14ac:dyDescent="0.25">
      <c r="A69" s="224"/>
      <c r="B69" s="86">
        <v>14</v>
      </c>
      <c r="C69" s="86">
        <f t="shared" si="41"/>
        <v>38</v>
      </c>
      <c r="D69" s="132">
        <f>(D68*((C69/C68)^(($C$13-1)/$C$13)))</f>
        <v>2696.3663522372367</v>
      </c>
      <c r="E69" s="153">
        <f t="shared" si="35"/>
        <v>1.2796784172451753E-8</v>
      </c>
      <c r="F69" s="153">
        <f t="shared" si="36"/>
        <v>6.5681391066181393E-6</v>
      </c>
      <c r="G69" s="88">
        <f>F69/(D$52*$G$11*((J69/2)+3.76))</f>
        <v>1.3690151808188505E-7</v>
      </c>
      <c r="H69" s="96">
        <f>($G$12*$D$52*1.05)</f>
        <v>8.1479999999999997</v>
      </c>
      <c r="I69" s="96">
        <f>($D$52*$G$13*1.05)</f>
        <v>9.166500000000001</v>
      </c>
      <c r="J69" s="134">
        <f>(($G$15/2)*(1-$D$52)*1.05)</f>
        <v>0.39375000000000038</v>
      </c>
      <c r="K69" s="144">
        <f t="shared" si="37"/>
        <v>49.374990000000004</v>
      </c>
      <c r="L69" s="193">
        <f t="shared" si="38"/>
        <v>1.3476243186185573E-3</v>
      </c>
      <c r="M69" s="136">
        <f t="shared" si="39"/>
        <v>0.16898777715694735</v>
      </c>
      <c r="N69" s="163">
        <f>SUM($E$55:$E$70)</f>
        <v>7.2998200814886142E-8</v>
      </c>
      <c r="O69" s="165">
        <f t="shared" si="34"/>
        <v>9.1837973938514352E-6</v>
      </c>
      <c r="P69" s="170">
        <f t="shared" si="40"/>
        <v>7948.5857194278415</v>
      </c>
      <c r="W69" s="260"/>
      <c r="X69" s="260"/>
      <c r="Y69" s="86">
        <v>8</v>
      </c>
      <c r="Z69" s="86">
        <f t="shared" si="58"/>
        <v>26</v>
      </c>
      <c r="AA69" s="132">
        <f t="shared" si="59"/>
        <v>2746.3017618750005</v>
      </c>
      <c r="AB69" s="191">
        <f t="shared" si="49"/>
        <v>1.1082516507392542E-8</v>
      </c>
      <c r="AC69" s="153">
        <f t="shared" si="50"/>
        <v>6.5681391066181393E-6</v>
      </c>
      <c r="AD69" s="88">
        <f>AC69/(AA$58*$G$11*((AG69/2)+3.76))</f>
        <v>1.3885120096437262E-7</v>
      </c>
      <c r="AE69" s="96">
        <f>$G$12*$AA$58*$AC$28</f>
        <v>7.92</v>
      </c>
      <c r="AF69" s="96">
        <f>$G$13*$AA$58*$AC$28</f>
        <v>8.91</v>
      </c>
      <c r="AG69" s="134">
        <f>(($G$15/2)*(1-$AA$58)*$AC$28)</f>
        <v>0.12500000000000011</v>
      </c>
      <c r="AH69" s="144">
        <f>$G$14*$AC$28</f>
        <v>47.023800000000001</v>
      </c>
      <c r="AI69" s="152">
        <f t="shared" si="51"/>
        <v>4.3391000301366492E-4</v>
      </c>
      <c r="AJ69" s="142">
        <f t="shared" si="52"/>
        <v>0.16323277759771165</v>
      </c>
      <c r="AK69" s="163">
        <f t="shared" si="53"/>
        <v>2.4673093090424205E-7</v>
      </c>
      <c r="AL69" s="153">
        <f t="shared" si="54"/>
        <v>8.8835332162594029E-6</v>
      </c>
      <c r="AM69" s="144">
        <f t="shared" si="55"/>
        <v>27773.963905786266</v>
      </c>
      <c r="AN69" s="260"/>
      <c r="AO69" s="260"/>
      <c r="AP69" s="86">
        <v>9</v>
      </c>
      <c r="AQ69" s="86">
        <f t="shared" si="56"/>
        <v>28</v>
      </c>
      <c r="AR69" s="132">
        <f t="shared" si="57"/>
        <v>2776.0332431054658</v>
      </c>
      <c r="AS69" s="191">
        <f t="shared" si="42"/>
        <v>5.1596797077987131E-8</v>
      </c>
      <c r="AT69" s="153">
        <f t="shared" si="43"/>
        <v>6.5681391066181393E-6</v>
      </c>
      <c r="AU69" s="88">
        <f>AT69/($AR$57*$G$11*((AX69/2)+3.76))</f>
        <v>1.3159718962638479E-7</v>
      </c>
      <c r="AV69" s="96">
        <f>$G$12*$AR$57*$AC$28</f>
        <v>6.8</v>
      </c>
      <c r="AW69" s="96">
        <f>$G$13*$AR$57*$AC$28</f>
        <v>7.6499999999999995</v>
      </c>
      <c r="AX69" s="134">
        <f>(($G$15/2)*(1-$AR$57)*$AC$28)</f>
        <v>1.8750000000000002</v>
      </c>
      <c r="AY69" s="144">
        <f>$G$14*$AC$28</f>
        <v>47.023800000000001</v>
      </c>
      <c r="AZ69" s="152">
        <f t="shared" si="44"/>
        <v>6.1686182637367875E-3</v>
      </c>
      <c r="BA69" s="142">
        <f t="shared" si="45"/>
        <v>0.15470499813882985</v>
      </c>
      <c r="BB69" s="163">
        <f t="shared" si="46"/>
        <v>8.8168750903459936E-7</v>
      </c>
      <c r="BC69" s="153">
        <f t="shared" si="47"/>
        <v>8.3365240462039239E-6</v>
      </c>
      <c r="BD69" s="144">
        <f t="shared" si="48"/>
        <v>105762.0063407698</v>
      </c>
    </row>
    <row r="70" spans="1:56" ht="18.75" customHeight="1" x14ac:dyDescent="0.25">
      <c r="A70" s="15"/>
      <c r="B70" s="86">
        <v>15</v>
      </c>
      <c r="C70" s="86">
        <f t="shared" si="41"/>
        <v>40</v>
      </c>
      <c r="D70" s="132">
        <f>(D69*((C70/C69)^(($C$13-1)/$C$13)))</f>
        <v>2716.5370966990968</v>
      </c>
      <c r="E70" s="153">
        <f t="shared" si="35"/>
        <v>1.5425180625221788E-8</v>
      </c>
      <c r="F70" s="153">
        <f t="shared" si="36"/>
        <v>6.5681391066181393E-6</v>
      </c>
      <c r="G70" s="88">
        <f>F70/(D$52*$G$11*((J70/2)+3.76))</f>
        <v>1.3690151808188505E-7</v>
      </c>
      <c r="H70" s="96">
        <f>($G$12*$D$52*1.05)</f>
        <v>8.1479999999999997</v>
      </c>
      <c r="I70" s="96">
        <f>($D$52*$G$13*1.05)</f>
        <v>9.166500000000001</v>
      </c>
      <c r="J70" s="134">
        <f>(($G$15/2)*(1-$D$52)*1.05)</f>
        <v>0.39375000000000038</v>
      </c>
      <c r="K70" s="144">
        <f t="shared" si="37"/>
        <v>49.374990000000004</v>
      </c>
      <c r="L70" s="193">
        <f t="shared" si="38"/>
        <v>1.3476243186185573E-3</v>
      </c>
      <c r="M70" s="136">
        <f t="shared" si="39"/>
        <v>0.16898777715694735</v>
      </c>
      <c r="N70" s="163">
        <f>SUM($E$55:$E$70)</f>
        <v>7.2998200814886142E-8</v>
      </c>
      <c r="O70" s="165">
        <f t="shared" si="34"/>
        <v>9.1837973938514352E-6</v>
      </c>
      <c r="P70" s="170">
        <f t="shared" si="40"/>
        <v>7948.5857194278415</v>
      </c>
      <c r="W70" s="260"/>
      <c r="X70" s="260"/>
      <c r="Y70" s="86">
        <v>9</v>
      </c>
      <c r="Z70" s="86">
        <f t="shared" si="58"/>
        <v>28</v>
      </c>
      <c r="AA70" s="132">
        <f t="shared" si="59"/>
        <v>2776.0332431054658</v>
      </c>
      <c r="AB70" s="191">
        <f t="shared" si="49"/>
        <v>1.4438818339014785E-8</v>
      </c>
      <c r="AC70" s="153">
        <f t="shared" si="50"/>
        <v>6.5681391066181393E-6</v>
      </c>
      <c r="AD70" s="88">
        <f>AC70/(AA$58*$G$11*((AG70/2)+3.76))</f>
        <v>1.3885120096437262E-7</v>
      </c>
      <c r="AE70" s="96">
        <f>$G$12*$AA$58*$AC$28</f>
        <v>7.92</v>
      </c>
      <c r="AF70" s="96">
        <f>$G$13*$AA$58*$AC$28</f>
        <v>8.91</v>
      </c>
      <c r="AG70" s="134">
        <f>(($G$15/2)*(1-$AA$58)*$AC$28)</f>
        <v>0.12500000000000011</v>
      </c>
      <c r="AH70" s="144">
        <f>$G$14*$AC$28</f>
        <v>47.023800000000001</v>
      </c>
      <c r="AI70" s="152">
        <f t="shared" si="51"/>
        <v>4.3391000301366492E-4</v>
      </c>
      <c r="AJ70" s="142">
        <f t="shared" si="52"/>
        <v>0.16323277759771165</v>
      </c>
      <c r="AK70" s="163">
        <f t="shared" si="53"/>
        <v>2.4673093090424205E-7</v>
      </c>
      <c r="AL70" s="153">
        <f t="shared" si="54"/>
        <v>8.8835332162594029E-6</v>
      </c>
      <c r="AM70" s="144">
        <f t="shared" si="55"/>
        <v>27773.963905786266</v>
      </c>
      <c r="AN70" s="260"/>
      <c r="AO70" s="260"/>
      <c r="AP70" s="86">
        <v>10</v>
      </c>
      <c r="AQ70" s="86">
        <f t="shared" si="56"/>
        <v>30</v>
      </c>
      <c r="AR70" s="132">
        <f t="shared" si="57"/>
        <v>2804.0018333718417</v>
      </c>
      <c r="AS70" s="191">
        <f t="shared" si="42"/>
        <v>6.5838434473942988E-8</v>
      </c>
      <c r="AT70" s="153">
        <f t="shared" si="43"/>
        <v>6.5681391066181393E-6</v>
      </c>
      <c r="AU70" s="88">
        <f>AT70/($AR$57*$G$11*((AX70/2)+3.76))</f>
        <v>1.3159718962638479E-7</v>
      </c>
      <c r="AV70" s="96">
        <f>$G$12*$AR$57*$AC$28</f>
        <v>6.8</v>
      </c>
      <c r="AW70" s="96">
        <f>$G$13*$AR$57*$AC$28</f>
        <v>7.6499999999999995</v>
      </c>
      <c r="AX70" s="134">
        <f>(($G$15/2)*(1-$AR$57)*$AC$28)</f>
        <v>1.8750000000000002</v>
      </c>
      <c r="AY70" s="144">
        <f>$G$14*$AC$28</f>
        <v>47.023800000000001</v>
      </c>
      <c r="AZ70" s="152">
        <f t="shared" si="44"/>
        <v>6.1686182637367875E-3</v>
      </c>
      <c r="BA70" s="142">
        <f t="shared" si="45"/>
        <v>0.15470499813882985</v>
      </c>
      <c r="BB70" s="163">
        <f t="shared" si="46"/>
        <v>8.8168750903459936E-7</v>
      </c>
      <c r="BC70" s="153">
        <f t="shared" si="47"/>
        <v>8.3365240462039239E-6</v>
      </c>
      <c r="BD70" s="144">
        <f t="shared" si="48"/>
        <v>105762.0063407698</v>
      </c>
    </row>
    <row r="71" spans="1:56" ht="15" customHeight="1" x14ac:dyDescent="0.25">
      <c r="A71" s="15"/>
      <c r="B71" s="260"/>
      <c r="C71" s="260"/>
      <c r="D71" s="229"/>
      <c r="E71" s="230"/>
      <c r="F71" s="260"/>
      <c r="G71" s="260"/>
      <c r="H71" s="260"/>
      <c r="I71" s="260"/>
      <c r="J71" s="231"/>
      <c r="K71" s="102"/>
      <c r="L71" s="229"/>
      <c r="M71" s="231"/>
      <c r="N71" s="231"/>
      <c r="O71" s="230"/>
      <c r="P71" s="102"/>
      <c r="W71" s="260"/>
      <c r="X71" s="260"/>
      <c r="Y71" s="86">
        <v>10</v>
      </c>
      <c r="Z71" s="86">
        <f t="shared" si="58"/>
        <v>30</v>
      </c>
      <c r="AA71" s="132">
        <f t="shared" si="59"/>
        <v>2804.0018333718417</v>
      </c>
      <c r="AB71" s="191">
        <f t="shared" si="49"/>
        <v>1.8424190045315056E-8</v>
      </c>
      <c r="AC71" s="153">
        <f t="shared" si="50"/>
        <v>6.5681391066181393E-6</v>
      </c>
      <c r="AD71" s="88">
        <f>AC71/(AA$58*$G$11*((AG71/2)+3.76))</f>
        <v>1.3885120096437262E-7</v>
      </c>
      <c r="AE71" s="96">
        <f>$G$12*$AA$58*$AC$28</f>
        <v>7.92</v>
      </c>
      <c r="AF71" s="96">
        <f>$G$13*$AA$58*$AC$28</f>
        <v>8.91</v>
      </c>
      <c r="AG71" s="134">
        <f>(($G$15/2)*(1-$AA$58)*$AC$28)</f>
        <v>0.12500000000000011</v>
      </c>
      <c r="AH71" s="144">
        <f>$G$14*$AC$28</f>
        <v>47.023800000000001</v>
      </c>
      <c r="AI71" s="152">
        <f t="shared" si="51"/>
        <v>4.3391000301366492E-4</v>
      </c>
      <c r="AJ71" s="142">
        <f t="shared" si="52"/>
        <v>0.16323277759771165</v>
      </c>
      <c r="AK71" s="163">
        <f t="shared" si="53"/>
        <v>2.4673093090424205E-7</v>
      </c>
      <c r="AL71" s="153">
        <f t="shared" si="54"/>
        <v>8.8835332162594029E-6</v>
      </c>
      <c r="AM71" s="144">
        <f t="shared" si="55"/>
        <v>27773.963905786266</v>
      </c>
      <c r="AN71" s="260"/>
      <c r="AO71" s="260"/>
      <c r="AP71" s="86">
        <v>11</v>
      </c>
      <c r="AQ71" s="86">
        <f t="shared" si="56"/>
        <v>32</v>
      </c>
      <c r="AR71" s="132">
        <f t="shared" si="57"/>
        <v>2830.4197295149102</v>
      </c>
      <c r="AS71" s="191">
        <f t="shared" si="42"/>
        <v>8.2517460015932185E-8</v>
      </c>
      <c r="AT71" s="153">
        <f t="shared" si="43"/>
        <v>6.5681391066181393E-6</v>
      </c>
      <c r="AU71" s="88">
        <f>AT71/($AR$57*$G$11*((AX71/2)+3.76))</f>
        <v>1.3159718962638479E-7</v>
      </c>
      <c r="AV71" s="96">
        <f>$G$12*$AR$57*$AC$28</f>
        <v>6.8</v>
      </c>
      <c r="AW71" s="96">
        <f>$G$13*$AR$57*$AC$28</f>
        <v>7.6499999999999995</v>
      </c>
      <c r="AX71" s="134">
        <f>(($G$15/2)*(1-$AR$57)*$AC$28)</f>
        <v>1.8750000000000002</v>
      </c>
      <c r="AY71" s="144">
        <f>$G$14*$AC$28</f>
        <v>47.023800000000001</v>
      </c>
      <c r="AZ71" s="152">
        <f t="shared" si="44"/>
        <v>6.1686182637367875E-3</v>
      </c>
      <c r="BA71" s="142">
        <f t="shared" si="45"/>
        <v>0.15470499813882985</v>
      </c>
      <c r="BB71" s="163">
        <f t="shared" si="46"/>
        <v>8.8168750903459936E-7</v>
      </c>
      <c r="BC71" s="153">
        <f t="shared" si="47"/>
        <v>8.3365240462039239E-6</v>
      </c>
      <c r="BD71" s="144">
        <f t="shared" si="48"/>
        <v>105762.0063407698</v>
      </c>
    </row>
    <row r="72" spans="1:56" x14ac:dyDescent="0.25">
      <c r="A72" s="224"/>
      <c r="B72" s="224"/>
      <c r="C72" s="229"/>
      <c r="D72" s="242"/>
      <c r="E72" s="230"/>
      <c r="F72" s="224"/>
      <c r="G72" s="224"/>
      <c r="H72" s="224"/>
      <c r="I72" s="231"/>
      <c r="J72" s="102"/>
      <c r="K72" s="238"/>
      <c r="L72" s="231"/>
      <c r="M72" s="230"/>
      <c r="N72" s="230"/>
      <c r="O72" s="102"/>
      <c r="Q72" s="260"/>
      <c r="W72" s="260"/>
      <c r="X72" s="260"/>
      <c r="Y72" s="86">
        <v>11</v>
      </c>
      <c r="Z72" s="86">
        <f t="shared" si="58"/>
        <v>32</v>
      </c>
      <c r="AA72" s="132">
        <f t="shared" si="59"/>
        <v>2830.4197295149102</v>
      </c>
      <c r="AB72" s="191">
        <f t="shared" si="49"/>
        <v>2.3091639063682786E-8</v>
      </c>
      <c r="AC72" s="153">
        <f t="shared" si="50"/>
        <v>6.5681391066181393E-6</v>
      </c>
      <c r="AD72" s="88">
        <f>AC72/(AA$58*$G$11*((AG72/2)+3.76))</f>
        <v>1.3885120096437262E-7</v>
      </c>
      <c r="AE72" s="96">
        <f>$G$12*$AA$58*$AC$28</f>
        <v>7.92</v>
      </c>
      <c r="AF72" s="96">
        <f>$G$13*$AA$58*$AC$28</f>
        <v>8.91</v>
      </c>
      <c r="AG72" s="134">
        <f>(($G$15/2)*(1-$AA$58)*$AC$28)</f>
        <v>0.12500000000000011</v>
      </c>
      <c r="AH72" s="144">
        <f>$G$14*$AC$28</f>
        <v>47.023800000000001</v>
      </c>
      <c r="AI72" s="152">
        <f t="shared" si="51"/>
        <v>4.3391000301366492E-4</v>
      </c>
      <c r="AJ72" s="142">
        <f t="shared" si="52"/>
        <v>0.16323277759771165</v>
      </c>
      <c r="AK72" s="163">
        <f t="shared" si="53"/>
        <v>2.4673093090424205E-7</v>
      </c>
      <c r="AL72" s="153">
        <f t="shared" si="54"/>
        <v>8.8835332162594029E-6</v>
      </c>
      <c r="AM72" s="144">
        <f t="shared" si="55"/>
        <v>27773.963905786266</v>
      </c>
      <c r="AN72" s="260"/>
      <c r="AO72" s="260"/>
      <c r="AP72" s="86">
        <v>12</v>
      </c>
      <c r="AQ72" s="86">
        <f t="shared" si="56"/>
        <v>34</v>
      </c>
      <c r="AR72" s="132">
        <f t="shared" si="57"/>
        <v>2855.4621979565291</v>
      </c>
      <c r="AS72" s="191">
        <f t="shared" si="42"/>
        <v>1.0181954363109177E-7</v>
      </c>
      <c r="AT72" s="153">
        <f t="shared" si="43"/>
        <v>6.5681391066181393E-6</v>
      </c>
      <c r="AU72" s="88">
        <f>AT72/($AR$57*$G$11*((AX72/2)+3.76))</f>
        <v>1.3159718962638479E-7</v>
      </c>
      <c r="AV72" s="96">
        <f>$G$12*$AR$57*$AC$28</f>
        <v>6.8</v>
      </c>
      <c r="AW72" s="96">
        <f>$G$13*$AR$57*$AC$28</f>
        <v>7.6499999999999995</v>
      </c>
      <c r="AX72" s="134">
        <f>(($G$15/2)*(1-$AR$57)*$AC$28)</f>
        <v>1.8750000000000002</v>
      </c>
      <c r="AY72" s="144">
        <f>$G$14*$AC$28</f>
        <v>47.023800000000001</v>
      </c>
      <c r="AZ72" s="152">
        <f t="shared" si="44"/>
        <v>6.1686182637367875E-3</v>
      </c>
      <c r="BA72" s="142">
        <f t="shared" si="45"/>
        <v>0.15470499813882985</v>
      </c>
      <c r="BB72" s="163">
        <f t="shared" si="46"/>
        <v>8.8168750903459936E-7</v>
      </c>
      <c r="BC72" s="153">
        <f t="shared" si="47"/>
        <v>8.3365240462039239E-6</v>
      </c>
      <c r="BD72" s="144">
        <f t="shared" si="48"/>
        <v>105762.0063407698</v>
      </c>
    </row>
    <row r="73" spans="1:56" ht="15.75" thickBot="1" x14ac:dyDescent="0.3">
      <c r="A73" s="224"/>
      <c r="B73" s="224"/>
      <c r="C73" s="229"/>
      <c r="D73" s="242"/>
      <c r="E73" s="230"/>
      <c r="F73" s="224"/>
      <c r="G73" s="224"/>
      <c r="H73" s="224"/>
      <c r="I73" s="231"/>
      <c r="J73" s="102"/>
      <c r="K73" s="238"/>
      <c r="L73" s="231"/>
      <c r="M73" s="230"/>
      <c r="N73" s="230"/>
      <c r="O73" s="102"/>
      <c r="Q73" s="260"/>
      <c r="W73" s="260"/>
      <c r="X73" s="260"/>
      <c r="Y73" s="86">
        <v>12</v>
      </c>
      <c r="Z73" s="86">
        <f t="shared" si="58"/>
        <v>34</v>
      </c>
      <c r="AA73" s="132">
        <f t="shared" si="59"/>
        <v>2855.4621979565291</v>
      </c>
      <c r="AB73" s="191">
        <f t="shared" si="49"/>
        <v>2.8493123160893639E-8</v>
      </c>
      <c r="AC73" s="153">
        <f t="shared" si="50"/>
        <v>6.5681391066181393E-6</v>
      </c>
      <c r="AD73" s="88">
        <f>AC73/(AA$58*$G$11*((AG73/2)+3.76))</f>
        <v>1.3885120096437262E-7</v>
      </c>
      <c r="AE73" s="96">
        <f>$G$12*$AA$58*$AC$28</f>
        <v>7.92</v>
      </c>
      <c r="AF73" s="96">
        <f>$G$13*$AA$58*$AC$28</f>
        <v>8.91</v>
      </c>
      <c r="AG73" s="134">
        <f>(($G$15/2)*(1-$AA$58)*$AC$28)</f>
        <v>0.12500000000000011</v>
      </c>
      <c r="AH73" s="144">
        <f>$G$14*$AC$28</f>
        <v>47.023800000000001</v>
      </c>
      <c r="AI73" s="152">
        <f t="shared" si="51"/>
        <v>4.3391000301366492E-4</v>
      </c>
      <c r="AJ73" s="142">
        <f t="shared" si="52"/>
        <v>0.16323277759771165</v>
      </c>
      <c r="AK73" s="163">
        <f t="shared" si="53"/>
        <v>2.4673093090424205E-7</v>
      </c>
      <c r="AL73" s="153">
        <f t="shared" si="54"/>
        <v>8.8835332162594029E-6</v>
      </c>
      <c r="AM73" s="144">
        <f t="shared" si="55"/>
        <v>27773.963905786266</v>
      </c>
      <c r="AN73" s="260"/>
      <c r="AO73" s="260"/>
      <c r="AP73" s="86">
        <v>13</v>
      </c>
      <c r="AQ73" s="86">
        <f t="shared" si="56"/>
        <v>36</v>
      </c>
      <c r="AR73" s="132">
        <f t="shared" si="57"/>
        <v>2879.2757573634708</v>
      </c>
      <c r="AS73" s="191">
        <f t="shared" si="42"/>
        <v>1.2392640889005406E-7</v>
      </c>
      <c r="AT73" s="153">
        <f t="shared" si="43"/>
        <v>6.5681391066181393E-6</v>
      </c>
      <c r="AU73" s="88">
        <f>AT73/($AR$57*$G$11*((AX73/2)+3.76))</f>
        <v>1.3159718962638479E-7</v>
      </c>
      <c r="AV73" s="96">
        <f>$G$12*$AR$57*$AC$28</f>
        <v>6.8</v>
      </c>
      <c r="AW73" s="96">
        <f>$G$13*$AR$57*$AC$28</f>
        <v>7.6499999999999995</v>
      </c>
      <c r="AX73" s="134">
        <f>(($G$15/2)*(1-$AR$57)*$AC$28)</f>
        <v>1.8750000000000002</v>
      </c>
      <c r="AY73" s="144">
        <f>$G$14*$AC$28</f>
        <v>47.023800000000001</v>
      </c>
      <c r="AZ73" s="152">
        <f t="shared" si="44"/>
        <v>6.1686182637367875E-3</v>
      </c>
      <c r="BA73" s="142">
        <f t="shared" si="45"/>
        <v>0.15470499813882985</v>
      </c>
      <c r="BB73" s="163">
        <f t="shared" si="46"/>
        <v>8.8168750903459936E-7</v>
      </c>
      <c r="BC73" s="153">
        <f t="shared" si="47"/>
        <v>8.3365240462039239E-6</v>
      </c>
      <c r="BD73" s="144">
        <f t="shared" si="48"/>
        <v>105762.0063407698</v>
      </c>
    </row>
    <row r="74" spans="1:56" ht="15" customHeight="1" x14ac:dyDescent="0.25">
      <c r="A74" s="224"/>
      <c r="B74" s="224"/>
      <c r="C74" s="229"/>
      <c r="D74" s="434" t="s">
        <v>223</v>
      </c>
      <c r="E74" s="435"/>
      <c r="F74" s="435"/>
      <c r="G74" s="435"/>
      <c r="H74" s="435"/>
      <c r="I74" s="435"/>
      <c r="J74" s="435"/>
      <c r="K74" s="435"/>
      <c r="L74" s="435"/>
      <c r="M74" s="435"/>
      <c r="N74" s="435"/>
      <c r="O74" s="435"/>
      <c r="P74" s="436"/>
      <c r="Q74" s="260"/>
      <c r="R74" s="260"/>
      <c r="S74" s="260"/>
      <c r="T74" s="229"/>
      <c r="U74" s="230"/>
      <c r="V74" s="230"/>
      <c r="W74" s="260"/>
      <c r="X74" s="260"/>
      <c r="Y74" s="86">
        <v>13</v>
      </c>
      <c r="Z74" s="86">
        <f t="shared" si="58"/>
        <v>36</v>
      </c>
      <c r="AA74" s="132">
        <f t="shared" si="59"/>
        <v>2879.2757573634708</v>
      </c>
      <c r="AB74" s="191">
        <f t="shared" si="49"/>
        <v>3.4679495757564243E-8</v>
      </c>
      <c r="AC74" s="153">
        <f t="shared" si="50"/>
        <v>6.5681391066181393E-6</v>
      </c>
      <c r="AD74" s="88">
        <f>AC74/(AA$58*$G$11*((AG74/2)+3.76))</f>
        <v>1.3885120096437262E-7</v>
      </c>
      <c r="AE74" s="96">
        <f>$G$12*$AA$58*$AC$28</f>
        <v>7.92</v>
      </c>
      <c r="AF74" s="96">
        <f>$G$13*$AA$58*$AC$28</f>
        <v>8.91</v>
      </c>
      <c r="AG74" s="134">
        <f>(($G$15/2)*(1-$AA$58)*$AC$28)</f>
        <v>0.12500000000000011</v>
      </c>
      <c r="AH74" s="144">
        <f>$G$14*$AC$28</f>
        <v>47.023800000000001</v>
      </c>
      <c r="AI74" s="152">
        <f t="shared" si="51"/>
        <v>4.3391000301366492E-4</v>
      </c>
      <c r="AJ74" s="142">
        <f t="shared" si="52"/>
        <v>0.16323277759771165</v>
      </c>
      <c r="AK74" s="163">
        <f t="shared" si="53"/>
        <v>2.4673093090424205E-7</v>
      </c>
      <c r="AL74" s="153">
        <f t="shared" si="54"/>
        <v>8.8835332162594029E-6</v>
      </c>
      <c r="AM74" s="144">
        <f t="shared" si="55"/>
        <v>27773.963905786266</v>
      </c>
      <c r="AN74" s="260"/>
      <c r="AO74" s="260"/>
      <c r="AP74" s="86">
        <v>14</v>
      </c>
      <c r="AQ74" s="86">
        <f t="shared" si="56"/>
        <v>38</v>
      </c>
      <c r="AR74" s="132">
        <f t="shared" si="57"/>
        <v>2901.9842014469746</v>
      </c>
      <c r="AS74" s="191">
        <f t="shared" si="42"/>
        <v>1.4901571003525216E-7</v>
      </c>
      <c r="AT74" s="153">
        <f t="shared" si="43"/>
        <v>6.5681391066181393E-6</v>
      </c>
      <c r="AU74" s="88">
        <f>AT74/($AR$57*$G$11*((AX74/2)+3.76))</f>
        <v>1.3159718962638479E-7</v>
      </c>
      <c r="AV74" s="96">
        <f>$G$12*$AR$57*$AC$28</f>
        <v>6.8</v>
      </c>
      <c r="AW74" s="96">
        <f>$G$13*$AR$57*$AC$28</f>
        <v>7.6499999999999995</v>
      </c>
      <c r="AX74" s="134">
        <f>(($G$15/2)*(1-$AR$57)*$AC$28)</f>
        <v>1.8750000000000002</v>
      </c>
      <c r="AY74" s="144">
        <f>$G$14*$AC$28</f>
        <v>47.023800000000001</v>
      </c>
      <c r="AZ74" s="152">
        <f t="shared" si="44"/>
        <v>6.1686182637367875E-3</v>
      </c>
      <c r="BA74" s="142">
        <f t="shared" si="45"/>
        <v>0.15470499813882985</v>
      </c>
      <c r="BB74" s="163">
        <f t="shared" si="46"/>
        <v>8.8168750903459936E-7</v>
      </c>
      <c r="BC74" s="153">
        <f t="shared" si="47"/>
        <v>8.3365240462039239E-6</v>
      </c>
      <c r="BD74" s="144">
        <f t="shared" si="48"/>
        <v>105762.0063407698</v>
      </c>
    </row>
    <row r="75" spans="1:56" ht="15.75" customHeight="1" thickBot="1" x14ac:dyDescent="0.3">
      <c r="A75" s="224"/>
      <c r="B75" s="224"/>
      <c r="C75" s="229"/>
      <c r="D75" s="437"/>
      <c r="E75" s="438"/>
      <c r="F75" s="438"/>
      <c r="G75" s="438"/>
      <c r="H75" s="438"/>
      <c r="I75" s="438"/>
      <c r="J75" s="438"/>
      <c r="K75" s="438"/>
      <c r="L75" s="438"/>
      <c r="M75" s="438"/>
      <c r="N75" s="438"/>
      <c r="O75" s="438"/>
      <c r="P75" s="439"/>
      <c r="Q75" s="260"/>
      <c r="R75" s="260"/>
      <c r="S75" s="260"/>
      <c r="T75" s="229"/>
      <c r="U75" s="230"/>
      <c r="V75" s="230"/>
      <c r="W75" s="260"/>
      <c r="X75" s="260"/>
      <c r="Y75" s="86">
        <v>14</v>
      </c>
      <c r="Z75" s="86">
        <f t="shared" si="58"/>
        <v>38</v>
      </c>
      <c r="AA75" s="132">
        <f t="shared" si="59"/>
        <v>2901.9842014469746</v>
      </c>
      <c r="AB75" s="191">
        <f t="shared" si="49"/>
        <v>4.1700471515823131E-8</v>
      </c>
      <c r="AC75" s="153">
        <f t="shared" si="50"/>
        <v>6.5681391066181393E-6</v>
      </c>
      <c r="AD75" s="88">
        <f>AC75/(AA$58*$G$11*((AG75/2)+3.76))</f>
        <v>1.3885120096437262E-7</v>
      </c>
      <c r="AE75" s="96">
        <f>$G$12*$AA$58*$AC$28</f>
        <v>7.92</v>
      </c>
      <c r="AF75" s="96">
        <f>$G$13*$AA$58*$AC$28</f>
        <v>8.91</v>
      </c>
      <c r="AG75" s="134">
        <f>(($G$15/2)*(1-$AA$58)*$AC$28)</f>
        <v>0.12500000000000011</v>
      </c>
      <c r="AH75" s="144">
        <f>$G$14*$AC$28</f>
        <v>47.023800000000001</v>
      </c>
      <c r="AI75" s="152">
        <f t="shared" si="51"/>
        <v>4.3391000301366492E-4</v>
      </c>
      <c r="AJ75" s="142">
        <f t="shared" si="52"/>
        <v>0.16323277759771165</v>
      </c>
      <c r="AK75" s="163">
        <f t="shared" si="53"/>
        <v>2.4673093090424205E-7</v>
      </c>
      <c r="AL75" s="153">
        <f t="shared" si="54"/>
        <v>8.8835332162594029E-6</v>
      </c>
      <c r="AM75" s="144">
        <f t="shared" si="55"/>
        <v>27773.963905786266</v>
      </c>
      <c r="AN75" s="260"/>
      <c r="AO75" s="260"/>
      <c r="AP75" s="86">
        <v>15</v>
      </c>
      <c r="AQ75" s="86">
        <f t="shared" si="56"/>
        <v>40</v>
      </c>
      <c r="AR75" s="132">
        <f t="shared" si="57"/>
        <v>2923.6931141513533</v>
      </c>
      <c r="AS75" s="191">
        <f t="shared" si="42"/>
        <v>1.772609642875434E-7</v>
      </c>
      <c r="AT75" s="153">
        <f t="shared" si="43"/>
        <v>6.5681391066181393E-6</v>
      </c>
      <c r="AU75" s="88">
        <f>AT75/($AR$57*$G$11*((AX75/2)+3.76))</f>
        <v>1.3159718962638479E-7</v>
      </c>
      <c r="AV75" s="96">
        <f>$G$12*$AR$57*$AC$28</f>
        <v>6.8</v>
      </c>
      <c r="AW75" s="96">
        <f>$G$13*$AR$57*$AC$28</f>
        <v>7.6499999999999995</v>
      </c>
      <c r="AX75" s="134">
        <f>(($G$15/2)*(1-$AR$57)*$AC$28)</f>
        <v>1.8750000000000002</v>
      </c>
      <c r="AY75" s="144">
        <f>$G$14*$AC$28</f>
        <v>47.023800000000001</v>
      </c>
      <c r="AZ75" s="152">
        <f t="shared" si="44"/>
        <v>6.1686182637367875E-3</v>
      </c>
      <c r="BA75" s="142">
        <f t="shared" si="45"/>
        <v>0.15470499813882985</v>
      </c>
      <c r="BB75" s="163">
        <f t="shared" si="46"/>
        <v>8.8168750903459936E-7</v>
      </c>
      <c r="BC75" s="153">
        <f t="shared" si="47"/>
        <v>8.3365240462039239E-6</v>
      </c>
      <c r="BD75" s="144">
        <f t="shared" si="48"/>
        <v>105762.0063407698</v>
      </c>
    </row>
    <row r="76" spans="1:56" ht="15.75" thickBot="1" x14ac:dyDescent="0.3">
      <c r="A76" s="228"/>
      <c r="B76" s="343" t="s">
        <v>29</v>
      </c>
      <c r="C76" s="345"/>
      <c r="D76" s="408">
        <v>0.97</v>
      </c>
      <c r="E76" s="409"/>
      <c r="F76" s="409"/>
      <c r="G76" s="409"/>
      <c r="H76" s="409"/>
      <c r="I76" s="409"/>
      <c r="J76" s="409"/>
      <c r="K76" s="409"/>
      <c r="L76" s="409"/>
      <c r="M76" s="409"/>
      <c r="N76" s="409"/>
      <c r="O76" s="409"/>
      <c r="P76" s="410"/>
      <c r="Q76" s="260"/>
      <c r="R76" s="260"/>
      <c r="S76" s="260"/>
      <c r="T76" s="229"/>
      <c r="U76" s="230"/>
      <c r="V76" s="230"/>
      <c r="W76" s="260"/>
      <c r="X76" s="260"/>
      <c r="Y76" s="86">
        <v>15</v>
      </c>
      <c r="Z76" s="86">
        <f t="shared" si="58"/>
        <v>40</v>
      </c>
      <c r="AA76" s="132">
        <f t="shared" si="59"/>
        <v>2923.6931141513533</v>
      </c>
      <c r="AB76" s="191">
        <f t="shared" si="49"/>
        <v>4.9604607396034811E-8</v>
      </c>
      <c r="AC76" s="153">
        <f t="shared" si="50"/>
        <v>6.5681391066181393E-6</v>
      </c>
      <c r="AD76" s="88">
        <f>AC76/(AA$58*$G$11*((AG76/2)+3.76))</f>
        <v>1.3885120096437262E-7</v>
      </c>
      <c r="AE76" s="96">
        <f>$G$12*$AA$58*$AC$28</f>
        <v>7.92</v>
      </c>
      <c r="AF76" s="96">
        <f>$G$13*$AA$58*$AC$28</f>
        <v>8.91</v>
      </c>
      <c r="AG76" s="134">
        <f>(($G$15/2)*(1-$AA$58)*$AC$28)</f>
        <v>0.12500000000000011</v>
      </c>
      <c r="AH76" s="144">
        <f>$G$14*$AC$28</f>
        <v>47.023800000000001</v>
      </c>
      <c r="AI76" s="152">
        <f t="shared" si="51"/>
        <v>4.3391000301366492E-4</v>
      </c>
      <c r="AJ76" s="142">
        <f t="shared" si="52"/>
        <v>0.16323277759771165</v>
      </c>
      <c r="AK76" s="163">
        <f t="shared" si="53"/>
        <v>2.4673093090424205E-7</v>
      </c>
      <c r="AL76" s="153">
        <f t="shared" si="54"/>
        <v>8.8835332162594029E-6</v>
      </c>
      <c r="AM76" s="144">
        <f t="shared" si="55"/>
        <v>27773.963905786266</v>
      </c>
      <c r="AN76" s="102"/>
      <c r="AO76" s="260"/>
      <c r="AP76" s="249"/>
      <c r="AQ76" s="249"/>
      <c r="AR76" s="132"/>
      <c r="AS76" s="97"/>
      <c r="AT76" s="86"/>
      <c r="AU76" s="88"/>
      <c r="AV76" s="96"/>
      <c r="AW76" s="96"/>
      <c r="AX76" s="134"/>
      <c r="AY76" s="145"/>
      <c r="AZ76" s="152"/>
      <c r="BA76" s="143"/>
      <c r="BB76" s="143"/>
      <c r="BC76" s="162"/>
      <c r="BD76" s="144"/>
    </row>
    <row r="77" spans="1:56" ht="15.75" thickBot="1" x14ac:dyDescent="0.3">
      <c r="A77" s="228"/>
      <c r="B77" s="346"/>
      <c r="C77" s="348"/>
      <c r="D77" s="411"/>
      <c r="E77" s="412"/>
      <c r="F77" s="412"/>
      <c r="G77" s="412"/>
      <c r="H77" s="412"/>
      <c r="I77" s="412"/>
      <c r="J77" s="412"/>
      <c r="K77" s="412"/>
      <c r="L77" s="412"/>
      <c r="M77" s="412"/>
      <c r="N77" s="412"/>
      <c r="O77" s="412"/>
      <c r="P77" s="413"/>
      <c r="Q77" s="260"/>
      <c r="R77" s="260"/>
      <c r="S77" s="260"/>
      <c r="T77" s="229"/>
      <c r="U77" s="230"/>
      <c r="V77" s="230"/>
      <c r="W77" s="260"/>
      <c r="X77" s="260"/>
      <c r="Y77" s="249"/>
      <c r="Z77" s="249"/>
      <c r="AA77" s="132"/>
      <c r="AB77" s="97"/>
      <c r="AC77" s="86"/>
      <c r="AD77" s="88"/>
      <c r="AE77" s="96"/>
      <c r="AF77" s="96"/>
      <c r="AG77" s="134"/>
      <c r="AH77" s="145"/>
      <c r="AI77" s="152"/>
      <c r="AJ77" s="143"/>
      <c r="AK77" s="143"/>
      <c r="AL77" s="162"/>
      <c r="AM77" s="144"/>
      <c r="AN77" s="260"/>
      <c r="AO77" s="260"/>
    </row>
    <row r="78" spans="1:56" ht="24.75" thickBot="1" x14ac:dyDescent="0.3">
      <c r="A78" s="228"/>
      <c r="B78" s="443" t="s">
        <v>73</v>
      </c>
      <c r="C78" s="443" t="s">
        <v>69</v>
      </c>
      <c r="D78" s="444" t="s">
        <v>177</v>
      </c>
      <c r="E78" s="253" t="s">
        <v>178</v>
      </c>
      <c r="F78" s="445" t="s">
        <v>173</v>
      </c>
      <c r="G78" s="253" t="s">
        <v>151</v>
      </c>
      <c r="H78" s="445" t="s">
        <v>226</v>
      </c>
      <c r="I78" s="263" t="s">
        <v>227</v>
      </c>
      <c r="J78" s="445" t="s">
        <v>228</v>
      </c>
      <c r="K78" s="445" t="s">
        <v>229</v>
      </c>
      <c r="L78" s="253" t="s">
        <v>230</v>
      </c>
      <c r="M78" s="253" t="s">
        <v>231</v>
      </c>
      <c r="N78" s="253" t="s">
        <v>185</v>
      </c>
      <c r="O78" s="253" t="s">
        <v>182</v>
      </c>
      <c r="P78" s="445" t="s">
        <v>183</v>
      </c>
      <c r="Q78" s="260"/>
      <c r="R78" s="299" t="s">
        <v>58</v>
      </c>
      <c r="S78" s="420"/>
      <c r="T78" s="420"/>
      <c r="U78" s="300"/>
      <c r="V78" s="230"/>
      <c r="W78" s="260"/>
      <c r="X78" s="260"/>
      <c r="AN78" s="102"/>
      <c r="AO78" s="260"/>
    </row>
    <row r="79" spans="1:56" ht="27" thickBot="1" x14ac:dyDescent="0.3">
      <c r="A79" s="228"/>
      <c r="B79" s="86">
        <v>0</v>
      </c>
      <c r="C79" s="86">
        <v>10</v>
      </c>
      <c r="D79" s="246">
        <v>2143.1460589726248</v>
      </c>
      <c r="E79" s="153">
        <f>((4.7*10^13*M79*(L79^0.5)*EXP($C$11/D79))/($C$14*6))*$C$5*10^-6</f>
        <v>2.0673521767624589E-11</v>
      </c>
      <c r="F79" s="153">
        <f>(((10^5*($C$4*$C$6)*10^-6)/($C$8*$C$7)))</f>
        <v>6.5681391066181393E-6</v>
      </c>
      <c r="G79" s="88">
        <f>F79/($D$76*$G$11*((J79/2)+3.76))</f>
        <v>1.3657792483082482E-7</v>
      </c>
      <c r="H79" s="96">
        <f>($G$12*$D$52*1.1)</f>
        <v>8.5359999999999996</v>
      </c>
      <c r="I79" s="96">
        <f>($D$52*$G$13*1.1)</f>
        <v>9.6030000000000015</v>
      </c>
      <c r="J79" s="134">
        <f>(($G$15/2)*(1-$D$52)*1.1)</f>
        <v>0.41250000000000042</v>
      </c>
      <c r="K79" s="258">
        <f>$G$14*1.1</f>
        <v>51.726180000000006</v>
      </c>
      <c r="L79" s="440">
        <f t="shared" ref="L79:L94" si="60">((J79*G79)/($C$5*10^-6))</f>
        <v>1.4084598498178824E-3</v>
      </c>
      <c r="M79" s="137">
        <f t="shared" ref="M79:M94" si="61">((K79*G79)/($C$5*10^-6))</f>
        <v>0.17661635809564291</v>
      </c>
      <c r="N79" s="163">
        <f>SUM($E$79:$E$94)</f>
        <v>3.0749174874513504E-8</v>
      </c>
      <c r="O79" s="164">
        <f t="shared" ref="O79:O94" si="62">G79*(H79+I79+J79+K79)</f>
        <v>9.5983796963247612E-6</v>
      </c>
      <c r="P79" s="144">
        <f>(N79/O79)*10^6</f>
        <v>3203.5797548504383</v>
      </c>
      <c r="Q79" s="260"/>
      <c r="R79" s="301"/>
      <c r="S79" s="421"/>
      <c r="T79" s="421"/>
      <c r="U79" s="302"/>
      <c r="V79" s="230"/>
      <c r="W79" s="260"/>
      <c r="X79" s="260"/>
      <c r="AN79" s="260"/>
      <c r="AO79" s="260"/>
      <c r="AP79" s="396" t="s">
        <v>29</v>
      </c>
      <c r="AQ79" s="397"/>
      <c r="AR79" s="400">
        <v>0.8</v>
      </c>
      <c r="AS79" s="401"/>
      <c r="AT79" s="401"/>
      <c r="AU79" s="401"/>
      <c r="AV79" s="401"/>
      <c r="AW79" s="401"/>
      <c r="AX79" s="401"/>
      <c r="AY79" s="401"/>
      <c r="AZ79" s="401"/>
      <c r="BA79" s="402"/>
      <c r="BB79" s="179"/>
    </row>
    <row r="80" spans="1:56" ht="27" thickBot="1" x14ac:dyDescent="0.3">
      <c r="A80" s="228"/>
      <c r="B80" s="86">
        <v>1</v>
      </c>
      <c r="C80" s="86">
        <f>C79+2</f>
        <v>12</v>
      </c>
      <c r="D80" s="132">
        <f>(D79*((C80/C79)^(($C$13-1)/$C$13)))</f>
        <v>2200.6791930904697</v>
      </c>
      <c r="E80" s="153">
        <f t="shared" ref="E80:E94" si="63">((4.7*10^13*M80*(L80^0.5)*EXP($C$11/D80))/($C$14*6))*$C$5*10^-6</f>
        <v>4.7293330518750135E-11</v>
      </c>
      <c r="F80" s="153">
        <f t="shared" ref="F80:F94" si="64">(((10^5*($C$4*$C$6)*10^-6)/($C$8*$C$7)))</f>
        <v>6.5681391066181393E-6</v>
      </c>
      <c r="G80" s="88">
        <f>F80/($D$76*$G$11*((J80/2)+3.76))</f>
        <v>1.3657792483082482E-7</v>
      </c>
      <c r="H80" s="96">
        <f>($G$12*$D$52*1.1)</f>
        <v>8.5359999999999996</v>
      </c>
      <c r="I80" s="96">
        <f>($D$52*$G$13)</f>
        <v>8.73</v>
      </c>
      <c r="J80" s="134">
        <f>(($G$15/2)*(1-$D$52)*1.1)</f>
        <v>0.41250000000000042</v>
      </c>
      <c r="K80" s="97">
        <f t="shared" ref="K80:K94" si="65">$G$14*1.1</f>
        <v>51.726180000000006</v>
      </c>
      <c r="L80" s="193">
        <f t="shared" si="60"/>
        <v>1.4084598498178824E-3</v>
      </c>
      <c r="M80" s="136">
        <f t="shared" si="61"/>
        <v>0.17661635809564291</v>
      </c>
      <c r="N80" s="163">
        <f>SUM($E$79:$E$94)</f>
        <v>3.0749174874513504E-8</v>
      </c>
      <c r="O80" s="165">
        <f t="shared" si="62"/>
        <v>9.4791471679474522E-6</v>
      </c>
      <c r="P80" s="144">
        <f t="shared" ref="P80:P94" si="66">(N80/O80)*10^6</f>
        <v>3243.8756704282409</v>
      </c>
      <c r="Q80" s="260"/>
      <c r="R80" s="468" t="s">
        <v>170</v>
      </c>
      <c r="S80" s="120"/>
      <c r="T80" s="246">
        <v>2143.1460589726248</v>
      </c>
      <c r="U80" s="120"/>
      <c r="V80" s="230"/>
      <c r="W80" s="260"/>
      <c r="X80" s="260"/>
      <c r="Y80" s="396" t="s">
        <v>29</v>
      </c>
      <c r="Z80" s="397"/>
      <c r="AA80" s="400">
        <v>0.98</v>
      </c>
      <c r="AB80" s="401"/>
      <c r="AC80" s="401"/>
      <c r="AD80" s="401"/>
      <c r="AE80" s="401"/>
      <c r="AF80" s="401"/>
      <c r="AG80" s="401"/>
      <c r="AH80" s="401"/>
      <c r="AI80" s="401"/>
      <c r="AJ80" s="402"/>
      <c r="AK80" s="179"/>
      <c r="AN80" s="102"/>
      <c r="AO80" s="260"/>
      <c r="AP80" s="398"/>
      <c r="AQ80" s="399"/>
      <c r="AR80" s="403"/>
      <c r="AS80" s="404"/>
      <c r="AT80" s="404"/>
      <c r="AU80" s="404"/>
      <c r="AV80" s="404"/>
      <c r="AW80" s="404"/>
      <c r="AX80" s="404"/>
      <c r="AY80" s="404"/>
      <c r="AZ80" s="404"/>
      <c r="BA80" s="405"/>
      <c r="BB80" s="179"/>
    </row>
    <row r="81" spans="1:56" ht="27" thickBot="1" x14ac:dyDescent="0.3">
      <c r="A81" s="228"/>
      <c r="B81" s="86">
        <v>2</v>
      </c>
      <c r="C81" s="86">
        <f t="shared" ref="C81:C94" si="67">C80+2</f>
        <v>14</v>
      </c>
      <c r="D81" s="132">
        <f>(D80*((C81/C80)^(($C$13-1)/$C$13)))</f>
        <v>2250.5260724774166</v>
      </c>
      <c r="E81" s="153">
        <f t="shared" si="63"/>
        <v>9.3608632308916441E-11</v>
      </c>
      <c r="F81" s="153">
        <f t="shared" si="64"/>
        <v>6.5681391066181393E-6</v>
      </c>
      <c r="G81" s="88">
        <f>F81/($D$76*$G$11*((J81/2)+3.76))</f>
        <v>1.3657792483082482E-7</v>
      </c>
      <c r="H81" s="96">
        <f>($G$12*$D$52*1.1)</f>
        <v>8.5359999999999996</v>
      </c>
      <c r="I81" s="96">
        <f>($D$52*$G$13)</f>
        <v>8.73</v>
      </c>
      <c r="J81" s="134">
        <f>(($G$15/2)*(1-$D$52)*1.1)</f>
        <v>0.41250000000000042</v>
      </c>
      <c r="K81" s="97">
        <f t="shared" si="65"/>
        <v>51.726180000000006</v>
      </c>
      <c r="L81" s="193">
        <f t="shared" si="60"/>
        <v>1.4084598498178824E-3</v>
      </c>
      <c r="M81" s="136">
        <f t="shared" si="61"/>
        <v>0.17661635809564291</v>
      </c>
      <c r="N81" s="163">
        <f>SUM($E$79:$E$94)</f>
        <v>3.0749174874513504E-8</v>
      </c>
      <c r="O81" s="165">
        <f t="shared" si="62"/>
        <v>9.4791471679474522E-6</v>
      </c>
      <c r="P81" s="144">
        <f t="shared" si="66"/>
        <v>3243.8756704282409</v>
      </c>
      <c r="Q81" s="260"/>
      <c r="R81" s="121"/>
      <c r="S81" s="122"/>
      <c r="T81" s="121"/>
      <c r="U81" s="122"/>
      <c r="V81" s="230"/>
      <c r="W81" s="260"/>
      <c r="X81" s="260"/>
      <c r="Y81" s="398"/>
      <c r="Z81" s="399"/>
      <c r="AA81" s="403"/>
      <c r="AB81" s="404"/>
      <c r="AC81" s="404"/>
      <c r="AD81" s="404"/>
      <c r="AE81" s="404"/>
      <c r="AF81" s="404"/>
      <c r="AG81" s="404"/>
      <c r="AH81" s="404"/>
      <c r="AI81" s="404"/>
      <c r="AJ81" s="405"/>
      <c r="AK81" s="179"/>
      <c r="AN81" s="260"/>
      <c r="AO81" s="260"/>
      <c r="AP81" s="2" t="s">
        <v>73</v>
      </c>
      <c r="AQ81" s="2" t="s">
        <v>69</v>
      </c>
      <c r="AR81" s="245" t="s">
        <v>177</v>
      </c>
      <c r="AS81" s="2" t="s">
        <v>178</v>
      </c>
      <c r="AT81" s="251" t="s">
        <v>237</v>
      </c>
      <c r="AU81" s="2" t="s">
        <v>151</v>
      </c>
      <c r="AV81" s="251" t="s">
        <v>155</v>
      </c>
      <c r="AW81" s="252" t="s">
        <v>156</v>
      </c>
      <c r="AX81" s="251" t="s">
        <v>157</v>
      </c>
      <c r="AY81" s="251" t="s">
        <v>158</v>
      </c>
      <c r="AZ81" s="251" t="s">
        <v>180</v>
      </c>
      <c r="BA81" s="2" t="s">
        <v>181</v>
      </c>
      <c r="BB81" s="2" t="s">
        <v>185</v>
      </c>
      <c r="BC81" s="2" t="s">
        <v>182</v>
      </c>
      <c r="BD81" s="251" t="s">
        <v>183</v>
      </c>
    </row>
    <row r="82" spans="1:56" ht="18.75" thickBot="1" x14ac:dyDescent="0.3">
      <c r="A82" s="228"/>
      <c r="B82" s="86">
        <v>3</v>
      </c>
      <c r="C82" s="86">
        <f t="shared" si="67"/>
        <v>16</v>
      </c>
      <c r="D82" s="132">
        <f>(D81*((C82/C81)^(($C$13-1)/$C$13)))</f>
        <v>2294.6171171213809</v>
      </c>
      <c r="E82" s="153">
        <f t="shared" si="63"/>
        <v>1.6705362324932339E-10</v>
      </c>
      <c r="F82" s="153">
        <f t="shared" si="64"/>
        <v>6.5681391066181393E-6</v>
      </c>
      <c r="G82" s="88">
        <f>F82/($D$76*$G$11*((J82/2)+3.76))</f>
        <v>1.3657792483082482E-7</v>
      </c>
      <c r="H82" s="96">
        <f>($G$12*$D$52*1.1)</f>
        <v>8.5359999999999996</v>
      </c>
      <c r="I82" s="96">
        <f>($D$52*$G$13)</f>
        <v>8.73</v>
      </c>
      <c r="J82" s="134">
        <f>(($G$15/2)*(1-$D$52)*1.1)</f>
        <v>0.41250000000000042</v>
      </c>
      <c r="K82" s="97">
        <f t="shared" si="65"/>
        <v>51.726180000000006</v>
      </c>
      <c r="L82" s="193">
        <f t="shared" si="60"/>
        <v>1.4084598498178824E-3</v>
      </c>
      <c r="M82" s="136">
        <f t="shared" si="61"/>
        <v>0.17661635809564291</v>
      </c>
      <c r="N82" s="163">
        <f>SUM($E$79:$E$94)</f>
        <v>3.0749174874513504E-8</v>
      </c>
      <c r="O82" s="165">
        <f t="shared" si="62"/>
        <v>9.4791471679474522E-6</v>
      </c>
      <c r="P82" s="144">
        <f t="shared" si="66"/>
        <v>3243.8756704282409</v>
      </c>
      <c r="Q82" s="260"/>
      <c r="R82" s="468" t="s">
        <v>59</v>
      </c>
      <c r="S82" s="120"/>
      <c r="T82" s="469">
        <f>(H79*D76*( 8.5770134353E-19*T80^6 - 1.0374875556E-14*T80^5 + 4.9689475953E-11*T80^4 - 0.00000012019118054*T80^3 + 0.00015650954893*T80^2 - 0.048239362033*T80 + 5.2084519626) + (I79*D76*(6.6506859177E-19*T80^6 - 7.8984343104E-15*T80^5 + 3.6879849877E-11*T80^4 - 0.000000086386228559*T80^3 + 0.00011074017861*T80^2 - 0.031241611608*T80 + 3.3006694533) + (J79*(1-D76)*(5.9376621671E-19*T80^6 - 7.1020711589E-15*T80^5 + 3.3460896805E-11*T80^4 - 0.000000078909601634*T80^3 + 0.000098599769212*T80^2 - 0.028172899156*T80 + 3.05378908) + (K79*(6.4958291549E-19*T80^6 - 7.8224528491E-15*T80^5 + 3.7120417697E-11*T80^4 - 0.00000008798317617*T80^3 + 0.00010982327235*T80^2 - 0.032606444641*T80 + 3.5786489003)))))</f>
        <v>4905.2739350834372</v>
      </c>
      <c r="U82" s="120"/>
      <c r="V82" s="230"/>
      <c r="W82" s="260"/>
      <c r="X82" s="260"/>
      <c r="Y82" s="2" t="s">
        <v>73</v>
      </c>
      <c r="Z82" s="2" t="s">
        <v>69</v>
      </c>
      <c r="AA82" s="245" t="s">
        <v>177</v>
      </c>
      <c r="AB82" s="2" t="s">
        <v>178</v>
      </c>
      <c r="AC82" s="251" t="s">
        <v>237</v>
      </c>
      <c r="AD82" s="2" t="s">
        <v>151</v>
      </c>
      <c r="AE82" s="251" t="s">
        <v>155</v>
      </c>
      <c r="AF82" s="252" t="s">
        <v>156</v>
      </c>
      <c r="AG82" s="251" t="s">
        <v>157</v>
      </c>
      <c r="AH82" s="251" t="s">
        <v>158</v>
      </c>
      <c r="AI82" s="251" t="s">
        <v>180</v>
      </c>
      <c r="AJ82" s="2" t="s">
        <v>181</v>
      </c>
      <c r="AK82" s="2" t="s">
        <v>185</v>
      </c>
      <c r="AL82" s="2" t="s">
        <v>182</v>
      </c>
      <c r="AM82" s="251" t="s">
        <v>183</v>
      </c>
      <c r="AN82" s="102"/>
      <c r="AO82" s="260"/>
      <c r="AP82" s="86">
        <v>0</v>
      </c>
      <c r="AQ82" s="86">
        <v>10</v>
      </c>
      <c r="AR82" s="248">
        <v>2390.3031441465077</v>
      </c>
      <c r="AS82" s="191">
        <f>((4.7*10^13*BA82*(AZ82^0.5)*EXP($C$11/AR82))/($C$14*6))*$C$5*10^-6</f>
        <v>1.1482213284119897E-9</v>
      </c>
      <c r="AT82" s="153">
        <f>(((10^5*($C$4*$C$6)*10^-6)/($C$8*$C$7)))</f>
        <v>6.5681391066181393E-6</v>
      </c>
      <c r="AU82" s="88">
        <f>AT82/($AR$79*$G$11*((AX82/2)+3.76))</f>
        <v>1.3110058097042195E-7</v>
      </c>
      <c r="AV82" s="96">
        <f>$G$12*$AR$79*$AC$28</f>
        <v>6.4</v>
      </c>
      <c r="AW82" s="96">
        <f>$G$13*$AR$79*$AC$28</f>
        <v>7.2</v>
      </c>
      <c r="AX82" s="134">
        <f>(($G$15/2)*(1-$AR$79)*$AC$28)</f>
        <v>2.4999999999999996</v>
      </c>
      <c r="AY82" s="144">
        <f>$G$14*$AC$28</f>
        <v>47.023800000000001</v>
      </c>
      <c r="AZ82" s="152">
        <f>((AX82*AU82)/($C$5*10^-6))</f>
        <v>8.1937863106513707E-3</v>
      </c>
      <c r="BA82" s="151">
        <f>((AY82*AU82)/($C$5*10^-6))</f>
        <v>0.15412118748592321</v>
      </c>
      <c r="BB82" s="163">
        <f>SUM($AS$82:$AS$97)</f>
        <v>1.0123275564368806E-6</v>
      </c>
      <c r="BC82" s="161">
        <f>AU82*(AV82+AW82+AX82+AY82)</f>
        <v>8.2755668530607212E-6</v>
      </c>
      <c r="BD82" s="144">
        <f>(BB82/BC82)*10^6</f>
        <v>122327.27671850912</v>
      </c>
    </row>
    <row r="83" spans="1:56" ht="15.75" thickBot="1" x14ac:dyDescent="0.3">
      <c r="A83" s="228"/>
      <c r="B83" s="86">
        <v>4</v>
      </c>
      <c r="C83" s="86">
        <f t="shared" si="67"/>
        <v>18</v>
      </c>
      <c r="D83" s="132">
        <f>(D82*((C83/C82)^(($C$13-1)/$C$13)))</f>
        <v>2334.224627133714</v>
      </c>
      <c r="E83" s="153">
        <f t="shared" si="63"/>
        <v>2.7587665511802215E-10</v>
      </c>
      <c r="F83" s="153">
        <f t="shared" si="64"/>
        <v>6.5681391066181393E-6</v>
      </c>
      <c r="G83" s="88">
        <f>F83/($D$76*$G$11*((J83/2)+3.76))</f>
        <v>1.3657792483082482E-7</v>
      </c>
      <c r="H83" s="96">
        <f>($G$12*$D$52*1.1)</f>
        <v>8.5359999999999996</v>
      </c>
      <c r="I83" s="96">
        <f>($D$52*$G$13)</f>
        <v>8.73</v>
      </c>
      <c r="J83" s="134">
        <f>(($G$15/2)*(1-$D$52)*1.1)</f>
        <v>0.41250000000000042</v>
      </c>
      <c r="K83" s="97">
        <f t="shared" si="65"/>
        <v>51.726180000000006</v>
      </c>
      <c r="L83" s="193">
        <f t="shared" si="60"/>
        <v>1.4084598498178824E-3</v>
      </c>
      <c r="M83" s="136">
        <f t="shared" si="61"/>
        <v>0.17661635809564291</v>
      </c>
      <c r="N83" s="163">
        <f>SUM($E$79:$E$94)</f>
        <v>3.0749174874513504E-8</v>
      </c>
      <c r="O83" s="165">
        <f t="shared" si="62"/>
        <v>9.4791471679474522E-6</v>
      </c>
      <c r="P83" s="144">
        <f t="shared" si="66"/>
        <v>3243.8756704282409</v>
      </c>
      <c r="Q83" s="260"/>
      <c r="R83" s="121"/>
      <c r="S83" s="122"/>
      <c r="T83" s="470"/>
      <c r="U83" s="122"/>
      <c r="V83" s="260"/>
      <c r="W83" s="260"/>
      <c r="X83" s="260"/>
      <c r="Y83" s="86">
        <v>0</v>
      </c>
      <c r="Z83" s="86">
        <v>10</v>
      </c>
      <c r="AA83" s="248">
        <v>2390.3031441465077</v>
      </c>
      <c r="AB83" s="191">
        <f>((4.7*10^13*AJ83*(AI83^0.5)*EXP($C$11/AA83))/($C$14*6))*$C$5*10^-6</f>
        <v>3.9218549817987833E-10</v>
      </c>
      <c r="AC83" s="153">
        <f>(((10^5*($C$4*$C$6)*10^-6)/($C$8*$C$7)))</f>
        <v>6.5681391066181393E-6</v>
      </c>
      <c r="AD83" s="88">
        <f>AC83/($AA$80*$G$11*((AG83/2)+3.76))</f>
        <v>1.3801148544360864E-7</v>
      </c>
      <c r="AE83" s="96">
        <f>$G$12*$AA$80*$AC$28</f>
        <v>7.84</v>
      </c>
      <c r="AF83" s="96">
        <f>$G$13*$AA$80*$AC$28</f>
        <v>8.82</v>
      </c>
      <c r="AG83" s="134">
        <f>(($G$15/2)*(1-$AA$80)*$AC$28)</f>
        <v>0.25000000000000022</v>
      </c>
      <c r="AH83" s="144">
        <f>$G$14*$AC$28</f>
        <v>47.023800000000001</v>
      </c>
      <c r="AI83" s="152">
        <f>((AG83*AD83)/($C$5*10^-6))</f>
        <v>8.6257178402255491E-4</v>
      </c>
      <c r="AJ83" s="151">
        <f>((AH83*AD83)/($C$5*10^-6))</f>
        <v>0.16224561223007913</v>
      </c>
      <c r="AK83" s="163">
        <f>SUM($AB$83:$AB$98)</f>
        <v>3.3546039133786429E-7</v>
      </c>
      <c r="AL83" s="161">
        <f>AD83*(AE83+AF83+AG83+AH83)</f>
        <v>8.8235987080545875E-6</v>
      </c>
      <c r="AM83" s="144">
        <f>(AK83/AL83)*10^6</f>
        <v>38018.545769952187</v>
      </c>
      <c r="AN83" s="260"/>
      <c r="AO83" s="260"/>
      <c r="AP83" s="86">
        <v>1</v>
      </c>
      <c r="AQ83" s="86">
        <f>AQ82+2</f>
        <v>12</v>
      </c>
      <c r="AR83" s="132">
        <f>(AR82*((AQ83/AQ82)^(($C$13-1)/$C$13)))</f>
        <v>2454.4712538274748</v>
      </c>
      <c r="AS83" s="191">
        <f t="shared" ref="AS83:AS97" si="68">((4.7*10^13*BA83*(AZ83^0.5)*EXP($C$11/AR83))/($C$14*6))*$C$5*10^-6</f>
        <v>2.4112965706757912E-9</v>
      </c>
      <c r="AT83" s="153">
        <f t="shared" ref="AT83:AT97" si="69">(((10^5*($C$4*$C$6)*10^-6)/($C$8*$C$7)))</f>
        <v>6.5681391066181393E-6</v>
      </c>
      <c r="AU83" s="88">
        <f>AT83/($AR$79*$G$11*((AX83/2)+3.76))</f>
        <v>1.3110058097042195E-7</v>
      </c>
      <c r="AV83" s="96">
        <f>$G$12*$AR$79*$AC$28</f>
        <v>6.4</v>
      </c>
      <c r="AW83" s="96">
        <f>$G$13*$AR$79*$AC$28</f>
        <v>7.2</v>
      </c>
      <c r="AX83" s="134">
        <f>(($G$15/2)*(1-$AR$79)*$AC$28)</f>
        <v>2.4999999999999996</v>
      </c>
      <c r="AY83" s="144">
        <f>$G$14*$AC$28</f>
        <v>47.023800000000001</v>
      </c>
      <c r="AZ83" s="152">
        <f t="shared" ref="AZ83:AZ97" si="70">((AX83*AU83)/($C$5*10^-6))</f>
        <v>8.1937863106513707E-3</v>
      </c>
      <c r="BA83" s="142">
        <f t="shared" ref="BA83:BA98" si="71">((AY83*AU83)/($C$5*10^-6))</f>
        <v>0.15412118748592321</v>
      </c>
      <c r="BB83" s="163">
        <f t="shared" ref="BB83:BB97" si="72">SUM($AS$82:$AS$97)</f>
        <v>1.0123275564368806E-6</v>
      </c>
      <c r="BC83" s="153">
        <f t="shared" ref="BC83:BC97" si="73">AU83*(AV83+AW83+AX83+AY83)</f>
        <v>8.2755668530607212E-6</v>
      </c>
      <c r="BD83" s="144">
        <f t="shared" ref="BD83:BD97" si="74">(BB83/BC83)*10^6</f>
        <v>122327.27671850912</v>
      </c>
    </row>
    <row r="84" spans="1:56" x14ac:dyDescent="0.25">
      <c r="A84" s="228"/>
      <c r="B84" s="86">
        <v>5</v>
      </c>
      <c r="C84" s="86">
        <f t="shared" si="67"/>
        <v>20</v>
      </c>
      <c r="D84" s="132">
        <f>(D83*((C84/C83)^(($C$13-1)/$C$13)))</f>
        <v>2370.2337130371075</v>
      </c>
      <c r="E84" s="153">
        <f t="shared" si="63"/>
        <v>4.2900488455100845E-10</v>
      </c>
      <c r="F84" s="153">
        <f t="shared" si="64"/>
        <v>6.5681391066181393E-6</v>
      </c>
      <c r="G84" s="88">
        <f>F84/($D$76*$G$11*((J84/2)+3.76))</f>
        <v>1.3657792483082482E-7</v>
      </c>
      <c r="H84" s="96">
        <f>($G$12*$D$52*1.1)</f>
        <v>8.5359999999999996</v>
      </c>
      <c r="I84" s="96">
        <f>($D$52*$G$13)</f>
        <v>8.73</v>
      </c>
      <c r="J84" s="134">
        <f>(($G$15/2)*(1-$D$52)*1.1)</f>
        <v>0.41250000000000042</v>
      </c>
      <c r="K84" s="97">
        <f t="shared" si="65"/>
        <v>51.726180000000006</v>
      </c>
      <c r="L84" s="193">
        <f t="shared" si="60"/>
        <v>1.4084598498178824E-3</v>
      </c>
      <c r="M84" s="136">
        <f t="shared" si="61"/>
        <v>0.17661635809564291</v>
      </c>
      <c r="N84" s="163">
        <f>SUM($E$79:$E$94)</f>
        <v>3.0749174874513504E-8</v>
      </c>
      <c r="O84" s="165">
        <f t="shared" si="62"/>
        <v>9.4791471679474522E-6</v>
      </c>
      <c r="P84" s="144">
        <f t="shared" si="66"/>
        <v>3243.8756704282409</v>
      </c>
      <c r="Q84" s="260"/>
      <c r="R84" s="260"/>
      <c r="S84" s="260"/>
      <c r="T84" s="260"/>
      <c r="U84" s="260"/>
      <c r="V84" s="260"/>
      <c r="W84" s="260"/>
      <c r="X84" s="260"/>
      <c r="Y84" s="86">
        <v>1</v>
      </c>
      <c r="Z84" s="86">
        <f>Z83+2</f>
        <v>12</v>
      </c>
      <c r="AA84" s="132">
        <f>(AA83*((Z84/Z83)^(($C$13-1)/$C$13)))</f>
        <v>2454.4712538274748</v>
      </c>
      <c r="AB84" s="191">
        <f t="shared" ref="AB84:AB98" si="75">((4.7*10^13*AJ84*(AI84^0.5)*EXP($C$11/AA84))/($C$14*6))*$C$5*10^-6</f>
        <v>7.9901634421460281E-10</v>
      </c>
      <c r="AC84" s="153">
        <f t="shared" ref="AC84:AC98" si="76">(((10^5*($C$4*$C$6)*10^-6)/($C$8*$C$7)))</f>
        <v>6.5681391066181393E-6</v>
      </c>
      <c r="AD84" s="88">
        <f>AC84/(AA$36*$G$11*((AG84/2)+3.76))</f>
        <v>1.3525125573473647E-7</v>
      </c>
      <c r="AE84" s="96">
        <f>$G$12*$AA$80*$AC$28</f>
        <v>7.84</v>
      </c>
      <c r="AF84" s="96">
        <f>$G$13*$AA$80*$AC$28</f>
        <v>8.82</v>
      </c>
      <c r="AG84" s="134">
        <f>(($G$15/2)*(1-$AA$80)*$AC$28)</f>
        <v>0.25000000000000022</v>
      </c>
      <c r="AH84" s="144">
        <f>$G$14*$AC$28</f>
        <v>47.023800000000001</v>
      </c>
      <c r="AI84" s="152">
        <f t="shared" ref="AI84:AI98" si="77">((AG84*AD84)/($C$5*10^-6))</f>
        <v>8.4532034834210385E-4</v>
      </c>
      <c r="AJ84" s="142">
        <f t="shared" ref="AJ84:AJ99" si="78">((AH84*AD84)/($C$5*10^-6))</f>
        <v>0.15900069998547753</v>
      </c>
      <c r="AK84" s="163">
        <f t="shared" ref="AK84:AK98" si="79">SUM($AB$83:$AB$98)</f>
        <v>3.3546039133786429E-7</v>
      </c>
      <c r="AL84" s="153">
        <f t="shared" ref="AL84:AL98" si="80">AD84*(AE84+AF84+AG84+AH84)</f>
        <v>8.6471267338934945E-6</v>
      </c>
      <c r="AM84" s="144">
        <f t="shared" ref="AM84:AM98" si="81">(AK84/AL84)*10^6</f>
        <v>38794.434459134885</v>
      </c>
      <c r="AN84" s="260"/>
      <c r="AO84" s="260"/>
      <c r="AP84" s="86">
        <v>2</v>
      </c>
      <c r="AQ84" s="86">
        <f t="shared" ref="AQ84:AQ97" si="82">AQ83+2</f>
        <v>14</v>
      </c>
      <c r="AR84" s="132">
        <f t="shared" ref="AR84:AR97" si="83">(AR83*((AQ84/AQ83)^(($C$13-1)/$C$13)))</f>
        <v>2510.0666958766406</v>
      </c>
      <c r="AS84" s="191">
        <f t="shared" si="68"/>
        <v>4.4474073243223658E-9</v>
      </c>
      <c r="AT84" s="153">
        <f t="shared" si="69"/>
        <v>6.5681391066181393E-6</v>
      </c>
      <c r="AU84" s="88">
        <f>AT84/($AR$79*$G$11*((AX84/2)+3.76))</f>
        <v>1.3110058097042195E-7</v>
      </c>
      <c r="AV84" s="96">
        <f>$G$12*$AR$79*$AC$28</f>
        <v>6.4</v>
      </c>
      <c r="AW84" s="96">
        <f>$G$13*$AR$79*$AC$28</f>
        <v>7.2</v>
      </c>
      <c r="AX84" s="134">
        <f>(($G$15/2)*(1-$AR$79)*$AC$28)</f>
        <v>2.4999999999999996</v>
      </c>
      <c r="AY84" s="144">
        <f>$G$14*$AC$28</f>
        <v>47.023800000000001</v>
      </c>
      <c r="AZ84" s="152">
        <f t="shared" si="70"/>
        <v>8.1937863106513707E-3</v>
      </c>
      <c r="BA84" s="142">
        <f t="shared" si="71"/>
        <v>0.15412118748592321</v>
      </c>
      <c r="BB84" s="163">
        <f t="shared" si="72"/>
        <v>1.0123275564368806E-6</v>
      </c>
      <c r="BC84" s="153">
        <f t="shared" si="73"/>
        <v>8.2755668530607212E-6</v>
      </c>
      <c r="BD84" s="144">
        <f t="shared" si="74"/>
        <v>122327.27671850912</v>
      </c>
    </row>
    <row r="85" spans="1:56" ht="21" x14ac:dyDescent="0.25">
      <c r="A85" s="228"/>
      <c r="B85" s="86">
        <v>6</v>
      </c>
      <c r="C85" s="86">
        <f t="shared" si="67"/>
        <v>22</v>
      </c>
      <c r="D85" s="132">
        <f>(D84*((C85/C84)^(($C$13-1)/$C$13)))</f>
        <v>2403.2862006220635</v>
      </c>
      <c r="E85" s="153">
        <f t="shared" si="63"/>
        <v>6.3592812928703043E-10</v>
      </c>
      <c r="F85" s="153">
        <f t="shared" si="64"/>
        <v>6.5681391066181393E-6</v>
      </c>
      <c r="G85" s="88">
        <f>F85/($D$76*$G$11*((J85/2)+3.76))</f>
        <v>1.3657792483082482E-7</v>
      </c>
      <c r="H85" s="96">
        <f>($G$12*$D$52*1.1)</f>
        <v>8.5359999999999996</v>
      </c>
      <c r="I85" s="96">
        <f>($D$52*$G$13)</f>
        <v>8.73</v>
      </c>
      <c r="J85" s="134">
        <f>(($G$15/2)*(1-$D$52)*1.1)</f>
        <v>0.41250000000000042</v>
      </c>
      <c r="K85" s="97">
        <f t="shared" si="65"/>
        <v>51.726180000000006</v>
      </c>
      <c r="L85" s="193">
        <f t="shared" si="60"/>
        <v>1.4084598498178824E-3</v>
      </c>
      <c r="M85" s="136">
        <f t="shared" si="61"/>
        <v>0.17661635809564291</v>
      </c>
      <c r="N85" s="163">
        <f>SUM($E$79:$E$94)</f>
        <v>3.0749174874513504E-8</v>
      </c>
      <c r="O85" s="165">
        <f t="shared" si="62"/>
        <v>9.4791471679474522E-6</v>
      </c>
      <c r="P85" s="144">
        <f t="shared" si="66"/>
        <v>3243.8756704282409</v>
      </c>
      <c r="Q85" s="260"/>
      <c r="R85" s="209"/>
      <c r="S85" s="209"/>
      <c r="T85" s="209"/>
      <c r="U85" s="209"/>
      <c r="V85" s="209"/>
      <c r="W85" s="209"/>
      <c r="X85" s="209"/>
      <c r="Y85" s="86">
        <v>2</v>
      </c>
      <c r="Z85" s="86">
        <f t="shared" ref="Z85:Z98" si="84">Z84+2</f>
        <v>14</v>
      </c>
      <c r="AA85" s="132">
        <f t="shared" ref="AA85:AA98" si="85">(AA84*((Z85/Z84)^(($C$13-1)/$C$13)))</f>
        <v>2510.0666958766406</v>
      </c>
      <c r="AB85" s="191">
        <f t="shared" si="75"/>
        <v>1.4737096982298554E-9</v>
      </c>
      <c r="AC85" s="153">
        <f t="shared" si="76"/>
        <v>6.5681391066181393E-6</v>
      </c>
      <c r="AD85" s="88">
        <f>AC85/(AA$36*$G$11*((AG85/2)+3.76))</f>
        <v>1.3525125573473647E-7</v>
      </c>
      <c r="AE85" s="96">
        <f>$G$12*$AA$80*$AC$28</f>
        <v>7.84</v>
      </c>
      <c r="AF85" s="96">
        <f>$G$13*$AA$80*$AC$28</f>
        <v>8.82</v>
      </c>
      <c r="AG85" s="134">
        <f>(($G$15/2)*(1-$AA$80)*$AC$28)</f>
        <v>0.25000000000000022</v>
      </c>
      <c r="AH85" s="144">
        <f>$G$14*$AC$28</f>
        <v>47.023800000000001</v>
      </c>
      <c r="AI85" s="152">
        <f t="shared" si="77"/>
        <v>8.4532034834210385E-4</v>
      </c>
      <c r="AJ85" s="142">
        <f t="shared" si="78"/>
        <v>0.15900069998547753</v>
      </c>
      <c r="AK85" s="163">
        <f t="shared" si="79"/>
        <v>3.3546039133786429E-7</v>
      </c>
      <c r="AL85" s="153">
        <f t="shared" si="80"/>
        <v>8.6471267338934945E-6</v>
      </c>
      <c r="AM85" s="144">
        <f t="shared" si="81"/>
        <v>38794.434459134885</v>
      </c>
      <c r="AN85" s="260"/>
      <c r="AO85" s="260"/>
      <c r="AP85" s="86">
        <v>3</v>
      </c>
      <c r="AQ85" s="86">
        <f t="shared" si="82"/>
        <v>16</v>
      </c>
      <c r="AR85" s="132">
        <f t="shared" si="83"/>
        <v>2559.2425148554435</v>
      </c>
      <c r="AS85" s="191">
        <f t="shared" si="68"/>
        <v>7.4754561441413458E-9</v>
      </c>
      <c r="AT85" s="153">
        <f t="shared" si="69"/>
        <v>6.5681391066181393E-6</v>
      </c>
      <c r="AU85" s="88">
        <f>AT85/($AR$79*$G$11*((AX85/2)+3.76))</f>
        <v>1.3110058097042195E-7</v>
      </c>
      <c r="AV85" s="96">
        <f>$G$12*$AR$79*$AC$28</f>
        <v>6.4</v>
      </c>
      <c r="AW85" s="96">
        <f>$G$13*$AR$79*$AC$28</f>
        <v>7.2</v>
      </c>
      <c r="AX85" s="134">
        <f>(($G$15/2)*(1-$AR$79)*$AC$28)</f>
        <v>2.4999999999999996</v>
      </c>
      <c r="AY85" s="144">
        <f>$G$14*$AC$28</f>
        <v>47.023800000000001</v>
      </c>
      <c r="AZ85" s="152">
        <f t="shared" si="70"/>
        <v>8.1937863106513707E-3</v>
      </c>
      <c r="BA85" s="142">
        <f t="shared" si="71"/>
        <v>0.15412118748592321</v>
      </c>
      <c r="BB85" s="163">
        <f t="shared" si="72"/>
        <v>1.0123275564368806E-6</v>
      </c>
      <c r="BC85" s="153">
        <f t="shared" si="73"/>
        <v>8.2755668530607212E-6</v>
      </c>
      <c r="BD85" s="144">
        <f t="shared" si="74"/>
        <v>122327.27671850912</v>
      </c>
    </row>
    <row r="86" spans="1:56" ht="23.25" x14ac:dyDescent="0.25">
      <c r="A86" s="244"/>
      <c r="B86" s="86">
        <v>7</v>
      </c>
      <c r="C86" s="86">
        <f t="shared" si="67"/>
        <v>24</v>
      </c>
      <c r="D86" s="132">
        <f>(D85*((C86/C85)^(($C$13-1)/$C$13)))</f>
        <v>2433.8630552986297</v>
      </c>
      <c r="E86" s="153">
        <f t="shared" si="63"/>
        <v>9.0659981280850341E-10</v>
      </c>
      <c r="F86" s="153">
        <f t="shared" si="64"/>
        <v>6.5681391066181393E-6</v>
      </c>
      <c r="G86" s="88">
        <f>F86/($D$76*$G$11*((J86/2)+3.76))</f>
        <v>1.3657792483082482E-7</v>
      </c>
      <c r="H86" s="96">
        <f>($G$12*$D$52*1.1)</f>
        <v>8.5359999999999996</v>
      </c>
      <c r="I86" s="96">
        <f>($D$52*$G$13)</f>
        <v>8.73</v>
      </c>
      <c r="J86" s="134">
        <f>(($G$15/2)*(1-$D$52)*1.1)</f>
        <v>0.41250000000000042</v>
      </c>
      <c r="K86" s="97">
        <f t="shared" si="65"/>
        <v>51.726180000000006</v>
      </c>
      <c r="L86" s="193">
        <f t="shared" si="60"/>
        <v>1.4084598498178824E-3</v>
      </c>
      <c r="M86" s="136">
        <f t="shared" si="61"/>
        <v>0.17661635809564291</v>
      </c>
      <c r="N86" s="163">
        <f>SUM($E$79:$E$94)</f>
        <v>3.0749174874513504E-8</v>
      </c>
      <c r="O86" s="165">
        <f t="shared" si="62"/>
        <v>9.4791471679474522E-6</v>
      </c>
      <c r="P86" s="144">
        <f t="shared" si="66"/>
        <v>3243.8756704282409</v>
      </c>
      <c r="Q86" s="260"/>
      <c r="R86" s="209"/>
      <c r="S86" s="209"/>
      <c r="T86" s="209"/>
      <c r="U86" s="209"/>
      <c r="V86" s="209"/>
      <c r="W86" s="209"/>
      <c r="X86" s="209"/>
      <c r="Y86" s="86">
        <v>3</v>
      </c>
      <c r="Z86" s="86">
        <f t="shared" si="84"/>
        <v>16</v>
      </c>
      <c r="AA86" s="132">
        <f t="shared" si="85"/>
        <v>2559.2425148554435</v>
      </c>
      <c r="AB86" s="191">
        <f t="shared" si="75"/>
        <v>2.4770953984952628E-9</v>
      </c>
      <c r="AC86" s="153">
        <f t="shared" si="76"/>
        <v>6.5681391066181393E-6</v>
      </c>
      <c r="AD86" s="88">
        <f>AC86/(AA$36*$G$11*((AG86/2)+3.76))</f>
        <v>1.3525125573473647E-7</v>
      </c>
      <c r="AE86" s="96">
        <f>$G$12*$AA$80*$AC$28</f>
        <v>7.84</v>
      </c>
      <c r="AF86" s="96">
        <f>$G$13*$AA$80*$AC$28</f>
        <v>8.82</v>
      </c>
      <c r="AG86" s="134">
        <f>(($G$15/2)*(1-$AA$80)*$AC$28)</f>
        <v>0.25000000000000022</v>
      </c>
      <c r="AH86" s="144">
        <f>$G$14*$AC$28</f>
        <v>47.023800000000001</v>
      </c>
      <c r="AI86" s="152">
        <f t="shared" si="77"/>
        <v>8.4532034834210385E-4</v>
      </c>
      <c r="AJ86" s="142">
        <f t="shared" si="78"/>
        <v>0.15900069998547753</v>
      </c>
      <c r="AK86" s="163">
        <f t="shared" si="79"/>
        <v>3.3546039133786429E-7</v>
      </c>
      <c r="AL86" s="153">
        <f t="shared" si="80"/>
        <v>8.6471267338934945E-6</v>
      </c>
      <c r="AM86" s="144">
        <f t="shared" si="81"/>
        <v>38794.434459134885</v>
      </c>
      <c r="AN86" s="260"/>
      <c r="AO86" s="260"/>
      <c r="AP86" s="86">
        <v>4</v>
      </c>
      <c r="AQ86" s="86">
        <f t="shared" si="82"/>
        <v>18</v>
      </c>
      <c r="AR86" s="132">
        <f t="shared" si="83"/>
        <v>2603.4177381529535</v>
      </c>
      <c r="AS86" s="191">
        <f t="shared" si="68"/>
        <v>1.1721147949776882E-8</v>
      </c>
      <c r="AT86" s="153">
        <f t="shared" si="69"/>
        <v>6.5681391066181393E-6</v>
      </c>
      <c r="AU86" s="88">
        <f>AT86/($AR$79*$G$11*((AX86/2)+3.76))</f>
        <v>1.3110058097042195E-7</v>
      </c>
      <c r="AV86" s="96">
        <f>$G$12*$AR$79*$AC$28</f>
        <v>6.4</v>
      </c>
      <c r="AW86" s="96">
        <f>$G$13*$AR$79*$AC$28</f>
        <v>7.2</v>
      </c>
      <c r="AX86" s="134">
        <f>(($G$15/2)*(1-$AR$79)*$AC$28)</f>
        <v>2.4999999999999996</v>
      </c>
      <c r="AY86" s="144">
        <f>$G$14*$AC$28</f>
        <v>47.023800000000001</v>
      </c>
      <c r="AZ86" s="152">
        <f t="shared" si="70"/>
        <v>8.1937863106513707E-3</v>
      </c>
      <c r="BA86" s="142">
        <f t="shared" si="71"/>
        <v>0.15412118748592321</v>
      </c>
      <c r="BB86" s="163">
        <f t="shared" si="72"/>
        <v>1.0123275564368806E-6</v>
      </c>
      <c r="BC86" s="153">
        <f t="shared" si="73"/>
        <v>8.2755668530607212E-6</v>
      </c>
      <c r="BD86" s="144">
        <f t="shared" si="74"/>
        <v>122327.27671850912</v>
      </c>
    </row>
    <row r="87" spans="1:56" ht="23.25" x14ac:dyDescent="0.25">
      <c r="A87" s="244"/>
      <c r="B87" s="86">
        <v>8</v>
      </c>
      <c r="C87" s="86">
        <f t="shared" si="67"/>
        <v>26</v>
      </c>
      <c r="D87" s="132">
        <f>(D86*((C87/C86)^(($C$13-1)/$C$13)))</f>
        <v>2462.3344583406665</v>
      </c>
      <c r="E87" s="153">
        <f t="shared" si="63"/>
        <v>1.2513526500762518E-9</v>
      </c>
      <c r="F87" s="153">
        <f t="shared" si="64"/>
        <v>6.5681391066181393E-6</v>
      </c>
      <c r="G87" s="88">
        <f>F87/($D$76*$G$11*((J87/2)+3.76))</f>
        <v>1.3657792483082482E-7</v>
      </c>
      <c r="H87" s="96">
        <f>($G$12*$D$52*1.1)</f>
        <v>8.5359999999999996</v>
      </c>
      <c r="I87" s="96">
        <f>($D$52*$G$13)</f>
        <v>8.73</v>
      </c>
      <c r="J87" s="134">
        <f>(($G$15/2)*(1-$D$52)*1.1)</f>
        <v>0.41250000000000042</v>
      </c>
      <c r="K87" s="97">
        <f t="shared" si="65"/>
        <v>51.726180000000006</v>
      </c>
      <c r="L87" s="193">
        <f t="shared" si="60"/>
        <v>1.4084598498178824E-3</v>
      </c>
      <c r="M87" s="136">
        <f t="shared" si="61"/>
        <v>0.17661635809564291</v>
      </c>
      <c r="N87" s="163">
        <f>SUM($E$79:$E$94)</f>
        <v>3.0749174874513504E-8</v>
      </c>
      <c r="O87" s="165">
        <f t="shared" si="62"/>
        <v>9.4791471679474522E-6</v>
      </c>
      <c r="P87" s="144">
        <f t="shared" si="66"/>
        <v>3243.8756704282409</v>
      </c>
      <c r="Q87" s="260"/>
      <c r="R87" s="260"/>
      <c r="S87" s="260"/>
      <c r="T87" s="260"/>
      <c r="U87" s="260"/>
      <c r="V87" s="260"/>
      <c r="W87" s="260"/>
      <c r="X87" s="260"/>
      <c r="Y87" s="86">
        <v>4</v>
      </c>
      <c r="Z87" s="86">
        <f t="shared" si="84"/>
        <v>18</v>
      </c>
      <c r="AA87" s="132">
        <f t="shared" si="85"/>
        <v>2603.4177381529535</v>
      </c>
      <c r="AB87" s="191">
        <f t="shared" si="75"/>
        <v>3.8839638801478749E-9</v>
      </c>
      <c r="AC87" s="153">
        <f t="shared" si="76"/>
        <v>6.5681391066181393E-6</v>
      </c>
      <c r="AD87" s="88">
        <f>AC87/(AA$36*$G$11*((AG87/2)+3.76))</f>
        <v>1.3525125573473647E-7</v>
      </c>
      <c r="AE87" s="96">
        <f>$G$12*$AA$80*$AC$28</f>
        <v>7.84</v>
      </c>
      <c r="AF87" s="96">
        <f>$G$13*$AA$80*$AC$28</f>
        <v>8.82</v>
      </c>
      <c r="AG87" s="134">
        <f>(($G$15/2)*(1-$AA$80)*$AC$28)</f>
        <v>0.25000000000000022</v>
      </c>
      <c r="AH87" s="144">
        <f>$G$14*$AC$28</f>
        <v>47.023800000000001</v>
      </c>
      <c r="AI87" s="152">
        <f t="shared" si="77"/>
        <v>8.4532034834210385E-4</v>
      </c>
      <c r="AJ87" s="142">
        <f t="shared" si="78"/>
        <v>0.15900069998547753</v>
      </c>
      <c r="AK87" s="163">
        <f t="shared" si="79"/>
        <v>3.3546039133786429E-7</v>
      </c>
      <c r="AL87" s="153">
        <f t="shared" si="80"/>
        <v>8.6471267338934945E-6</v>
      </c>
      <c r="AM87" s="144">
        <f t="shared" si="81"/>
        <v>38794.434459134885</v>
      </c>
      <c r="AN87" s="260"/>
      <c r="AO87" s="260"/>
      <c r="AP87" s="86">
        <v>5</v>
      </c>
      <c r="AQ87" s="86">
        <f t="shared" si="82"/>
        <v>20</v>
      </c>
      <c r="AR87" s="132">
        <f t="shared" si="83"/>
        <v>2643.5795511532228</v>
      </c>
      <c r="AS87" s="191">
        <f t="shared" si="68"/>
        <v>1.741368903065121E-8</v>
      </c>
      <c r="AT87" s="153">
        <f t="shared" si="69"/>
        <v>6.5681391066181393E-6</v>
      </c>
      <c r="AU87" s="88">
        <f>AT87/($AR$79*$G$11*((AX87/2)+3.76))</f>
        <v>1.3110058097042195E-7</v>
      </c>
      <c r="AV87" s="96">
        <f>$G$12*$AR$79*$AC$28</f>
        <v>6.4</v>
      </c>
      <c r="AW87" s="96">
        <f>$G$13*$AR$79*$AC$28</f>
        <v>7.2</v>
      </c>
      <c r="AX87" s="134">
        <f>(($G$15/2)*(1-$AR$79)*$AC$28)</f>
        <v>2.4999999999999996</v>
      </c>
      <c r="AY87" s="144">
        <f>$G$14*$AC$28</f>
        <v>47.023800000000001</v>
      </c>
      <c r="AZ87" s="152">
        <f t="shared" si="70"/>
        <v>8.1937863106513707E-3</v>
      </c>
      <c r="BA87" s="142">
        <f t="shared" si="71"/>
        <v>0.15412118748592321</v>
      </c>
      <c r="BB87" s="163">
        <f t="shared" si="72"/>
        <v>1.0123275564368806E-6</v>
      </c>
      <c r="BC87" s="153">
        <f t="shared" si="73"/>
        <v>8.2755668530607212E-6</v>
      </c>
      <c r="BD87" s="144">
        <f t="shared" si="74"/>
        <v>122327.27671850912</v>
      </c>
    </row>
    <row r="88" spans="1:56" x14ac:dyDescent="0.25">
      <c r="A88" s="228"/>
      <c r="B88" s="86">
        <v>9</v>
      </c>
      <c r="C88" s="86">
        <f t="shared" si="67"/>
        <v>28</v>
      </c>
      <c r="D88" s="132">
        <f>(D87*((C88/C87)^(($C$13-1)/$C$13)))</f>
        <v>2488.9917076450188</v>
      </c>
      <c r="E88" s="153">
        <f t="shared" si="63"/>
        <v>1.6808268728861874E-9</v>
      </c>
      <c r="F88" s="153">
        <f t="shared" si="64"/>
        <v>6.5681391066181393E-6</v>
      </c>
      <c r="G88" s="88">
        <f>F88/($D$76*$G$11*((J88/2)+3.76))</f>
        <v>1.3657792483082482E-7</v>
      </c>
      <c r="H88" s="96">
        <f>($G$12*$D$52*1.1)</f>
        <v>8.5359999999999996</v>
      </c>
      <c r="I88" s="96">
        <f>($D$52*$G$13)</f>
        <v>8.73</v>
      </c>
      <c r="J88" s="134">
        <f>(($G$15/2)*(1-$D$52)*1.1)</f>
        <v>0.41250000000000042</v>
      </c>
      <c r="K88" s="97">
        <f t="shared" si="65"/>
        <v>51.726180000000006</v>
      </c>
      <c r="L88" s="193">
        <f t="shared" si="60"/>
        <v>1.4084598498178824E-3</v>
      </c>
      <c r="M88" s="136">
        <f t="shared" si="61"/>
        <v>0.17661635809564291</v>
      </c>
      <c r="N88" s="163">
        <f>SUM($E$79:$E$94)</f>
        <v>3.0749174874513504E-8</v>
      </c>
      <c r="O88" s="165">
        <f t="shared" si="62"/>
        <v>9.4791471679474522E-6</v>
      </c>
      <c r="P88" s="144">
        <f t="shared" si="66"/>
        <v>3243.8756704282409</v>
      </c>
      <c r="Q88" s="260"/>
      <c r="R88" s="260"/>
      <c r="S88" s="260"/>
      <c r="T88" s="260"/>
      <c r="U88" s="230"/>
      <c r="V88" s="230"/>
      <c r="W88" s="260"/>
      <c r="X88" s="260"/>
      <c r="Y88" s="86">
        <v>5</v>
      </c>
      <c r="Z88" s="86">
        <f t="shared" si="84"/>
        <v>20</v>
      </c>
      <c r="AA88" s="132">
        <f t="shared" si="85"/>
        <v>2643.5795511532228</v>
      </c>
      <c r="AB88" s="191">
        <f t="shared" si="75"/>
        <v>5.7702658054464716E-9</v>
      </c>
      <c r="AC88" s="153">
        <f t="shared" si="76"/>
        <v>6.5681391066181393E-6</v>
      </c>
      <c r="AD88" s="88">
        <f>AC88/(AA$36*$G$11*((AG88/2)+3.76))</f>
        <v>1.3525125573473647E-7</v>
      </c>
      <c r="AE88" s="96">
        <f>$G$12*$AA$80*$AC$28</f>
        <v>7.84</v>
      </c>
      <c r="AF88" s="96">
        <f>$G$13*$AA$80*$AC$28</f>
        <v>8.82</v>
      </c>
      <c r="AG88" s="134">
        <f>(($G$15/2)*(1-$AA$80)*$AC$28)</f>
        <v>0.25000000000000022</v>
      </c>
      <c r="AH88" s="144">
        <f>$G$14*$AC$28</f>
        <v>47.023800000000001</v>
      </c>
      <c r="AI88" s="152">
        <f t="shared" si="77"/>
        <v>8.4532034834210385E-4</v>
      </c>
      <c r="AJ88" s="142">
        <f t="shared" si="78"/>
        <v>0.15900069998547753</v>
      </c>
      <c r="AK88" s="163">
        <f t="shared" si="79"/>
        <v>3.3546039133786429E-7</v>
      </c>
      <c r="AL88" s="153">
        <f t="shared" si="80"/>
        <v>8.6471267338934945E-6</v>
      </c>
      <c r="AM88" s="144">
        <f t="shared" si="81"/>
        <v>38794.434459134885</v>
      </c>
      <c r="AP88" s="86">
        <v>6</v>
      </c>
      <c r="AQ88" s="86">
        <f t="shared" si="82"/>
        <v>22</v>
      </c>
      <c r="AR88" s="132">
        <f t="shared" si="83"/>
        <v>2680.4437978364645</v>
      </c>
      <c r="AS88" s="191">
        <f t="shared" si="68"/>
        <v>2.4783395437203743E-8</v>
      </c>
      <c r="AT88" s="153">
        <f t="shared" si="69"/>
        <v>6.5681391066181393E-6</v>
      </c>
      <c r="AU88" s="88">
        <f>AT88/($AR$79*$G$11*((AX88/2)+3.76))</f>
        <v>1.3110058097042195E-7</v>
      </c>
      <c r="AV88" s="96">
        <f>$G$12*$AR$79*$AC$28</f>
        <v>6.4</v>
      </c>
      <c r="AW88" s="96">
        <f>$G$13*$AR$79*$AC$28</f>
        <v>7.2</v>
      </c>
      <c r="AX88" s="134">
        <f>(($G$15/2)*(1-$AR$79)*$AC$28)</f>
        <v>2.4999999999999996</v>
      </c>
      <c r="AY88" s="144">
        <f>$G$14*$AC$28</f>
        <v>47.023800000000001</v>
      </c>
      <c r="AZ88" s="152">
        <f t="shared" si="70"/>
        <v>8.1937863106513707E-3</v>
      </c>
      <c r="BA88" s="142">
        <f t="shared" si="71"/>
        <v>0.15412118748592321</v>
      </c>
      <c r="BB88" s="163">
        <f t="shared" si="72"/>
        <v>1.0123275564368806E-6</v>
      </c>
      <c r="BC88" s="153">
        <f t="shared" si="73"/>
        <v>8.2755668530607212E-6</v>
      </c>
      <c r="BD88" s="144">
        <f t="shared" si="74"/>
        <v>122327.27671850912</v>
      </c>
    </row>
    <row r="89" spans="1:56" x14ac:dyDescent="0.25">
      <c r="A89" s="228"/>
      <c r="B89" s="86">
        <v>10</v>
      </c>
      <c r="C89" s="86">
        <f t="shared" si="67"/>
        <v>30</v>
      </c>
      <c r="D89" s="132">
        <f>(D88*((C89/C88)^(($C$13-1)/$C$13)))</f>
        <v>2514.0683487192646</v>
      </c>
      <c r="E89" s="153">
        <f t="shared" si="63"/>
        <v>2.2059090592150092E-9</v>
      </c>
      <c r="F89" s="153">
        <f t="shared" si="64"/>
        <v>6.5681391066181393E-6</v>
      </c>
      <c r="G89" s="88">
        <f>F89/($D$76*$G$11*((J89/2)+3.76))</f>
        <v>1.3657792483082482E-7</v>
      </c>
      <c r="H89" s="96">
        <f>($G$12*$D$52*1.1)</f>
        <v>8.5359999999999996</v>
      </c>
      <c r="I89" s="96">
        <f>($D$52*$G$13)</f>
        <v>8.73</v>
      </c>
      <c r="J89" s="134">
        <f>(($G$15/2)*(1-$D$52)*1.1)</f>
        <v>0.41250000000000042</v>
      </c>
      <c r="K89" s="97">
        <f t="shared" si="65"/>
        <v>51.726180000000006</v>
      </c>
      <c r="L89" s="193">
        <f t="shared" si="60"/>
        <v>1.4084598498178824E-3</v>
      </c>
      <c r="M89" s="136">
        <f t="shared" si="61"/>
        <v>0.17661635809564291</v>
      </c>
      <c r="N89" s="163">
        <f>SUM($E$79:$E$94)</f>
        <v>3.0749174874513504E-8</v>
      </c>
      <c r="O89" s="165">
        <f t="shared" si="62"/>
        <v>9.4791471679474522E-6</v>
      </c>
      <c r="P89" s="144">
        <f t="shared" si="66"/>
        <v>3243.8756704282409</v>
      </c>
      <c r="Q89" s="260"/>
      <c r="R89" s="260"/>
      <c r="S89" s="260"/>
      <c r="T89" s="229"/>
      <c r="U89" s="230"/>
      <c r="V89" s="230"/>
      <c r="W89" s="260"/>
      <c r="X89" s="260"/>
      <c r="Y89" s="86">
        <v>6</v>
      </c>
      <c r="Z89" s="86">
        <f t="shared" si="84"/>
        <v>22</v>
      </c>
      <c r="AA89" s="132">
        <f t="shared" si="85"/>
        <v>2680.4437978364645</v>
      </c>
      <c r="AB89" s="191">
        <f t="shared" si="75"/>
        <v>8.2123195712543937E-9</v>
      </c>
      <c r="AC89" s="153">
        <f t="shared" si="76"/>
        <v>6.5681391066181393E-6</v>
      </c>
      <c r="AD89" s="88">
        <f>AC89/(AA$36*$G$11*((AG89/2)+3.76))</f>
        <v>1.3525125573473647E-7</v>
      </c>
      <c r="AE89" s="96">
        <f>$G$12*$AA$80*$AC$28</f>
        <v>7.84</v>
      </c>
      <c r="AF89" s="96">
        <f>$G$13*$AA$80*$AC$28</f>
        <v>8.82</v>
      </c>
      <c r="AG89" s="134">
        <f>(($G$15/2)*(1-$AA$80)*$AC$28)</f>
        <v>0.25000000000000022</v>
      </c>
      <c r="AH89" s="144">
        <f>$G$14*$AC$28</f>
        <v>47.023800000000001</v>
      </c>
      <c r="AI89" s="152">
        <f t="shared" si="77"/>
        <v>8.4532034834210385E-4</v>
      </c>
      <c r="AJ89" s="142">
        <f t="shared" si="78"/>
        <v>0.15900069998547753</v>
      </c>
      <c r="AK89" s="163">
        <f t="shared" si="79"/>
        <v>3.3546039133786429E-7</v>
      </c>
      <c r="AL89" s="153">
        <f t="shared" si="80"/>
        <v>8.6471267338934945E-6</v>
      </c>
      <c r="AM89" s="144">
        <f t="shared" si="81"/>
        <v>38794.434459134885</v>
      </c>
      <c r="AP89" s="86">
        <v>7</v>
      </c>
      <c r="AQ89" s="86">
        <f t="shared" si="82"/>
        <v>24</v>
      </c>
      <c r="AR89" s="132">
        <f t="shared" si="83"/>
        <v>2714.5469106716873</v>
      </c>
      <c r="AS89" s="191">
        <f t="shared" si="68"/>
        <v>3.4059951698611132E-8</v>
      </c>
      <c r="AT89" s="153">
        <f t="shared" si="69"/>
        <v>6.5681391066181393E-6</v>
      </c>
      <c r="AU89" s="88">
        <f>AT89/($AR$79*$G$11*((AX89/2)+3.76))</f>
        <v>1.3110058097042195E-7</v>
      </c>
      <c r="AV89" s="96">
        <f>$G$12*$AR$79*$AC$28</f>
        <v>6.4</v>
      </c>
      <c r="AW89" s="96">
        <f>$G$13*$AR$79*$AC$28</f>
        <v>7.2</v>
      </c>
      <c r="AX89" s="134">
        <f>(($G$15/2)*(1-$AR$79)*$AC$28)</f>
        <v>2.4999999999999996</v>
      </c>
      <c r="AY89" s="144">
        <f>$G$14*$AC$28</f>
        <v>47.023800000000001</v>
      </c>
      <c r="AZ89" s="152">
        <f t="shared" si="70"/>
        <v>8.1937863106513707E-3</v>
      </c>
      <c r="BA89" s="142">
        <f t="shared" si="71"/>
        <v>0.15412118748592321</v>
      </c>
      <c r="BB89" s="163">
        <f t="shared" si="72"/>
        <v>1.0123275564368806E-6</v>
      </c>
      <c r="BC89" s="153">
        <f t="shared" si="73"/>
        <v>8.2755668530607212E-6</v>
      </c>
      <c r="BD89" s="144">
        <f t="shared" si="74"/>
        <v>122327.27671850912</v>
      </c>
    </row>
    <row r="90" spans="1:56" x14ac:dyDescent="0.25">
      <c r="A90" s="228"/>
      <c r="B90" s="86">
        <v>11</v>
      </c>
      <c r="C90" s="86">
        <f t="shared" si="67"/>
        <v>32</v>
      </c>
      <c r="D90" s="132">
        <f>(D89*((C90/C89)^(($C$13-1)/$C$13)))</f>
        <v>2537.7546372739243</v>
      </c>
      <c r="E90" s="153">
        <f t="shared" si="63"/>
        <v>2.8376799141493405E-9</v>
      </c>
      <c r="F90" s="153">
        <f t="shared" si="64"/>
        <v>6.5681391066181393E-6</v>
      </c>
      <c r="G90" s="88">
        <f>F90/($D$76*$G$11*((J90/2)+3.76))</f>
        <v>1.3657792483082482E-7</v>
      </c>
      <c r="H90" s="96">
        <f>($G$12*$D$52*1.1)</f>
        <v>8.5359999999999996</v>
      </c>
      <c r="I90" s="96">
        <f>($D$52*$G$13)</f>
        <v>8.73</v>
      </c>
      <c r="J90" s="134">
        <f>(($G$15/2)*(1-$D$52)*1.1)</f>
        <v>0.41250000000000042</v>
      </c>
      <c r="K90" s="97">
        <f t="shared" si="65"/>
        <v>51.726180000000006</v>
      </c>
      <c r="L90" s="193">
        <f t="shared" si="60"/>
        <v>1.4084598498178824E-3</v>
      </c>
      <c r="M90" s="136">
        <f t="shared" si="61"/>
        <v>0.17661635809564291</v>
      </c>
      <c r="N90" s="163">
        <f>SUM($E$79:$E$94)</f>
        <v>3.0749174874513504E-8</v>
      </c>
      <c r="O90" s="165">
        <f t="shared" si="62"/>
        <v>9.4791471679474522E-6</v>
      </c>
      <c r="P90" s="144">
        <f t="shared" si="66"/>
        <v>3243.8756704282409</v>
      </c>
      <c r="Q90" s="260"/>
      <c r="R90" s="260"/>
      <c r="S90" s="260"/>
      <c r="T90" s="229"/>
      <c r="U90" s="230"/>
      <c r="V90" s="230"/>
      <c r="W90" s="260"/>
      <c r="X90" s="260"/>
      <c r="Y90" s="86">
        <v>7</v>
      </c>
      <c r="Z90" s="86">
        <f t="shared" si="84"/>
        <v>24</v>
      </c>
      <c r="AA90" s="132">
        <f t="shared" si="85"/>
        <v>2714.5469106716873</v>
      </c>
      <c r="AB90" s="191">
        <f t="shared" si="75"/>
        <v>1.1286234311162761E-8</v>
      </c>
      <c r="AC90" s="153">
        <f t="shared" si="76"/>
        <v>6.5681391066181393E-6</v>
      </c>
      <c r="AD90" s="88">
        <f>AC90/(AA$36*$G$11*((AG90/2)+3.76))</f>
        <v>1.3525125573473647E-7</v>
      </c>
      <c r="AE90" s="96">
        <f>$G$12*$AA$80*$AC$28</f>
        <v>7.84</v>
      </c>
      <c r="AF90" s="96">
        <f>$G$13*$AA$80*$AC$28</f>
        <v>8.82</v>
      </c>
      <c r="AG90" s="134">
        <f>(($G$15/2)*(1-$AA$80)*$AC$28)</f>
        <v>0.25000000000000022</v>
      </c>
      <c r="AH90" s="144">
        <f>$G$14*$AC$28</f>
        <v>47.023800000000001</v>
      </c>
      <c r="AI90" s="152">
        <f t="shared" si="77"/>
        <v>8.4532034834210385E-4</v>
      </c>
      <c r="AJ90" s="142">
        <f t="shared" si="78"/>
        <v>0.15900069998547753</v>
      </c>
      <c r="AK90" s="163">
        <f t="shared" si="79"/>
        <v>3.3546039133786429E-7</v>
      </c>
      <c r="AL90" s="153">
        <f t="shared" si="80"/>
        <v>8.6471267338934945E-6</v>
      </c>
      <c r="AM90" s="144">
        <f t="shared" si="81"/>
        <v>38794.434459134885</v>
      </c>
      <c r="AP90" s="86">
        <v>8</v>
      </c>
      <c r="AQ90" s="86">
        <f t="shared" si="82"/>
        <v>26</v>
      </c>
      <c r="AR90" s="132">
        <f t="shared" si="83"/>
        <v>2746.3017618750005</v>
      </c>
      <c r="AS90" s="191">
        <f t="shared" si="68"/>
        <v>4.5471140622633593E-8</v>
      </c>
      <c r="AT90" s="153">
        <f t="shared" si="69"/>
        <v>6.5681391066181393E-6</v>
      </c>
      <c r="AU90" s="88">
        <f>AT90/($AR$79*$G$11*((AX90/2)+3.76))</f>
        <v>1.3110058097042195E-7</v>
      </c>
      <c r="AV90" s="96">
        <f>$G$12*$AR$79*$AC$28</f>
        <v>6.4</v>
      </c>
      <c r="AW90" s="96">
        <f>$G$13*$AR$79*$AC$28</f>
        <v>7.2</v>
      </c>
      <c r="AX90" s="134">
        <f>(($G$15/2)*(1-$AR$79)*$AC$28)</f>
        <v>2.4999999999999996</v>
      </c>
      <c r="AY90" s="144">
        <f>$G$14*$AC$28</f>
        <v>47.023800000000001</v>
      </c>
      <c r="AZ90" s="152">
        <f t="shared" si="70"/>
        <v>8.1937863106513707E-3</v>
      </c>
      <c r="BA90" s="142">
        <f t="shared" si="71"/>
        <v>0.15412118748592321</v>
      </c>
      <c r="BB90" s="163">
        <f t="shared" si="72"/>
        <v>1.0123275564368806E-6</v>
      </c>
      <c r="BC90" s="153">
        <f t="shared" si="73"/>
        <v>8.2755668530607212E-6</v>
      </c>
      <c r="BD90" s="144">
        <f t="shared" si="74"/>
        <v>122327.27671850912</v>
      </c>
    </row>
    <row r="91" spans="1:56" x14ac:dyDescent="0.25">
      <c r="A91" s="228"/>
      <c r="B91" s="86">
        <v>12</v>
      </c>
      <c r="C91" s="86">
        <f t="shared" si="67"/>
        <v>34</v>
      </c>
      <c r="D91" s="132">
        <f>(D90*((C91/C90)^(($C$13-1)/$C$13)))</f>
        <v>2560.2077172018953</v>
      </c>
      <c r="E91" s="153">
        <f t="shared" si="63"/>
        <v>3.5873696114824378E-9</v>
      </c>
      <c r="F91" s="153">
        <f t="shared" si="64"/>
        <v>6.5681391066181393E-6</v>
      </c>
      <c r="G91" s="88">
        <f>F91/($D$76*$G$11*((J91/2)+3.76))</f>
        <v>1.3657792483082482E-7</v>
      </c>
      <c r="H91" s="96">
        <f>($G$12*$D$52*1.1)</f>
        <v>8.5359999999999996</v>
      </c>
      <c r="I91" s="96">
        <f>($D$52*$G$13)</f>
        <v>8.73</v>
      </c>
      <c r="J91" s="134">
        <f>(($G$15/2)*(1-$D$52)*1.1)</f>
        <v>0.41250000000000042</v>
      </c>
      <c r="K91" s="97">
        <f t="shared" si="65"/>
        <v>51.726180000000006</v>
      </c>
      <c r="L91" s="193">
        <f t="shared" si="60"/>
        <v>1.4084598498178824E-3</v>
      </c>
      <c r="M91" s="136">
        <f t="shared" si="61"/>
        <v>0.17661635809564291</v>
      </c>
      <c r="N91" s="163">
        <f>SUM($E$79:$E$94)</f>
        <v>3.0749174874513504E-8</v>
      </c>
      <c r="O91" s="165">
        <f t="shared" si="62"/>
        <v>9.4791471679474522E-6</v>
      </c>
      <c r="P91" s="144">
        <f t="shared" si="66"/>
        <v>3243.8756704282409</v>
      </c>
      <c r="Q91" s="260"/>
      <c r="R91" s="260"/>
      <c r="S91" s="260"/>
      <c r="T91" s="229"/>
      <c r="U91" s="230"/>
      <c r="V91" s="230"/>
      <c r="W91" s="260"/>
      <c r="X91" s="260"/>
      <c r="Y91" s="86">
        <v>8</v>
      </c>
      <c r="Z91" s="86">
        <f t="shared" si="84"/>
        <v>26</v>
      </c>
      <c r="AA91" s="132">
        <f t="shared" si="85"/>
        <v>2746.3017618750005</v>
      </c>
      <c r="AB91" s="191">
        <f t="shared" si="75"/>
        <v>1.5067488997167335E-8</v>
      </c>
      <c r="AC91" s="153">
        <f t="shared" si="76"/>
        <v>6.5681391066181393E-6</v>
      </c>
      <c r="AD91" s="88">
        <f>AC91/(AA$36*$G$11*((AG91/2)+3.76))</f>
        <v>1.3525125573473647E-7</v>
      </c>
      <c r="AE91" s="96">
        <f>$G$12*$AA$80*$AC$28</f>
        <v>7.84</v>
      </c>
      <c r="AF91" s="96">
        <f>$G$13*$AA$80*$AC$28</f>
        <v>8.82</v>
      </c>
      <c r="AG91" s="134">
        <f>(($G$15/2)*(1-$AA$80)*$AC$28)</f>
        <v>0.25000000000000022</v>
      </c>
      <c r="AH91" s="144">
        <f>$G$14*$AC$28</f>
        <v>47.023800000000001</v>
      </c>
      <c r="AI91" s="152">
        <f t="shared" si="77"/>
        <v>8.4532034834210385E-4</v>
      </c>
      <c r="AJ91" s="142">
        <f t="shared" si="78"/>
        <v>0.15900069998547753</v>
      </c>
      <c r="AK91" s="163">
        <f t="shared" si="79"/>
        <v>3.3546039133786429E-7</v>
      </c>
      <c r="AL91" s="153">
        <f t="shared" si="80"/>
        <v>8.6471267338934945E-6</v>
      </c>
      <c r="AM91" s="144">
        <f t="shared" si="81"/>
        <v>38794.434459134885</v>
      </c>
      <c r="AP91" s="86">
        <v>9</v>
      </c>
      <c r="AQ91" s="86">
        <f t="shared" si="82"/>
        <v>28</v>
      </c>
      <c r="AR91" s="132">
        <f t="shared" si="83"/>
        <v>2776.0332431054658</v>
      </c>
      <c r="AS91" s="191">
        <f t="shared" si="68"/>
        <v>5.9241918446956869E-8</v>
      </c>
      <c r="AT91" s="153">
        <f t="shared" si="69"/>
        <v>6.5681391066181393E-6</v>
      </c>
      <c r="AU91" s="88">
        <f>AT91/($AR$79*$G$11*((AX91/2)+3.76))</f>
        <v>1.3110058097042195E-7</v>
      </c>
      <c r="AV91" s="96">
        <f>$G$12*$AR$79*$AC$28</f>
        <v>6.4</v>
      </c>
      <c r="AW91" s="96">
        <f>$G$13*$AR$79*$AC$28</f>
        <v>7.2</v>
      </c>
      <c r="AX91" s="134">
        <f>(($G$15/2)*(1-$AR$79)*$AC$28)</f>
        <v>2.4999999999999996</v>
      </c>
      <c r="AY91" s="144">
        <f>$G$14*$AC$28</f>
        <v>47.023800000000001</v>
      </c>
      <c r="AZ91" s="152">
        <f t="shared" si="70"/>
        <v>8.1937863106513707E-3</v>
      </c>
      <c r="BA91" s="142">
        <f t="shared" si="71"/>
        <v>0.15412118748592321</v>
      </c>
      <c r="BB91" s="163">
        <f t="shared" si="72"/>
        <v>1.0123275564368806E-6</v>
      </c>
      <c r="BC91" s="153">
        <f t="shared" si="73"/>
        <v>8.2755668530607212E-6</v>
      </c>
      <c r="BD91" s="144">
        <f t="shared" si="74"/>
        <v>122327.27671850912</v>
      </c>
    </row>
    <row r="92" spans="1:56" x14ac:dyDescent="0.25">
      <c r="A92" s="228"/>
      <c r="B92" s="86">
        <v>13</v>
      </c>
      <c r="C92" s="86">
        <f t="shared" si="67"/>
        <v>36</v>
      </c>
      <c r="D92" s="132">
        <f>(D91*((C92/C91)^(($C$13-1)/$C$13)))</f>
        <v>2581.5589571557384</v>
      </c>
      <c r="E92" s="153">
        <f t="shared" si="63"/>
        <v>4.4663195325356185E-9</v>
      </c>
      <c r="F92" s="153">
        <f t="shared" si="64"/>
        <v>6.5681391066181393E-6</v>
      </c>
      <c r="G92" s="88">
        <f>F92/($D$76*$G$11*((J92/2)+3.76))</f>
        <v>1.3657792483082482E-7</v>
      </c>
      <c r="H92" s="96">
        <f>($G$12*$D$52*1.1)</f>
        <v>8.5359999999999996</v>
      </c>
      <c r="I92" s="96">
        <f>($D$52*$G$13)</f>
        <v>8.73</v>
      </c>
      <c r="J92" s="134">
        <f>(($G$15/2)*(1-$D$52)*1.1)</f>
        <v>0.41250000000000042</v>
      </c>
      <c r="K92" s="97">
        <f t="shared" si="65"/>
        <v>51.726180000000006</v>
      </c>
      <c r="L92" s="193">
        <f t="shared" si="60"/>
        <v>1.4084598498178824E-3</v>
      </c>
      <c r="M92" s="136">
        <f t="shared" si="61"/>
        <v>0.17661635809564291</v>
      </c>
      <c r="N92" s="163">
        <f>SUM($E$79:$E$94)</f>
        <v>3.0749174874513504E-8</v>
      </c>
      <c r="O92" s="165">
        <f t="shared" si="62"/>
        <v>9.4791471679474522E-6</v>
      </c>
      <c r="P92" s="144">
        <f t="shared" si="66"/>
        <v>3243.8756704282409</v>
      </c>
      <c r="Q92" s="260"/>
      <c r="R92" s="260"/>
      <c r="S92" s="260"/>
      <c r="T92" s="229"/>
      <c r="U92" s="230"/>
      <c r="V92" s="230"/>
      <c r="W92" s="260"/>
      <c r="X92" s="260"/>
      <c r="Y92" s="86">
        <v>9</v>
      </c>
      <c r="Z92" s="86">
        <f t="shared" si="84"/>
        <v>28</v>
      </c>
      <c r="AA92" s="132">
        <f t="shared" si="85"/>
        <v>2776.0332431054658</v>
      </c>
      <c r="AB92" s="191">
        <f t="shared" si="75"/>
        <v>1.963062597832207E-8</v>
      </c>
      <c r="AC92" s="153">
        <f t="shared" si="76"/>
        <v>6.5681391066181393E-6</v>
      </c>
      <c r="AD92" s="88">
        <f>AC92/(AA$36*$G$11*((AG92/2)+3.76))</f>
        <v>1.3525125573473647E-7</v>
      </c>
      <c r="AE92" s="96">
        <f>$G$12*$AA$80*$AC$28</f>
        <v>7.84</v>
      </c>
      <c r="AF92" s="96">
        <f>$G$13*$AA$80*$AC$28</f>
        <v>8.82</v>
      </c>
      <c r="AG92" s="134">
        <f>(($G$15/2)*(1-$AA$80)*$AC$28)</f>
        <v>0.25000000000000022</v>
      </c>
      <c r="AH92" s="144">
        <f>$G$14*$AC$28</f>
        <v>47.023800000000001</v>
      </c>
      <c r="AI92" s="152">
        <f t="shared" si="77"/>
        <v>8.4532034834210385E-4</v>
      </c>
      <c r="AJ92" s="142">
        <f t="shared" si="78"/>
        <v>0.15900069998547753</v>
      </c>
      <c r="AK92" s="163">
        <f t="shared" si="79"/>
        <v>3.3546039133786429E-7</v>
      </c>
      <c r="AL92" s="153">
        <f t="shared" si="80"/>
        <v>8.6471267338934945E-6</v>
      </c>
      <c r="AM92" s="144">
        <f t="shared" si="81"/>
        <v>38794.434459134885</v>
      </c>
      <c r="AP92" s="86">
        <v>10</v>
      </c>
      <c r="AQ92" s="86">
        <f t="shared" si="82"/>
        <v>30</v>
      </c>
      <c r="AR92" s="132">
        <f t="shared" si="83"/>
        <v>2804.0018333718417</v>
      </c>
      <c r="AS92" s="191">
        <f t="shared" si="68"/>
        <v>7.5593745865374251E-8</v>
      </c>
      <c r="AT92" s="153">
        <f t="shared" si="69"/>
        <v>6.5681391066181393E-6</v>
      </c>
      <c r="AU92" s="88">
        <f>AT92/($AR$79*$G$11*((AX92/2)+3.76))</f>
        <v>1.3110058097042195E-7</v>
      </c>
      <c r="AV92" s="96">
        <f>$G$12*$AR$79*$AC$28</f>
        <v>6.4</v>
      </c>
      <c r="AW92" s="96">
        <f>$G$13*$AR$79*$AC$28</f>
        <v>7.2</v>
      </c>
      <c r="AX92" s="134">
        <f>(($G$15/2)*(1-$AR$79)*$AC$28)</f>
        <v>2.4999999999999996</v>
      </c>
      <c r="AY92" s="144">
        <f>$G$14*$AC$28</f>
        <v>47.023800000000001</v>
      </c>
      <c r="AZ92" s="152">
        <f t="shared" si="70"/>
        <v>8.1937863106513707E-3</v>
      </c>
      <c r="BA92" s="142">
        <f t="shared" si="71"/>
        <v>0.15412118748592321</v>
      </c>
      <c r="BB92" s="163">
        <f t="shared" si="72"/>
        <v>1.0123275564368806E-6</v>
      </c>
      <c r="BC92" s="153">
        <f t="shared" si="73"/>
        <v>8.2755668530607212E-6</v>
      </c>
      <c r="BD92" s="144">
        <f t="shared" si="74"/>
        <v>122327.27671850912</v>
      </c>
    </row>
    <row r="93" spans="1:56" x14ac:dyDescent="0.25">
      <c r="A93" s="228"/>
      <c r="B93" s="86">
        <v>14</v>
      </c>
      <c r="C93" s="86">
        <f t="shared" si="67"/>
        <v>38</v>
      </c>
      <c r="D93" s="132">
        <f>(D92*((C93/C92)^(($C$13-1)/$C$13)))</f>
        <v>2601.9193505904123</v>
      </c>
      <c r="E93" s="153">
        <f t="shared" si="63"/>
        <v>5.4859494310751555E-9</v>
      </c>
      <c r="F93" s="153">
        <f t="shared" si="64"/>
        <v>6.5681391066181393E-6</v>
      </c>
      <c r="G93" s="88">
        <f>F93/($D$76*$G$11*((J93/2)+3.76))</f>
        <v>1.3657792483082482E-7</v>
      </c>
      <c r="H93" s="96">
        <f>($G$12*$D$52*1.1)</f>
        <v>8.5359999999999996</v>
      </c>
      <c r="I93" s="96">
        <f>($D$52*$G$13)</f>
        <v>8.73</v>
      </c>
      <c r="J93" s="134">
        <f>(($G$15/2)*(1-$D$52)*1.1)</f>
        <v>0.41250000000000042</v>
      </c>
      <c r="K93" s="97">
        <f t="shared" si="65"/>
        <v>51.726180000000006</v>
      </c>
      <c r="L93" s="193">
        <f t="shared" si="60"/>
        <v>1.4084598498178824E-3</v>
      </c>
      <c r="M93" s="136">
        <f t="shared" si="61"/>
        <v>0.17661635809564291</v>
      </c>
      <c r="N93" s="163">
        <f>SUM($E$79:$E$94)</f>
        <v>3.0749174874513504E-8</v>
      </c>
      <c r="O93" s="165">
        <f t="shared" si="62"/>
        <v>9.4791471679474522E-6</v>
      </c>
      <c r="P93" s="144">
        <f t="shared" si="66"/>
        <v>3243.8756704282409</v>
      </c>
      <c r="Q93" s="260"/>
      <c r="R93" s="260"/>
      <c r="S93" s="260"/>
      <c r="T93" s="229"/>
      <c r="U93" s="230"/>
      <c r="V93" s="230"/>
      <c r="W93" s="260"/>
      <c r="X93" s="260"/>
      <c r="Y93" s="86">
        <v>10</v>
      </c>
      <c r="Z93" s="86">
        <f t="shared" si="84"/>
        <v>30</v>
      </c>
      <c r="AA93" s="132">
        <f t="shared" si="85"/>
        <v>2804.0018333718417</v>
      </c>
      <c r="AB93" s="191">
        <f t="shared" si="75"/>
        <v>2.5049029307046691E-8</v>
      </c>
      <c r="AC93" s="153">
        <f t="shared" si="76"/>
        <v>6.5681391066181393E-6</v>
      </c>
      <c r="AD93" s="88">
        <f>AC93/(AA$36*$G$11*((AG93/2)+3.76))</f>
        <v>1.3525125573473647E-7</v>
      </c>
      <c r="AE93" s="96">
        <f>$G$12*$AA$80*$AC$28</f>
        <v>7.84</v>
      </c>
      <c r="AF93" s="96">
        <f>$G$13*$AA$80*$AC$28</f>
        <v>8.82</v>
      </c>
      <c r="AG93" s="134">
        <f>(($G$15/2)*(1-$AA$80)*$AC$28)</f>
        <v>0.25000000000000022</v>
      </c>
      <c r="AH93" s="144">
        <f>$G$14*$AC$28</f>
        <v>47.023800000000001</v>
      </c>
      <c r="AI93" s="152">
        <f t="shared" si="77"/>
        <v>8.4532034834210385E-4</v>
      </c>
      <c r="AJ93" s="142">
        <f t="shared" si="78"/>
        <v>0.15900069998547753</v>
      </c>
      <c r="AK93" s="163">
        <f t="shared" si="79"/>
        <v>3.3546039133786429E-7</v>
      </c>
      <c r="AL93" s="153">
        <f t="shared" si="80"/>
        <v>8.6471267338934945E-6</v>
      </c>
      <c r="AM93" s="144">
        <f t="shared" si="81"/>
        <v>38794.434459134885</v>
      </c>
      <c r="AP93" s="86">
        <v>11</v>
      </c>
      <c r="AQ93" s="86">
        <f t="shared" si="82"/>
        <v>32</v>
      </c>
      <c r="AR93" s="132">
        <f t="shared" si="83"/>
        <v>2830.4197295149102</v>
      </c>
      <c r="AS93" s="191">
        <f t="shared" si="68"/>
        <v>9.4744110362607572E-8</v>
      </c>
      <c r="AT93" s="153">
        <f t="shared" si="69"/>
        <v>6.5681391066181393E-6</v>
      </c>
      <c r="AU93" s="88">
        <f>AT93/($AR$79*$G$11*((AX93/2)+3.76))</f>
        <v>1.3110058097042195E-7</v>
      </c>
      <c r="AV93" s="96">
        <f>$G$12*$AR$79*$AC$28</f>
        <v>6.4</v>
      </c>
      <c r="AW93" s="96">
        <f>$G$13*$AR$79*$AC$28</f>
        <v>7.2</v>
      </c>
      <c r="AX93" s="134">
        <f>(($G$15/2)*(1-$AR$79)*$AC$28)</f>
        <v>2.4999999999999996</v>
      </c>
      <c r="AY93" s="144">
        <f>$G$14*$AC$28</f>
        <v>47.023800000000001</v>
      </c>
      <c r="AZ93" s="152">
        <f t="shared" si="70"/>
        <v>8.1937863106513707E-3</v>
      </c>
      <c r="BA93" s="142">
        <f t="shared" si="71"/>
        <v>0.15412118748592321</v>
      </c>
      <c r="BB93" s="163">
        <f t="shared" si="72"/>
        <v>1.0123275564368806E-6</v>
      </c>
      <c r="BC93" s="153">
        <f t="shared" si="73"/>
        <v>8.2755668530607212E-6</v>
      </c>
      <c r="BD93" s="144">
        <f t="shared" si="74"/>
        <v>122327.27671850912</v>
      </c>
    </row>
    <row r="94" spans="1:56" ht="15.75" thickBot="1" x14ac:dyDescent="0.3">
      <c r="A94" s="228"/>
      <c r="B94" s="86">
        <v>15</v>
      </c>
      <c r="C94" s="86">
        <f t="shared" si="67"/>
        <v>40</v>
      </c>
      <c r="D94" s="132">
        <f>(D93*((C94/C93)^(($C$13-1)/$C$13)))</f>
        <v>2621.3835640818697</v>
      </c>
      <c r="E94" s="153">
        <f t="shared" si="63"/>
        <v>6.6577292134843233E-9</v>
      </c>
      <c r="F94" s="153">
        <f t="shared" si="64"/>
        <v>6.5681391066181393E-6</v>
      </c>
      <c r="G94" s="88">
        <f>F94/($D$76*$G$11*((J94/2)+3.76))</f>
        <v>1.3657792483082482E-7</v>
      </c>
      <c r="H94" s="96">
        <f>($G$12*$D$52*1.1)</f>
        <v>8.5359999999999996</v>
      </c>
      <c r="I94" s="96">
        <f>($D$52*$G$13)</f>
        <v>8.73</v>
      </c>
      <c r="J94" s="134">
        <f>(($G$15/2)*(1-$D$52)*1.1)</f>
        <v>0.41250000000000042</v>
      </c>
      <c r="K94" s="259">
        <f t="shared" si="65"/>
        <v>51.726180000000006</v>
      </c>
      <c r="L94" s="193">
        <f t="shared" si="60"/>
        <v>1.4084598498178824E-3</v>
      </c>
      <c r="M94" s="136">
        <f t="shared" si="61"/>
        <v>0.17661635809564291</v>
      </c>
      <c r="N94" s="163">
        <f>SUM($E$79:$E$94)</f>
        <v>3.0749174874513504E-8</v>
      </c>
      <c r="O94" s="165">
        <f t="shared" si="62"/>
        <v>9.4791471679474522E-6</v>
      </c>
      <c r="P94" s="144">
        <f t="shared" si="66"/>
        <v>3243.8756704282409</v>
      </c>
      <c r="Q94" s="260"/>
      <c r="R94" s="260"/>
      <c r="S94" s="260"/>
      <c r="T94" s="229"/>
      <c r="U94" s="230"/>
      <c r="V94" s="230"/>
      <c r="W94" s="260"/>
      <c r="X94" s="260"/>
      <c r="Y94" s="86">
        <v>11</v>
      </c>
      <c r="Z94" s="86">
        <f t="shared" si="84"/>
        <v>32</v>
      </c>
      <c r="AA94" s="132">
        <f t="shared" si="85"/>
        <v>2830.4197295149102</v>
      </c>
      <c r="AB94" s="191">
        <f t="shared" si="75"/>
        <v>3.1394766458187784E-8</v>
      </c>
      <c r="AC94" s="153">
        <f t="shared" si="76"/>
        <v>6.5681391066181393E-6</v>
      </c>
      <c r="AD94" s="88">
        <f>AC94/(AA$36*$G$11*((AG94/2)+3.76))</f>
        <v>1.3525125573473647E-7</v>
      </c>
      <c r="AE94" s="96">
        <f>$G$12*$AA$80*$AC$28</f>
        <v>7.84</v>
      </c>
      <c r="AF94" s="96">
        <f>$G$13*$AA$80*$AC$28</f>
        <v>8.82</v>
      </c>
      <c r="AG94" s="134">
        <f>(($G$15/2)*(1-$AA$80)*$AC$28)</f>
        <v>0.25000000000000022</v>
      </c>
      <c r="AH94" s="144">
        <f>$G$14*$AC$28</f>
        <v>47.023800000000001</v>
      </c>
      <c r="AI94" s="152">
        <f t="shared" si="77"/>
        <v>8.4532034834210385E-4</v>
      </c>
      <c r="AJ94" s="142">
        <f t="shared" si="78"/>
        <v>0.15900069998547753</v>
      </c>
      <c r="AK94" s="163">
        <f t="shared" si="79"/>
        <v>3.3546039133786429E-7</v>
      </c>
      <c r="AL94" s="153">
        <f t="shared" si="80"/>
        <v>8.6471267338934945E-6</v>
      </c>
      <c r="AM94" s="144">
        <f t="shared" si="81"/>
        <v>38794.434459134885</v>
      </c>
      <c r="AP94" s="86">
        <v>12</v>
      </c>
      <c r="AQ94" s="86">
        <f t="shared" si="82"/>
        <v>34</v>
      </c>
      <c r="AR94" s="132">
        <f t="shared" si="83"/>
        <v>2855.4621979565291</v>
      </c>
      <c r="AS94" s="191">
        <f t="shared" si="68"/>
        <v>1.1690619266506655E-7</v>
      </c>
      <c r="AT94" s="153">
        <f t="shared" si="69"/>
        <v>6.5681391066181393E-6</v>
      </c>
      <c r="AU94" s="88">
        <f>AT94/($AR$79*$G$11*((AX94/2)+3.76))</f>
        <v>1.3110058097042195E-7</v>
      </c>
      <c r="AV94" s="96">
        <f>$G$12*$AR$79*$AC$28</f>
        <v>6.4</v>
      </c>
      <c r="AW94" s="96">
        <f>$G$13*$AR$79*$AC$28</f>
        <v>7.2</v>
      </c>
      <c r="AX94" s="134">
        <f>(($G$15/2)*(1-$AR$79)*$AC$28)</f>
        <v>2.4999999999999996</v>
      </c>
      <c r="AY94" s="144">
        <f>$G$14*$AC$28</f>
        <v>47.023800000000001</v>
      </c>
      <c r="AZ94" s="152">
        <f t="shared" si="70"/>
        <v>8.1937863106513707E-3</v>
      </c>
      <c r="BA94" s="142">
        <f t="shared" si="71"/>
        <v>0.15412118748592321</v>
      </c>
      <c r="BB94" s="163">
        <f t="shared" si="72"/>
        <v>1.0123275564368806E-6</v>
      </c>
      <c r="BC94" s="153">
        <f t="shared" si="73"/>
        <v>8.2755668530607212E-6</v>
      </c>
      <c r="BD94" s="144">
        <f t="shared" si="74"/>
        <v>122327.27671850912</v>
      </c>
    </row>
    <row r="95" spans="1:56" x14ac:dyDescent="0.25">
      <c r="A95" s="228"/>
      <c r="B95" s="260"/>
      <c r="C95" s="260"/>
      <c r="D95" s="229"/>
      <c r="E95" s="230"/>
      <c r="F95" s="260"/>
      <c r="G95" s="260"/>
      <c r="H95" s="260"/>
      <c r="I95" s="260"/>
      <c r="J95" s="231"/>
      <c r="K95" s="102"/>
      <c r="L95" s="229"/>
      <c r="M95" s="231"/>
      <c r="N95" s="231"/>
      <c r="O95" s="230"/>
      <c r="P95" s="102"/>
      <c r="Q95" s="260"/>
      <c r="R95" s="260"/>
      <c r="S95" s="260"/>
      <c r="T95" s="229"/>
      <c r="U95" s="230"/>
      <c r="V95" s="230"/>
      <c r="W95" s="260"/>
      <c r="X95" s="260"/>
      <c r="Y95" s="86">
        <v>12</v>
      </c>
      <c r="Z95" s="86">
        <f t="shared" si="84"/>
        <v>34</v>
      </c>
      <c r="AA95" s="132">
        <f t="shared" si="85"/>
        <v>2855.4621979565291</v>
      </c>
      <c r="AB95" s="191">
        <f t="shared" si="75"/>
        <v>3.873847780288194E-8</v>
      </c>
      <c r="AC95" s="153">
        <f t="shared" si="76"/>
        <v>6.5681391066181393E-6</v>
      </c>
      <c r="AD95" s="88">
        <f>AC95/(AA$36*$G$11*((AG95/2)+3.76))</f>
        <v>1.3525125573473647E-7</v>
      </c>
      <c r="AE95" s="96">
        <f>$G$12*$AA$80*$AC$28</f>
        <v>7.84</v>
      </c>
      <c r="AF95" s="96">
        <f>$G$13*$AA$80*$AC$28</f>
        <v>8.82</v>
      </c>
      <c r="AG95" s="134">
        <f>(($G$15/2)*(1-$AA$80)*$AC$28)</f>
        <v>0.25000000000000022</v>
      </c>
      <c r="AH95" s="144">
        <f>$G$14*$AC$28</f>
        <v>47.023800000000001</v>
      </c>
      <c r="AI95" s="152">
        <f t="shared" si="77"/>
        <v>8.4532034834210385E-4</v>
      </c>
      <c r="AJ95" s="142">
        <f t="shared" si="78"/>
        <v>0.15900069998547753</v>
      </c>
      <c r="AK95" s="163">
        <f t="shared" si="79"/>
        <v>3.3546039133786429E-7</v>
      </c>
      <c r="AL95" s="153">
        <f t="shared" si="80"/>
        <v>8.6471267338934945E-6</v>
      </c>
      <c r="AM95" s="144">
        <f t="shared" si="81"/>
        <v>38794.434459134885</v>
      </c>
      <c r="AP95" s="86">
        <v>13</v>
      </c>
      <c r="AQ95" s="86">
        <f t="shared" si="82"/>
        <v>36</v>
      </c>
      <c r="AR95" s="132">
        <f t="shared" si="83"/>
        <v>2879.2757573634708</v>
      </c>
      <c r="AS95" s="191">
        <f t="shared" si="68"/>
        <v>1.4228864240918156E-7</v>
      </c>
      <c r="AT95" s="153">
        <f t="shared" si="69"/>
        <v>6.5681391066181393E-6</v>
      </c>
      <c r="AU95" s="88">
        <f>AT95/($AR$79*$G$11*((AX95/2)+3.76))</f>
        <v>1.3110058097042195E-7</v>
      </c>
      <c r="AV95" s="96">
        <f>$G$12*$AR$79*$AC$28</f>
        <v>6.4</v>
      </c>
      <c r="AW95" s="96">
        <f>$G$13*$AR$79*$AC$28</f>
        <v>7.2</v>
      </c>
      <c r="AX95" s="134">
        <f>(($G$15/2)*(1-$AR$79)*$AC$28)</f>
        <v>2.4999999999999996</v>
      </c>
      <c r="AY95" s="144">
        <f>$G$14*$AC$28</f>
        <v>47.023800000000001</v>
      </c>
      <c r="AZ95" s="152">
        <f t="shared" si="70"/>
        <v>8.1937863106513707E-3</v>
      </c>
      <c r="BA95" s="142">
        <f t="shared" si="71"/>
        <v>0.15412118748592321</v>
      </c>
      <c r="BB95" s="163">
        <f t="shared" si="72"/>
        <v>1.0123275564368806E-6</v>
      </c>
      <c r="BC95" s="153">
        <f t="shared" si="73"/>
        <v>8.2755668530607212E-6</v>
      </c>
      <c r="BD95" s="144">
        <f t="shared" si="74"/>
        <v>122327.27671850912</v>
      </c>
    </row>
    <row r="96" spans="1:56" x14ac:dyDescent="0.25">
      <c r="A96" s="224"/>
      <c r="B96" s="224"/>
      <c r="C96" s="229"/>
      <c r="D96" s="242"/>
      <c r="E96" s="230"/>
      <c r="F96" s="224"/>
      <c r="G96" s="224"/>
      <c r="H96" s="224"/>
      <c r="I96" s="231"/>
      <c r="J96" s="102"/>
      <c r="K96" s="238"/>
      <c r="L96" s="231"/>
      <c r="M96" s="239"/>
      <c r="N96" s="230"/>
      <c r="O96" s="102"/>
      <c r="Q96" s="260"/>
      <c r="R96" s="260"/>
      <c r="S96" s="260"/>
      <c r="T96" s="229"/>
      <c r="U96" s="230"/>
      <c r="V96" s="230"/>
      <c r="W96" s="260"/>
      <c r="X96" s="260"/>
      <c r="Y96" s="86">
        <v>13</v>
      </c>
      <c r="Z96" s="86">
        <f t="shared" si="84"/>
        <v>36</v>
      </c>
      <c r="AA96" s="132">
        <f t="shared" si="85"/>
        <v>2879.2757573634708</v>
      </c>
      <c r="AB96" s="191">
        <f t="shared" si="75"/>
        <v>4.7149302273166687E-8</v>
      </c>
      <c r="AC96" s="153">
        <f t="shared" si="76"/>
        <v>6.5681391066181393E-6</v>
      </c>
      <c r="AD96" s="88">
        <f>AC96/(AA$36*$G$11*((AG96/2)+3.76))</f>
        <v>1.3525125573473647E-7</v>
      </c>
      <c r="AE96" s="96">
        <f>$G$12*$AA$80*$AC$28</f>
        <v>7.84</v>
      </c>
      <c r="AF96" s="96">
        <f>$G$13*$AA$80*$AC$28</f>
        <v>8.82</v>
      </c>
      <c r="AG96" s="134">
        <f>(($G$15/2)*(1-$AA$80)*$AC$28)</f>
        <v>0.25000000000000022</v>
      </c>
      <c r="AH96" s="144">
        <f>$G$14*$AC$28</f>
        <v>47.023800000000001</v>
      </c>
      <c r="AI96" s="152">
        <f t="shared" si="77"/>
        <v>8.4532034834210385E-4</v>
      </c>
      <c r="AJ96" s="142">
        <f t="shared" si="78"/>
        <v>0.15900069998547753</v>
      </c>
      <c r="AK96" s="163">
        <f t="shared" si="79"/>
        <v>3.3546039133786429E-7</v>
      </c>
      <c r="AL96" s="153">
        <f t="shared" si="80"/>
        <v>8.6471267338934945E-6</v>
      </c>
      <c r="AM96" s="144">
        <f t="shared" si="81"/>
        <v>38794.434459134885</v>
      </c>
      <c r="AP96" s="86">
        <v>14</v>
      </c>
      <c r="AQ96" s="86">
        <f t="shared" si="82"/>
        <v>38</v>
      </c>
      <c r="AR96" s="132">
        <f t="shared" si="83"/>
        <v>2901.9842014469746</v>
      </c>
      <c r="AS96" s="191">
        <f t="shared" si="68"/>
        <v>1.7109543694893578E-7</v>
      </c>
      <c r="AT96" s="153">
        <f t="shared" si="69"/>
        <v>6.5681391066181393E-6</v>
      </c>
      <c r="AU96" s="88">
        <f>AT96/($AR$79*$G$11*((AX96/2)+3.76))</f>
        <v>1.3110058097042195E-7</v>
      </c>
      <c r="AV96" s="96">
        <f>$G$12*$AR$79*$AC$28</f>
        <v>6.4</v>
      </c>
      <c r="AW96" s="96">
        <f>$G$13*$AR$79*$AC$28</f>
        <v>7.2</v>
      </c>
      <c r="AX96" s="134">
        <f>(($G$15/2)*(1-$AR$79)*$AC$28)</f>
        <v>2.4999999999999996</v>
      </c>
      <c r="AY96" s="144">
        <f>$G$14*$AC$28</f>
        <v>47.023800000000001</v>
      </c>
      <c r="AZ96" s="152">
        <f t="shared" si="70"/>
        <v>8.1937863106513707E-3</v>
      </c>
      <c r="BA96" s="142">
        <f t="shared" si="71"/>
        <v>0.15412118748592321</v>
      </c>
      <c r="BB96" s="163">
        <f t="shared" si="72"/>
        <v>1.0123275564368806E-6</v>
      </c>
      <c r="BC96" s="153">
        <f t="shared" si="73"/>
        <v>8.2755668530607212E-6</v>
      </c>
      <c r="BD96" s="144">
        <f t="shared" si="74"/>
        <v>122327.27671850912</v>
      </c>
    </row>
    <row r="97" spans="1:56" ht="15.75" thickBot="1" x14ac:dyDescent="0.3">
      <c r="A97" s="224"/>
      <c r="B97" s="224"/>
      <c r="C97" s="229"/>
      <c r="D97" s="242"/>
      <c r="E97" s="230"/>
      <c r="F97" s="224"/>
      <c r="G97" s="224"/>
      <c r="H97" s="224"/>
      <c r="I97" s="231"/>
      <c r="J97" s="102"/>
      <c r="K97" s="238"/>
      <c r="L97" s="231"/>
      <c r="M97" s="239"/>
      <c r="N97" s="230"/>
      <c r="O97" s="102"/>
      <c r="Q97" s="260"/>
      <c r="R97" s="260"/>
      <c r="S97" s="260"/>
      <c r="T97" s="229"/>
      <c r="U97" s="230"/>
      <c r="V97" s="230"/>
      <c r="W97" s="260"/>
      <c r="X97" s="260"/>
      <c r="Y97" s="86">
        <v>14</v>
      </c>
      <c r="Z97" s="86">
        <f t="shared" si="84"/>
        <v>38</v>
      </c>
      <c r="AA97" s="132">
        <f t="shared" si="85"/>
        <v>2901.9842014469746</v>
      </c>
      <c r="AB97" s="191">
        <f t="shared" si="75"/>
        <v>5.6694830575910801E-8</v>
      </c>
      <c r="AC97" s="153">
        <f t="shared" si="76"/>
        <v>6.5681391066181393E-6</v>
      </c>
      <c r="AD97" s="88">
        <f>AC97/(AA$36*$G$11*((AG97/2)+3.76))</f>
        <v>1.3525125573473647E-7</v>
      </c>
      <c r="AE97" s="96">
        <f>$G$12*$AA$80*$AC$28</f>
        <v>7.84</v>
      </c>
      <c r="AF97" s="96">
        <f>$G$13*$AA$80*$AC$28</f>
        <v>8.82</v>
      </c>
      <c r="AG97" s="134">
        <f>(($G$15/2)*(1-$AA$80)*$AC$28)</f>
        <v>0.25000000000000022</v>
      </c>
      <c r="AH97" s="144">
        <f>$G$14*$AC$28</f>
        <v>47.023800000000001</v>
      </c>
      <c r="AI97" s="152">
        <f t="shared" si="77"/>
        <v>8.4532034834210385E-4</v>
      </c>
      <c r="AJ97" s="142">
        <f t="shared" si="78"/>
        <v>0.15900069998547753</v>
      </c>
      <c r="AK97" s="163">
        <f t="shared" si="79"/>
        <v>3.3546039133786429E-7</v>
      </c>
      <c r="AL97" s="153">
        <f t="shared" si="80"/>
        <v>8.6471267338934945E-6</v>
      </c>
      <c r="AM97" s="144">
        <f t="shared" si="81"/>
        <v>38794.434459134885</v>
      </c>
      <c r="AP97" s="86">
        <v>15</v>
      </c>
      <c r="AQ97" s="86">
        <f t="shared" si="82"/>
        <v>40</v>
      </c>
      <c r="AR97" s="132">
        <f t="shared" si="83"/>
        <v>2923.6931141513533</v>
      </c>
      <c r="AS97" s="191">
        <f t="shared" si="68"/>
        <v>2.0352580363232991E-7</v>
      </c>
      <c r="AT97" s="153">
        <f t="shared" si="69"/>
        <v>6.5681391066181393E-6</v>
      </c>
      <c r="AU97" s="88">
        <f>AT97/($AR$79*$G$11*((AX97/2)+3.76))</f>
        <v>1.3110058097042195E-7</v>
      </c>
      <c r="AV97" s="96">
        <f>$G$12*$AR$79*$AC$28</f>
        <v>6.4</v>
      </c>
      <c r="AW97" s="96">
        <f>$G$13*$AR$79*$AC$28</f>
        <v>7.2</v>
      </c>
      <c r="AX97" s="134">
        <f>(($G$15/2)*(1-$AR$79)*$AC$28)</f>
        <v>2.4999999999999996</v>
      </c>
      <c r="AY97" s="144">
        <f>$G$14*$AC$28</f>
        <v>47.023800000000001</v>
      </c>
      <c r="AZ97" s="152">
        <f t="shared" si="70"/>
        <v>8.1937863106513707E-3</v>
      </c>
      <c r="BA97" s="142">
        <f t="shared" si="71"/>
        <v>0.15412118748592321</v>
      </c>
      <c r="BB97" s="163">
        <f t="shared" si="72"/>
        <v>1.0123275564368806E-6</v>
      </c>
      <c r="BC97" s="153">
        <f t="shared" si="73"/>
        <v>8.2755668530607212E-6</v>
      </c>
      <c r="BD97" s="144">
        <f t="shared" si="74"/>
        <v>122327.27671850912</v>
      </c>
    </row>
    <row r="98" spans="1:56" ht="15.75" thickBot="1" x14ac:dyDescent="0.3">
      <c r="A98" s="224"/>
      <c r="B98" s="224"/>
      <c r="C98" s="229"/>
      <c r="D98" s="428" t="s">
        <v>224</v>
      </c>
      <c r="E98" s="429"/>
      <c r="F98" s="429"/>
      <c r="G98" s="429"/>
      <c r="H98" s="429"/>
      <c r="I98" s="429"/>
      <c r="J98" s="429"/>
      <c r="K98" s="429"/>
      <c r="L98" s="429"/>
      <c r="M98" s="429"/>
      <c r="N98" s="429"/>
      <c r="O98" s="429"/>
      <c r="P98" s="430"/>
      <c r="Q98" s="260"/>
      <c r="R98" s="260"/>
      <c r="S98" s="260"/>
      <c r="T98" s="229"/>
      <c r="U98" s="230"/>
      <c r="V98" s="230"/>
      <c r="W98" s="260"/>
      <c r="X98" s="260"/>
      <c r="Y98" s="86">
        <v>15</v>
      </c>
      <c r="Z98" s="86">
        <f t="shared" si="84"/>
        <v>40</v>
      </c>
      <c r="AA98" s="132">
        <f t="shared" si="85"/>
        <v>2923.6931141513533</v>
      </c>
      <c r="AB98" s="191">
        <f t="shared" si="75"/>
        <v>6.7441079438049902E-8</v>
      </c>
      <c r="AC98" s="153">
        <f t="shared" si="76"/>
        <v>6.5681391066181393E-6</v>
      </c>
      <c r="AD98" s="88">
        <f>AC98/(AA$36*$G$11*((AG98/2)+3.76))</f>
        <v>1.3525125573473647E-7</v>
      </c>
      <c r="AE98" s="96">
        <f>$G$12*$AA$80*$AC$28</f>
        <v>7.84</v>
      </c>
      <c r="AF98" s="96">
        <f>$G$13*$AA$80*$AC$28</f>
        <v>8.82</v>
      </c>
      <c r="AG98" s="134">
        <f>(($G$15/2)*(1-$AA$80)*$AC$28)</f>
        <v>0.25000000000000022</v>
      </c>
      <c r="AH98" s="144">
        <f>$G$14*$AC$28</f>
        <v>47.023800000000001</v>
      </c>
      <c r="AI98" s="152">
        <f t="shared" si="77"/>
        <v>8.4532034834210385E-4</v>
      </c>
      <c r="AJ98" s="142">
        <f t="shared" si="78"/>
        <v>0.15900069998547753</v>
      </c>
      <c r="AK98" s="163">
        <f t="shared" si="79"/>
        <v>3.3546039133786429E-7</v>
      </c>
      <c r="AL98" s="153">
        <f t="shared" si="80"/>
        <v>8.6471267338934945E-6</v>
      </c>
      <c r="AM98" s="144">
        <f t="shared" si="81"/>
        <v>38794.434459134885</v>
      </c>
      <c r="AP98" s="249"/>
      <c r="AQ98" s="249"/>
      <c r="AR98" s="132"/>
      <c r="AS98" s="97"/>
      <c r="AT98" s="86"/>
      <c r="AU98" s="88"/>
      <c r="AV98" s="96"/>
      <c r="AW98" s="96"/>
      <c r="AX98" s="134"/>
      <c r="AY98" s="145"/>
      <c r="AZ98" s="152"/>
      <c r="BA98" s="143"/>
      <c r="BB98" s="143"/>
      <c r="BC98" s="162"/>
      <c r="BD98" s="144"/>
    </row>
    <row r="99" spans="1:56" ht="15.75" thickBot="1" x14ac:dyDescent="0.3">
      <c r="A99" s="224"/>
      <c r="B99" s="224"/>
      <c r="C99" s="229"/>
      <c r="D99" s="431"/>
      <c r="E99" s="432"/>
      <c r="F99" s="432"/>
      <c r="G99" s="432"/>
      <c r="H99" s="432"/>
      <c r="I99" s="432"/>
      <c r="J99" s="432"/>
      <c r="K99" s="432"/>
      <c r="L99" s="432"/>
      <c r="M99" s="432"/>
      <c r="N99" s="432"/>
      <c r="O99" s="432"/>
      <c r="P99" s="433"/>
      <c r="Q99" s="260"/>
      <c r="R99" s="260"/>
      <c r="S99" s="260"/>
      <c r="T99" s="229"/>
      <c r="U99" s="230"/>
      <c r="V99" s="230"/>
      <c r="W99" s="260"/>
      <c r="X99" s="260"/>
      <c r="Y99" s="249"/>
      <c r="Z99" s="249"/>
      <c r="AA99" s="132"/>
      <c r="AB99" s="97"/>
      <c r="AC99" s="86"/>
      <c r="AD99" s="88"/>
      <c r="AE99" s="96"/>
      <c r="AF99" s="96"/>
      <c r="AG99" s="134"/>
      <c r="AH99" s="145"/>
      <c r="AI99" s="152"/>
      <c r="AJ99" s="143"/>
      <c r="AK99" s="143"/>
      <c r="AL99" s="162"/>
      <c r="AM99" s="144"/>
    </row>
    <row r="100" spans="1:56" ht="15.75" thickBot="1" x14ac:dyDescent="0.3">
      <c r="A100" s="228"/>
      <c r="B100" s="343" t="s">
        <v>29</v>
      </c>
      <c r="C100" s="345"/>
      <c r="D100" s="422">
        <v>0.97</v>
      </c>
      <c r="E100" s="423"/>
      <c r="F100" s="423"/>
      <c r="G100" s="423"/>
      <c r="H100" s="423"/>
      <c r="I100" s="423"/>
      <c r="J100" s="423"/>
      <c r="K100" s="423"/>
      <c r="L100" s="423"/>
      <c r="M100" s="423"/>
      <c r="N100" s="423"/>
      <c r="O100" s="423"/>
      <c r="P100" s="424"/>
      <c r="Q100" s="260"/>
      <c r="R100" s="260"/>
      <c r="S100" s="260"/>
      <c r="T100" s="229"/>
      <c r="U100" s="230"/>
      <c r="V100" s="230"/>
      <c r="W100" s="260"/>
      <c r="X100" s="260"/>
      <c r="AO100" s="260"/>
    </row>
    <row r="101" spans="1:56" ht="27" thickBot="1" x14ac:dyDescent="0.3">
      <c r="A101" s="228"/>
      <c r="B101" s="346"/>
      <c r="C101" s="348"/>
      <c r="D101" s="425"/>
      <c r="E101" s="426"/>
      <c r="F101" s="426"/>
      <c r="G101" s="426"/>
      <c r="H101" s="426"/>
      <c r="I101" s="426"/>
      <c r="J101" s="426"/>
      <c r="K101" s="426"/>
      <c r="L101" s="426"/>
      <c r="M101" s="426"/>
      <c r="N101" s="426"/>
      <c r="O101" s="426"/>
      <c r="P101" s="427"/>
      <c r="Q101" s="260"/>
      <c r="R101" s="260"/>
      <c r="S101" s="260"/>
      <c r="T101" s="229"/>
      <c r="U101" s="230"/>
      <c r="V101" s="230"/>
      <c r="W101" s="260"/>
      <c r="X101" s="260"/>
      <c r="AO101" s="260"/>
      <c r="AP101" s="396" t="s">
        <v>29</v>
      </c>
      <c r="AQ101" s="397"/>
      <c r="AR101" s="400">
        <v>0.75</v>
      </c>
      <c r="AS101" s="401"/>
      <c r="AT101" s="401"/>
      <c r="AU101" s="401"/>
      <c r="AV101" s="401"/>
      <c r="AW101" s="401"/>
      <c r="AX101" s="401"/>
      <c r="AY101" s="401"/>
      <c r="AZ101" s="401"/>
      <c r="BA101" s="402"/>
      <c r="BB101" s="179"/>
    </row>
    <row r="102" spans="1:56" ht="27" thickBot="1" x14ac:dyDescent="0.3">
      <c r="A102" s="228"/>
      <c r="B102" s="443" t="s">
        <v>73</v>
      </c>
      <c r="C102" s="443" t="s">
        <v>69</v>
      </c>
      <c r="D102" s="444" t="s">
        <v>177</v>
      </c>
      <c r="E102" s="253" t="s">
        <v>178</v>
      </c>
      <c r="F102" s="445" t="s">
        <v>173</v>
      </c>
      <c r="G102" s="253" t="s">
        <v>151</v>
      </c>
      <c r="H102" s="445" t="s">
        <v>226</v>
      </c>
      <c r="I102" s="263" t="s">
        <v>227</v>
      </c>
      <c r="J102" s="445" t="s">
        <v>228</v>
      </c>
      <c r="K102" s="445" t="s">
        <v>229</v>
      </c>
      <c r="L102" s="253" t="s">
        <v>230</v>
      </c>
      <c r="M102" s="253" t="s">
        <v>231</v>
      </c>
      <c r="N102" s="253" t="s">
        <v>185</v>
      </c>
      <c r="O102" s="253" t="s">
        <v>182</v>
      </c>
      <c r="P102" s="445" t="s">
        <v>183</v>
      </c>
      <c r="Q102" s="260"/>
      <c r="R102" s="260"/>
      <c r="S102" s="260"/>
      <c r="T102" s="229"/>
      <c r="U102" s="230"/>
      <c r="V102" s="230"/>
      <c r="W102" s="260"/>
      <c r="X102" s="260"/>
      <c r="Y102" s="396" t="s">
        <v>29</v>
      </c>
      <c r="Z102" s="397"/>
      <c r="AA102" s="400">
        <v>0.97</v>
      </c>
      <c r="AB102" s="401"/>
      <c r="AC102" s="401"/>
      <c r="AD102" s="401"/>
      <c r="AE102" s="401"/>
      <c r="AF102" s="401"/>
      <c r="AG102" s="401"/>
      <c r="AH102" s="401"/>
      <c r="AI102" s="401"/>
      <c r="AJ102" s="402"/>
      <c r="AK102" s="179"/>
      <c r="AO102" s="260"/>
      <c r="AP102" s="398"/>
      <c r="AQ102" s="399"/>
      <c r="AR102" s="403"/>
      <c r="AS102" s="404"/>
      <c r="AT102" s="404"/>
      <c r="AU102" s="404"/>
      <c r="AV102" s="404"/>
      <c r="AW102" s="404"/>
      <c r="AX102" s="404"/>
      <c r="AY102" s="404"/>
      <c r="AZ102" s="404"/>
      <c r="BA102" s="405"/>
      <c r="BB102" s="179"/>
    </row>
    <row r="103" spans="1:56" ht="27" thickBot="1" x14ac:dyDescent="0.3">
      <c r="A103" s="228"/>
      <c r="B103" s="86">
        <v>0</v>
      </c>
      <c r="C103" s="86">
        <v>10</v>
      </c>
      <c r="D103" s="246">
        <v>2071.3773839715413</v>
      </c>
      <c r="E103" s="153">
        <f>((4.7*10^13*M103*(L103^0.5)*EXP($C$11/D103))/($C$14*6))*$C$5*10^-6</f>
        <v>7.3542851898255632E-12</v>
      </c>
      <c r="F103" s="153">
        <f>(((10^5*($C$4*$C$6)*10^-6)/($C$8*$C$7)))</f>
        <v>6.5681391066181393E-6</v>
      </c>
      <c r="G103" s="88">
        <f>F103/($D$76*$G$11*((J103/2)+3.76))</f>
        <v>1.3625585772306466E-7</v>
      </c>
      <c r="H103" s="96">
        <f>$G$12*$D$52*1.15</f>
        <v>8.9239999999999995</v>
      </c>
      <c r="I103" s="144">
        <f>$D$100*$G$13*1.15</f>
        <v>10.0395</v>
      </c>
      <c r="J103" s="134">
        <f>(($G$15/2)*(1-$D$52)*1.15)</f>
        <v>0.43125000000000036</v>
      </c>
      <c r="K103" s="144">
        <f>$G$14*1.15</f>
        <v>54.077369999999995</v>
      </c>
      <c r="L103" s="440">
        <f t="shared" ref="L103:L118" si="86">((J103*G103)/($C$5*10^-6))</f>
        <v>1.4690084660767921E-3</v>
      </c>
      <c r="M103" s="137">
        <f t="shared" ref="M103:M118" si="87">((K103*G103)/($C$5*10^-6))</f>
        <v>0.18420896081893812</v>
      </c>
      <c r="N103" s="163">
        <f>SUM($E$103:$E$118)</f>
        <v>1.3052831988392069E-8</v>
      </c>
      <c r="O103" s="164">
        <f t="shared" ref="O103:O118" si="88">G103*(H103+I103+J103+K103)</f>
        <v>1.0011006729331932E-5</v>
      </c>
      <c r="P103" s="144">
        <f>(N103/O103)*10^6</f>
        <v>1303.8480885391564</v>
      </c>
      <c r="Q103" s="260"/>
      <c r="R103" s="260"/>
      <c r="S103" s="260"/>
      <c r="T103" s="229"/>
      <c r="U103" s="230"/>
      <c r="V103" s="230"/>
      <c r="W103" s="260"/>
      <c r="X103" s="260"/>
      <c r="Y103" s="398"/>
      <c r="Z103" s="399"/>
      <c r="AA103" s="403"/>
      <c r="AB103" s="404"/>
      <c r="AC103" s="404"/>
      <c r="AD103" s="404"/>
      <c r="AE103" s="404"/>
      <c r="AF103" s="404"/>
      <c r="AG103" s="404"/>
      <c r="AH103" s="404"/>
      <c r="AI103" s="404"/>
      <c r="AJ103" s="405"/>
      <c r="AK103" s="179"/>
      <c r="AO103" s="260"/>
      <c r="AP103" s="2" t="s">
        <v>73</v>
      </c>
      <c r="AQ103" s="2" t="s">
        <v>69</v>
      </c>
      <c r="AR103" s="245" t="s">
        <v>177</v>
      </c>
      <c r="AS103" s="2" t="s">
        <v>178</v>
      </c>
      <c r="AT103" s="251" t="s">
        <v>237</v>
      </c>
      <c r="AU103" s="2" t="s">
        <v>151</v>
      </c>
      <c r="AV103" s="251" t="s">
        <v>155</v>
      </c>
      <c r="AW103" s="252" t="s">
        <v>156</v>
      </c>
      <c r="AX103" s="251" t="s">
        <v>157</v>
      </c>
      <c r="AY103" s="251" t="s">
        <v>158</v>
      </c>
      <c r="AZ103" s="251" t="s">
        <v>180</v>
      </c>
      <c r="BA103" s="2" t="s">
        <v>181</v>
      </c>
      <c r="BB103" s="2" t="s">
        <v>185</v>
      </c>
      <c r="BC103" s="2" t="s">
        <v>182</v>
      </c>
      <c r="BD103" s="251" t="s">
        <v>183</v>
      </c>
    </row>
    <row r="104" spans="1:56" ht="18.75" thickBot="1" x14ac:dyDescent="0.3">
      <c r="A104" s="228"/>
      <c r="B104" s="86">
        <v>1</v>
      </c>
      <c r="C104" s="86">
        <f>C103+2</f>
        <v>12</v>
      </c>
      <c r="D104" s="132">
        <f>(D103*((C104/C103)^(($C$13-1)/$C$13)))</f>
        <v>2126.9838753451781</v>
      </c>
      <c r="E104" s="153">
        <f t="shared" ref="E104:E118" si="89">((4.7*10^13*M104*(L104^0.5)*EXP($C$11/D104))/($C$14*6))*$C$5*10^-6</f>
        <v>1.731321875349862E-11</v>
      </c>
      <c r="F104" s="153">
        <f t="shared" ref="F104:F118" si="90">(((10^5*($C$4*$C$6)*10^-6)/($C$8*$C$7)))</f>
        <v>6.5681391066181393E-6</v>
      </c>
      <c r="G104" s="88">
        <f>F104/($D$76*$G$11*((J104/2)+3.76))</f>
        <v>1.3625585772306466E-7</v>
      </c>
      <c r="H104" s="96">
        <f t="shared" ref="H104:H118" si="91">$G$12*$D$52*1.15</f>
        <v>8.9239999999999995</v>
      </c>
      <c r="I104" s="144">
        <f t="shared" ref="I104:I118" si="92">$D$100*$G$13*1.15</f>
        <v>10.0395</v>
      </c>
      <c r="J104" s="134">
        <f t="shared" ref="J104:J118" si="93">(($G$15/2)*(1-$D$52)*1.15)</f>
        <v>0.43125000000000036</v>
      </c>
      <c r="K104" s="144">
        <f t="shared" ref="K104:K118" si="94">$G$14*1.15</f>
        <v>54.077369999999995</v>
      </c>
      <c r="L104" s="193">
        <f t="shared" si="86"/>
        <v>1.4690084660767921E-3</v>
      </c>
      <c r="M104" s="136">
        <f t="shared" si="87"/>
        <v>0.18420896081893812</v>
      </c>
      <c r="N104" s="163">
        <f>SUM($E$103:$E$118)</f>
        <v>1.3052831988392069E-8</v>
      </c>
      <c r="O104" s="165">
        <f t="shared" si="88"/>
        <v>1.0011006729331932E-5</v>
      </c>
      <c r="P104" s="144">
        <f t="shared" ref="P104:P118" si="95">(N104/O104)*10^6</f>
        <v>1303.8480885391564</v>
      </c>
      <c r="Q104" s="260"/>
      <c r="R104" s="260"/>
      <c r="S104" s="260"/>
      <c r="T104" s="229"/>
      <c r="U104" s="230"/>
      <c r="V104" s="260"/>
      <c r="W104" s="260"/>
      <c r="X104" s="260"/>
      <c r="Y104" s="2" t="s">
        <v>73</v>
      </c>
      <c r="Z104" s="2" t="s">
        <v>69</v>
      </c>
      <c r="AA104" s="245" t="s">
        <v>177</v>
      </c>
      <c r="AB104" s="2" t="s">
        <v>178</v>
      </c>
      <c r="AC104" s="251" t="s">
        <v>237</v>
      </c>
      <c r="AD104" s="2" t="s">
        <v>151</v>
      </c>
      <c r="AE104" s="251" t="s">
        <v>155</v>
      </c>
      <c r="AF104" s="252" t="s">
        <v>156</v>
      </c>
      <c r="AG104" s="251" t="s">
        <v>157</v>
      </c>
      <c r="AH104" s="251" t="s">
        <v>158</v>
      </c>
      <c r="AI104" s="251" t="s">
        <v>180</v>
      </c>
      <c r="AJ104" s="2" t="s">
        <v>181</v>
      </c>
      <c r="AK104" s="2" t="s">
        <v>185</v>
      </c>
      <c r="AL104" s="2" t="s">
        <v>182</v>
      </c>
      <c r="AM104" s="251" t="s">
        <v>183</v>
      </c>
      <c r="AO104" s="260"/>
      <c r="AP104" s="86">
        <v>0</v>
      </c>
      <c r="AQ104" s="86">
        <v>10</v>
      </c>
      <c r="AR104" s="248">
        <v>2390.3031441465077</v>
      </c>
      <c r="AS104" s="191">
        <f>((4.7*10^13*BA104*(AZ104^0.5)*EXP($C$11/AR104))/($C$14*6))*$C$5*10^-6</f>
        <v>1.2915368003644066E-9</v>
      </c>
      <c r="AT104" s="153">
        <f>(((10^5*($C$4*$C$6)*10^-6)/($C$8*$C$7)))</f>
        <v>6.5681391066181393E-6</v>
      </c>
      <c r="AU104" s="88">
        <f>AT104/($AR$101*$G$11*((AX104/2)+3.76))</f>
        <v>1.3163015588650725E-7</v>
      </c>
      <c r="AV104" s="96">
        <f>$G$12*$AR$101*$AC$28</f>
        <v>6</v>
      </c>
      <c r="AW104" s="96">
        <f>$G$13*$AR$101*$AC$28</f>
        <v>6.75</v>
      </c>
      <c r="AX104" s="134">
        <f>(($G$15/2)*(1-$AR$101)*$AC$28)</f>
        <v>3.125</v>
      </c>
      <c r="AY104" s="144">
        <f>$G$14*$AC$28</f>
        <v>47.023800000000001</v>
      </c>
      <c r="AZ104" s="152">
        <f>((AX104*AU104)/($C$5*10^-6))</f>
        <v>1.028360592863338E-2</v>
      </c>
      <c r="BA104" s="151">
        <f>((AY104*AU104)/($C$5*10^-6))</f>
        <v>0.1547437531093985</v>
      </c>
      <c r="BB104" s="163">
        <f>SUM($AS$104:$AS$119)</f>
        <v>1.1386814203925692E-6</v>
      </c>
      <c r="BC104" s="161">
        <f>AU104*(AV104+AW104+AX104+AY104)</f>
        <v>8.279378849074243E-6</v>
      </c>
      <c r="BD104" s="144">
        <f>(BB104/BC104)*10^6</f>
        <v>137532.22809944139</v>
      </c>
    </row>
    <row r="105" spans="1:56" ht="15.75" thickBot="1" x14ac:dyDescent="0.3">
      <c r="A105" s="228"/>
      <c r="B105" s="86">
        <v>2</v>
      </c>
      <c r="C105" s="86">
        <f t="shared" ref="C105:C118" si="96">C104+2</f>
        <v>14</v>
      </c>
      <c r="D105" s="132">
        <f>(D104*((C105/C104)^(($C$13-1)/$C$13)))</f>
        <v>2175.1615056991145</v>
      </c>
      <c r="E105" s="153">
        <f t="shared" si="89"/>
        <v>3.5088713463636587E-11</v>
      </c>
      <c r="F105" s="153">
        <f t="shared" si="90"/>
        <v>6.5681391066181393E-6</v>
      </c>
      <c r="G105" s="88">
        <f>F105/($D$76*$G$11*((J105/2)+3.76))</f>
        <v>1.3625585772306466E-7</v>
      </c>
      <c r="H105" s="96">
        <f t="shared" si="91"/>
        <v>8.9239999999999995</v>
      </c>
      <c r="I105" s="144">
        <f t="shared" si="92"/>
        <v>10.0395</v>
      </c>
      <c r="J105" s="134">
        <f t="shared" si="93"/>
        <v>0.43125000000000036</v>
      </c>
      <c r="K105" s="144">
        <f t="shared" si="94"/>
        <v>54.077369999999995</v>
      </c>
      <c r="L105" s="193">
        <f t="shared" si="86"/>
        <v>1.4690084660767921E-3</v>
      </c>
      <c r="M105" s="136">
        <f t="shared" si="87"/>
        <v>0.18420896081893812</v>
      </c>
      <c r="N105" s="163">
        <f>SUM($E$103:$E$118)</f>
        <v>1.3052831988392069E-8</v>
      </c>
      <c r="O105" s="165">
        <f t="shared" si="88"/>
        <v>1.0011006729331932E-5</v>
      </c>
      <c r="P105" s="144">
        <f t="shared" si="95"/>
        <v>1303.8480885391564</v>
      </c>
      <c r="Q105" s="260"/>
      <c r="R105" s="260"/>
      <c r="S105" s="260"/>
      <c r="T105" s="260"/>
      <c r="U105" s="260"/>
      <c r="V105" s="260"/>
      <c r="W105" s="260"/>
      <c r="X105" s="260"/>
      <c r="Y105" s="86">
        <v>0</v>
      </c>
      <c r="Z105" s="86">
        <v>10</v>
      </c>
      <c r="AA105" s="248">
        <v>2390.3031441465077</v>
      </c>
      <c r="AB105" s="191">
        <f>((4.7*10^13*AJ105*(AI105^0.5)*EXP($C$11/AA105))/($C$14*6))*$C$5*10^-6</f>
        <v>4.7623575575483696E-10</v>
      </c>
      <c r="AC105" s="153">
        <f>(((10^5*($C$4*$C$6)*10^-6)/($C$8*$C$7)))</f>
        <v>6.5681391066181393E-6</v>
      </c>
      <c r="AD105" s="88">
        <f>AC105/($AA$102*$G$11*((AG105/2)+3.76))</f>
        <v>1.3722664834965394E-7</v>
      </c>
      <c r="AE105" s="96">
        <f>$G$12*$AA$102*$AC$28</f>
        <v>7.76</v>
      </c>
      <c r="AF105" s="96">
        <f>$G$13*$AA$102*$AC$28</f>
        <v>8.73</v>
      </c>
      <c r="AG105" s="134">
        <f>(($G$15/2)*(1-$AA$102)*$AC$28)</f>
        <v>0.37500000000000033</v>
      </c>
      <c r="AH105" s="144">
        <f>$G$14*$AC$28</f>
        <v>47.023800000000001</v>
      </c>
      <c r="AI105" s="152">
        <f>((AG105*AD105)/($C$5*10^-6))</f>
        <v>1.2864998282780069E-3</v>
      </c>
      <c r="AJ105" s="151">
        <f>((AH105*AD105)/($C$5*10^-6))</f>
        <v>0.16132296166661145</v>
      </c>
      <c r="AK105" s="163">
        <f>SUM($AB$105:$AB$120)</f>
        <v>4.1987251671933932E-7</v>
      </c>
      <c r="AL105" s="161">
        <f>AD105*(AE105+AF105+AG105+AH105)</f>
        <v>8.7672458910813705E-6</v>
      </c>
      <c r="AM105" s="144">
        <f>(AK105/AL105)*10^6</f>
        <v>47891.039208386042</v>
      </c>
      <c r="AO105" s="260"/>
      <c r="AP105" s="86">
        <v>1</v>
      </c>
      <c r="AQ105" s="86">
        <f>AQ104+2</f>
        <v>12</v>
      </c>
      <c r="AR105" s="132">
        <f>(AR104*((AQ105/AQ104)^(($C$13-1)/$C$13)))</f>
        <v>2454.4712538274748</v>
      </c>
      <c r="AS105" s="191">
        <f t="shared" ref="AS105:AS119" si="97">((4.7*10^13*BA105*(AZ105^0.5)*EXP($C$11/AR105))/($C$14*6))*$C$5*10^-6</f>
        <v>2.7122630285289858E-9</v>
      </c>
      <c r="AT105" s="153">
        <f t="shared" ref="AT105:AT119" si="98">(((10^5*($C$4*$C$6)*10^-6)/($C$8*$C$7)))</f>
        <v>6.5681391066181393E-6</v>
      </c>
      <c r="AU105" s="88">
        <f>AT105/($AR$101*$G$11*((AX105/2)+3.76))</f>
        <v>1.3163015588650725E-7</v>
      </c>
      <c r="AV105" s="96">
        <f>$G$12*$AR$101*$AC$28</f>
        <v>6</v>
      </c>
      <c r="AW105" s="96">
        <f>$G$13*$AR$101*$AC$28</f>
        <v>6.75</v>
      </c>
      <c r="AX105" s="134">
        <f>(($G$15/2)*(1-$AR$101)*$AC$28)</f>
        <v>3.125</v>
      </c>
      <c r="AY105" s="144">
        <f>$G$14*$AC$28</f>
        <v>47.023800000000001</v>
      </c>
      <c r="AZ105" s="152">
        <f t="shared" ref="AZ105:AZ119" si="99">((AX105*AU105)/($C$5*10^-6))</f>
        <v>1.028360592863338E-2</v>
      </c>
      <c r="BA105" s="142">
        <f t="shared" ref="BA105:BA120" si="100">((AY105*AU105)/($C$5*10^-6))</f>
        <v>0.1547437531093985</v>
      </c>
      <c r="BB105" s="163">
        <f t="shared" ref="BB105:BB119" si="101">SUM($AS$104:$AS$119)</f>
        <v>1.1386814203925692E-6</v>
      </c>
      <c r="BC105" s="153">
        <f t="shared" ref="BC105:BC119" si="102">AU105*(AV105+AW105+AX105+AY105)</f>
        <v>8.279378849074243E-6</v>
      </c>
      <c r="BD105" s="144">
        <f t="shared" ref="BD105:BD119" si="103">(BB105/BC105)*10^6</f>
        <v>137532.22809944139</v>
      </c>
    </row>
    <row r="106" spans="1:56" x14ac:dyDescent="0.25">
      <c r="A106" s="228"/>
      <c r="B106" s="86">
        <v>3</v>
      </c>
      <c r="C106" s="86">
        <f t="shared" si="96"/>
        <v>16</v>
      </c>
      <c r="D106" s="132">
        <f>(D105*((C106/C105)^(($C$13-1)/$C$13)))</f>
        <v>2217.7760500176519</v>
      </c>
      <c r="E106" s="153">
        <f t="shared" si="89"/>
        <v>6.3888509002077203E-11</v>
      </c>
      <c r="F106" s="153">
        <f t="shared" si="90"/>
        <v>6.5681391066181393E-6</v>
      </c>
      <c r="G106" s="88">
        <f>F106/($D$76*$G$11*((J106/2)+3.76))</f>
        <v>1.3625585772306466E-7</v>
      </c>
      <c r="H106" s="96">
        <f t="shared" si="91"/>
        <v>8.9239999999999995</v>
      </c>
      <c r="I106" s="144">
        <f t="shared" si="92"/>
        <v>10.0395</v>
      </c>
      <c r="J106" s="134">
        <f t="shared" si="93"/>
        <v>0.43125000000000036</v>
      </c>
      <c r="K106" s="144">
        <f t="shared" si="94"/>
        <v>54.077369999999995</v>
      </c>
      <c r="L106" s="193">
        <f t="shared" si="86"/>
        <v>1.4690084660767921E-3</v>
      </c>
      <c r="M106" s="136">
        <f t="shared" si="87"/>
        <v>0.18420896081893812</v>
      </c>
      <c r="N106" s="163">
        <f>SUM($E$103:$E$118)</f>
        <v>1.3052831988392069E-8</v>
      </c>
      <c r="O106" s="165">
        <f t="shared" si="88"/>
        <v>1.0011006729331932E-5</v>
      </c>
      <c r="P106" s="144">
        <f t="shared" si="95"/>
        <v>1303.8480885391564</v>
      </c>
      <c r="Q106" s="260"/>
      <c r="R106" s="299" t="s">
        <v>58</v>
      </c>
      <c r="S106" s="420"/>
      <c r="T106" s="420"/>
      <c r="U106" s="300"/>
      <c r="V106" s="260"/>
      <c r="W106" s="260"/>
      <c r="X106" s="260"/>
      <c r="Y106" s="86">
        <v>1</v>
      </c>
      <c r="Z106" s="86">
        <f>Z105+2</f>
        <v>12</v>
      </c>
      <c r="AA106" s="132">
        <f>(AA105*((Z106/Z105)^(($C$13-1)/$C$13)))</f>
        <v>2454.4712538274748</v>
      </c>
      <c r="AB106" s="191">
        <f t="shared" ref="AB106:AB120" si="104">((4.7*10^13*AJ106*(AI106^0.5)*EXP($C$11/AA106))/($C$14*6))*$C$5*10^-6</f>
        <v>1.0001082685626597E-9</v>
      </c>
      <c r="AC106" s="153">
        <f t="shared" ref="AC106:AC120" si="105">(((10^5*($C$4*$C$6)*10^-6)/($C$8*$C$7)))</f>
        <v>6.5681391066181393E-6</v>
      </c>
      <c r="AD106" s="88">
        <f>AC106/($AA$102*$G$11*((AG106/2)+3.76))</f>
        <v>1.3722664834965394E-7</v>
      </c>
      <c r="AE106" s="96">
        <f>$G$12*$AA$102*$AC$28</f>
        <v>7.76</v>
      </c>
      <c r="AF106" s="96">
        <f>$G$13*$AA$102*$AC$28</f>
        <v>8.73</v>
      </c>
      <c r="AG106" s="134">
        <f>(($G$15/2)*(1-$AA$102)*$AC$28)</f>
        <v>0.37500000000000033</v>
      </c>
      <c r="AH106" s="144">
        <f>$G$14*$AC$28</f>
        <v>47.023800000000001</v>
      </c>
      <c r="AI106" s="152">
        <f t="shared" ref="AI106:AI120" si="106">((AG106*AD106)/($C$5*10^-6))</f>
        <v>1.2864998282780069E-3</v>
      </c>
      <c r="AJ106" s="142">
        <f t="shared" ref="AJ106:AJ121" si="107">((AH106*AD106)/($C$5*10^-6))</f>
        <v>0.16132296166661145</v>
      </c>
      <c r="AK106" s="163">
        <f t="shared" ref="AK106:AK120" si="108">SUM($AB$105:$AB$120)</f>
        <v>4.1987251671933932E-7</v>
      </c>
      <c r="AL106" s="153">
        <f t="shared" ref="AL106:AL120" si="109">AD106*(AE106+AF106+AG106+AH106)</f>
        <v>8.7672458910813705E-6</v>
      </c>
      <c r="AM106" s="144">
        <f t="shared" ref="AM106:AM120" si="110">(AK106/AL106)*10^6</f>
        <v>47891.039208386042</v>
      </c>
      <c r="AO106" s="260"/>
      <c r="AP106" s="86">
        <v>2</v>
      </c>
      <c r="AQ106" s="86">
        <f t="shared" ref="AQ106:AQ119" si="111">AQ105+2</f>
        <v>14</v>
      </c>
      <c r="AR106" s="132">
        <f t="shared" ref="AR106:AR119" si="112">(AR105*((AQ106/AQ105)^(($C$13-1)/$C$13)))</f>
        <v>2510.0666958766406</v>
      </c>
      <c r="AS106" s="191">
        <f t="shared" si="97"/>
        <v>5.0025113481532142E-9</v>
      </c>
      <c r="AT106" s="153">
        <f t="shared" si="98"/>
        <v>6.5681391066181393E-6</v>
      </c>
      <c r="AU106" s="88">
        <f>AT106/($AR$101*$G$11*((AX106/2)+3.76))</f>
        <v>1.3163015588650725E-7</v>
      </c>
      <c r="AV106" s="96">
        <f>$G$12*$AR$101*$AC$28</f>
        <v>6</v>
      </c>
      <c r="AW106" s="96">
        <f>$G$13*$AR$101*$AC$28</f>
        <v>6.75</v>
      </c>
      <c r="AX106" s="134">
        <f>(($G$15/2)*(1-$AR$101)*$AC$28)</f>
        <v>3.125</v>
      </c>
      <c r="AY106" s="144">
        <f>$G$14*$AC$28</f>
        <v>47.023800000000001</v>
      </c>
      <c r="AZ106" s="152">
        <f t="shared" si="99"/>
        <v>1.028360592863338E-2</v>
      </c>
      <c r="BA106" s="142">
        <f t="shared" si="100"/>
        <v>0.1547437531093985</v>
      </c>
      <c r="BB106" s="163">
        <f t="shared" si="101"/>
        <v>1.1386814203925692E-6</v>
      </c>
      <c r="BC106" s="153">
        <f t="shared" si="102"/>
        <v>8.279378849074243E-6</v>
      </c>
      <c r="BD106" s="144">
        <f t="shared" si="103"/>
        <v>137532.22809944139</v>
      </c>
    </row>
    <row r="107" spans="1:56" ht="21.75" thickBot="1" x14ac:dyDescent="0.3">
      <c r="A107" s="228"/>
      <c r="B107" s="86">
        <v>4</v>
      </c>
      <c r="C107" s="86">
        <f t="shared" si="96"/>
        <v>18</v>
      </c>
      <c r="D107" s="132">
        <f>(D106*((C107/C106)^(($C$13-1)/$C$13)))</f>
        <v>2256.0572022198039</v>
      </c>
      <c r="E107" s="153">
        <f t="shared" si="89"/>
        <v>1.0735694451263327E-10</v>
      </c>
      <c r="F107" s="153">
        <f t="shared" si="90"/>
        <v>6.5681391066181393E-6</v>
      </c>
      <c r="G107" s="88">
        <f>F107/($D$76*$G$11*((J107/2)+3.76))</f>
        <v>1.3625585772306466E-7</v>
      </c>
      <c r="H107" s="96">
        <f t="shared" si="91"/>
        <v>8.9239999999999995</v>
      </c>
      <c r="I107" s="144">
        <f t="shared" si="92"/>
        <v>10.0395</v>
      </c>
      <c r="J107" s="134">
        <f t="shared" si="93"/>
        <v>0.43125000000000036</v>
      </c>
      <c r="K107" s="144">
        <f t="shared" si="94"/>
        <v>54.077369999999995</v>
      </c>
      <c r="L107" s="193">
        <f t="shared" si="86"/>
        <v>1.4690084660767921E-3</v>
      </c>
      <c r="M107" s="136">
        <f t="shared" si="87"/>
        <v>0.18420896081893812</v>
      </c>
      <c r="N107" s="163">
        <f>SUM($E$103:$E$118)</f>
        <v>1.3052831988392069E-8</v>
      </c>
      <c r="O107" s="165">
        <f t="shared" si="88"/>
        <v>1.0011006729331932E-5</v>
      </c>
      <c r="P107" s="144">
        <f t="shared" si="95"/>
        <v>1303.8480885391564</v>
      </c>
      <c r="Q107" s="260"/>
      <c r="R107" s="301"/>
      <c r="S107" s="421"/>
      <c r="T107" s="421"/>
      <c r="U107" s="302"/>
      <c r="V107" s="456"/>
      <c r="W107" s="456"/>
      <c r="X107" s="456"/>
      <c r="Y107" s="86">
        <v>2</v>
      </c>
      <c r="Z107" s="86">
        <f t="shared" ref="Z107:Z120" si="113">Z106+2</f>
        <v>14</v>
      </c>
      <c r="AA107" s="132">
        <f t="shared" ref="AA107:AA120" si="114">(AA106*((Z107/Z106)^(($C$13-1)/$C$13)))</f>
        <v>2510.0666958766406</v>
      </c>
      <c r="AB107" s="191">
        <f t="shared" si="104"/>
        <v>1.8446046383561876E-9</v>
      </c>
      <c r="AC107" s="153">
        <f t="shared" si="105"/>
        <v>6.5681391066181393E-6</v>
      </c>
      <c r="AD107" s="88">
        <f>AC107/($AA$102*$G$11*((AG107/2)+3.76))</f>
        <v>1.3722664834965394E-7</v>
      </c>
      <c r="AE107" s="96">
        <f>$G$12*$AA$102*$AC$28</f>
        <v>7.76</v>
      </c>
      <c r="AF107" s="96">
        <f>$G$13*$AA$102*$AC$28</f>
        <v>8.73</v>
      </c>
      <c r="AG107" s="134">
        <f>(($G$15/2)*(1-$AA$102)*$AC$28)</f>
        <v>0.37500000000000033</v>
      </c>
      <c r="AH107" s="144">
        <f>$G$14*$AC$28</f>
        <v>47.023800000000001</v>
      </c>
      <c r="AI107" s="152">
        <f t="shared" si="106"/>
        <v>1.2864998282780069E-3</v>
      </c>
      <c r="AJ107" s="142">
        <f t="shared" si="107"/>
        <v>0.16132296166661145</v>
      </c>
      <c r="AK107" s="163">
        <f t="shared" si="108"/>
        <v>4.1987251671933932E-7</v>
      </c>
      <c r="AL107" s="153">
        <f t="shared" si="109"/>
        <v>8.7672458910813705E-6</v>
      </c>
      <c r="AM107" s="144">
        <f t="shared" si="110"/>
        <v>47891.039208386042</v>
      </c>
      <c r="AP107" s="86">
        <v>3</v>
      </c>
      <c r="AQ107" s="86">
        <f t="shared" si="111"/>
        <v>16</v>
      </c>
      <c r="AR107" s="132">
        <f t="shared" si="112"/>
        <v>2559.2425148554435</v>
      </c>
      <c r="AS107" s="191">
        <f t="shared" si="97"/>
        <v>8.408506679649955E-9</v>
      </c>
      <c r="AT107" s="153">
        <f t="shared" si="98"/>
        <v>6.5681391066181393E-6</v>
      </c>
      <c r="AU107" s="88">
        <f>AT107/($AR$101*$G$11*((AX107/2)+3.76))</f>
        <v>1.3163015588650725E-7</v>
      </c>
      <c r="AV107" s="96">
        <f>$G$12*$AR$101*$AC$28</f>
        <v>6</v>
      </c>
      <c r="AW107" s="96">
        <f>$G$13*$AR$101*$AC$28</f>
        <v>6.75</v>
      </c>
      <c r="AX107" s="134">
        <f>(($G$15/2)*(1-$AR$101)*$AC$28)</f>
        <v>3.125</v>
      </c>
      <c r="AY107" s="144">
        <f>$G$14*$AC$28</f>
        <v>47.023800000000001</v>
      </c>
      <c r="AZ107" s="152">
        <f t="shared" si="99"/>
        <v>1.028360592863338E-2</v>
      </c>
      <c r="BA107" s="142">
        <f t="shared" si="100"/>
        <v>0.1547437531093985</v>
      </c>
      <c r="BB107" s="163">
        <f t="shared" si="101"/>
        <v>1.1386814203925692E-6</v>
      </c>
      <c r="BC107" s="153">
        <f t="shared" si="102"/>
        <v>8.279378849074243E-6</v>
      </c>
      <c r="BD107" s="144">
        <f t="shared" si="103"/>
        <v>137532.22809944139</v>
      </c>
    </row>
    <row r="108" spans="1:56" ht="21" x14ac:dyDescent="0.25">
      <c r="A108" s="208"/>
      <c r="B108" s="86">
        <v>5</v>
      </c>
      <c r="C108" s="86">
        <f t="shared" si="96"/>
        <v>20</v>
      </c>
      <c r="D108" s="132">
        <f>(D107*((C108/C107)^(($C$13-1)/$C$13)))</f>
        <v>2290.8604326601658</v>
      </c>
      <c r="E108" s="153">
        <f t="shared" si="89"/>
        <v>1.6952004146221272E-10</v>
      </c>
      <c r="F108" s="153">
        <f t="shared" si="90"/>
        <v>6.5681391066181393E-6</v>
      </c>
      <c r="G108" s="88">
        <f>F108/($D$76*$G$11*((J108/2)+3.76))</f>
        <v>1.3625585772306466E-7</v>
      </c>
      <c r="H108" s="96">
        <f t="shared" si="91"/>
        <v>8.9239999999999995</v>
      </c>
      <c r="I108" s="144">
        <f t="shared" si="92"/>
        <v>10.0395</v>
      </c>
      <c r="J108" s="134">
        <f t="shared" si="93"/>
        <v>0.43125000000000036</v>
      </c>
      <c r="K108" s="144">
        <f t="shared" si="94"/>
        <v>54.077369999999995</v>
      </c>
      <c r="L108" s="193">
        <f t="shared" si="86"/>
        <v>1.4690084660767921E-3</v>
      </c>
      <c r="M108" s="136">
        <f t="shared" si="87"/>
        <v>0.18420896081893812</v>
      </c>
      <c r="N108" s="163">
        <f>SUM($E$103:$E$118)</f>
        <v>1.3052831988392069E-8</v>
      </c>
      <c r="O108" s="165">
        <f t="shared" si="88"/>
        <v>1.0011006729331932E-5</v>
      </c>
      <c r="P108" s="144">
        <f t="shared" si="95"/>
        <v>1303.8480885391564</v>
      </c>
      <c r="Q108" s="260"/>
      <c r="R108" s="468" t="s">
        <v>170</v>
      </c>
      <c r="S108" s="120"/>
      <c r="T108" s="246">
        <v>2071.3773839715413</v>
      </c>
      <c r="U108" s="120"/>
      <c r="V108" s="456"/>
      <c r="W108" s="456"/>
      <c r="X108" s="456"/>
      <c r="Y108" s="86">
        <v>3</v>
      </c>
      <c r="Z108" s="86">
        <f t="shared" si="113"/>
        <v>16</v>
      </c>
      <c r="AA108" s="132">
        <f t="shared" si="114"/>
        <v>2559.2425148554435</v>
      </c>
      <c r="AB108" s="191">
        <f t="shared" si="104"/>
        <v>3.1005167891637629E-9</v>
      </c>
      <c r="AC108" s="153">
        <f t="shared" si="105"/>
        <v>6.5681391066181393E-6</v>
      </c>
      <c r="AD108" s="88">
        <f>AC108/($AA$102*$G$11*((AG108/2)+3.76))</f>
        <v>1.3722664834965394E-7</v>
      </c>
      <c r="AE108" s="96">
        <f>$G$12*$AA$102*$AC$28</f>
        <v>7.76</v>
      </c>
      <c r="AF108" s="96">
        <f>$G$13*$AA$102*$AC$28</f>
        <v>8.73</v>
      </c>
      <c r="AG108" s="134">
        <f>(($G$15/2)*(1-$AA$102)*$AC$28)</f>
        <v>0.37500000000000033</v>
      </c>
      <c r="AH108" s="144">
        <f>$G$14*$AC$28</f>
        <v>47.023800000000001</v>
      </c>
      <c r="AI108" s="152">
        <f t="shared" si="106"/>
        <v>1.2864998282780069E-3</v>
      </c>
      <c r="AJ108" s="142">
        <f t="shared" si="107"/>
        <v>0.16132296166661145</v>
      </c>
      <c r="AK108" s="163">
        <f t="shared" si="108"/>
        <v>4.1987251671933932E-7</v>
      </c>
      <c r="AL108" s="153">
        <f t="shared" si="109"/>
        <v>8.7672458910813705E-6</v>
      </c>
      <c r="AM108" s="144">
        <f t="shared" si="110"/>
        <v>47891.039208386042</v>
      </c>
      <c r="AP108" s="86">
        <v>4</v>
      </c>
      <c r="AQ108" s="86">
        <f t="shared" si="111"/>
        <v>18</v>
      </c>
      <c r="AR108" s="132">
        <f t="shared" si="112"/>
        <v>2603.4177381529535</v>
      </c>
      <c r="AS108" s="191">
        <f t="shared" si="97"/>
        <v>1.3184125346799812E-8</v>
      </c>
      <c r="AT108" s="153">
        <f t="shared" si="98"/>
        <v>6.5681391066181393E-6</v>
      </c>
      <c r="AU108" s="88">
        <f>AT108/($AR$101*$G$11*((AX108/2)+3.76))</f>
        <v>1.3163015588650725E-7</v>
      </c>
      <c r="AV108" s="96">
        <f>$G$12*$AR$101*$AC$28</f>
        <v>6</v>
      </c>
      <c r="AW108" s="96">
        <f>$G$13*$AR$101*$AC$28</f>
        <v>6.75</v>
      </c>
      <c r="AX108" s="134">
        <f>(($G$15/2)*(1-$AR$101)*$AC$28)</f>
        <v>3.125</v>
      </c>
      <c r="AY108" s="144">
        <f>$G$14*$AC$28</f>
        <v>47.023800000000001</v>
      </c>
      <c r="AZ108" s="152">
        <f t="shared" si="99"/>
        <v>1.028360592863338E-2</v>
      </c>
      <c r="BA108" s="142">
        <f t="shared" si="100"/>
        <v>0.1547437531093985</v>
      </c>
      <c r="BB108" s="163">
        <f t="shared" si="101"/>
        <v>1.1386814203925692E-6</v>
      </c>
      <c r="BC108" s="153">
        <f t="shared" si="102"/>
        <v>8.279378849074243E-6</v>
      </c>
      <c r="BD108" s="144">
        <f t="shared" si="103"/>
        <v>137532.22809944139</v>
      </c>
    </row>
    <row r="109" spans="1:56" ht="19.5" thickBot="1" x14ac:dyDescent="0.3">
      <c r="A109" s="208"/>
      <c r="B109" s="86">
        <v>6</v>
      </c>
      <c r="C109" s="86">
        <f t="shared" si="96"/>
        <v>22</v>
      </c>
      <c r="D109" s="132">
        <f>(D108*((C109/C108)^(($C$13-1)/$C$13)))</f>
        <v>2322.8060739667121</v>
      </c>
      <c r="E109" s="153">
        <f t="shared" si="89"/>
        <v>2.5473565979513822E-10</v>
      </c>
      <c r="F109" s="153">
        <f t="shared" si="90"/>
        <v>6.5681391066181393E-6</v>
      </c>
      <c r="G109" s="88">
        <f>F109/($D$76*$G$11*((J109/2)+3.76))</f>
        <v>1.3625585772306466E-7</v>
      </c>
      <c r="H109" s="96">
        <f t="shared" si="91"/>
        <v>8.9239999999999995</v>
      </c>
      <c r="I109" s="144">
        <f t="shared" si="92"/>
        <v>10.0395</v>
      </c>
      <c r="J109" s="134">
        <f t="shared" si="93"/>
        <v>0.43125000000000036</v>
      </c>
      <c r="K109" s="144">
        <f t="shared" si="94"/>
        <v>54.077369999999995</v>
      </c>
      <c r="L109" s="193">
        <f t="shared" si="86"/>
        <v>1.4690084660767921E-3</v>
      </c>
      <c r="M109" s="136">
        <f t="shared" si="87"/>
        <v>0.18420896081893812</v>
      </c>
      <c r="N109" s="163">
        <f>SUM($E$103:$E$118)</f>
        <v>1.3052831988392069E-8</v>
      </c>
      <c r="O109" s="165">
        <f t="shared" si="88"/>
        <v>1.0011006729331932E-5</v>
      </c>
      <c r="P109" s="144">
        <f t="shared" si="95"/>
        <v>1303.8480885391564</v>
      </c>
      <c r="Q109" s="260"/>
      <c r="R109" s="121"/>
      <c r="S109" s="122"/>
      <c r="T109" s="121"/>
      <c r="U109" s="122"/>
      <c r="V109" s="260"/>
      <c r="W109" s="260"/>
      <c r="X109" s="260"/>
      <c r="Y109" s="86">
        <v>4</v>
      </c>
      <c r="Z109" s="86">
        <f t="shared" si="113"/>
        <v>18</v>
      </c>
      <c r="AA109" s="132">
        <f t="shared" si="114"/>
        <v>2603.4177381529535</v>
      </c>
      <c r="AB109" s="191">
        <f t="shared" si="104"/>
        <v>4.8614579907658545E-9</v>
      </c>
      <c r="AC109" s="153">
        <f t="shared" si="105"/>
        <v>6.5681391066181393E-6</v>
      </c>
      <c r="AD109" s="88">
        <f>AC109/($AA$102*$G$11*((AG109/2)+3.76))</f>
        <v>1.3722664834965394E-7</v>
      </c>
      <c r="AE109" s="96">
        <f>$G$12*$AA$102*$AC$28</f>
        <v>7.76</v>
      </c>
      <c r="AF109" s="96">
        <f>$G$13*$AA$102*$AC$28</f>
        <v>8.73</v>
      </c>
      <c r="AG109" s="134">
        <f>(($G$15/2)*(1-$AA$102)*$AC$28)</f>
        <v>0.37500000000000033</v>
      </c>
      <c r="AH109" s="144">
        <f>$G$14*$AC$28</f>
        <v>47.023800000000001</v>
      </c>
      <c r="AI109" s="152">
        <f t="shared" si="106"/>
        <v>1.2864998282780069E-3</v>
      </c>
      <c r="AJ109" s="142">
        <f t="shared" si="107"/>
        <v>0.16132296166661145</v>
      </c>
      <c r="AK109" s="163">
        <f t="shared" si="108"/>
        <v>4.1987251671933932E-7</v>
      </c>
      <c r="AL109" s="153">
        <f t="shared" si="109"/>
        <v>8.7672458910813705E-6</v>
      </c>
      <c r="AM109" s="144">
        <f t="shared" si="110"/>
        <v>47891.039208386042</v>
      </c>
      <c r="AP109" s="86">
        <v>5</v>
      </c>
      <c r="AQ109" s="86">
        <f t="shared" si="111"/>
        <v>20</v>
      </c>
      <c r="AR109" s="132">
        <f t="shared" si="112"/>
        <v>2643.5795511532228</v>
      </c>
      <c r="AS109" s="191">
        <f t="shared" si="97"/>
        <v>1.9587182067322053E-8</v>
      </c>
      <c r="AT109" s="153">
        <f t="shared" si="98"/>
        <v>6.5681391066181393E-6</v>
      </c>
      <c r="AU109" s="88">
        <f>AT109/($AR$101*$G$11*((AX109/2)+3.76))</f>
        <v>1.3163015588650725E-7</v>
      </c>
      <c r="AV109" s="96">
        <f>$G$12*$AR$101*$AC$28</f>
        <v>6</v>
      </c>
      <c r="AW109" s="96">
        <f>$G$13*$AR$101*$AC$28</f>
        <v>6.75</v>
      </c>
      <c r="AX109" s="134">
        <f>(($G$15/2)*(1-$AR$101)*$AC$28)</f>
        <v>3.125</v>
      </c>
      <c r="AY109" s="144">
        <f>$G$14*$AC$28</f>
        <v>47.023800000000001</v>
      </c>
      <c r="AZ109" s="152">
        <f t="shared" si="99"/>
        <v>1.028360592863338E-2</v>
      </c>
      <c r="BA109" s="142">
        <f t="shared" si="100"/>
        <v>0.1547437531093985</v>
      </c>
      <c r="BB109" s="163">
        <f t="shared" si="101"/>
        <v>1.1386814203925692E-6</v>
      </c>
      <c r="BC109" s="153">
        <f t="shared" si="102"/>
        <v>8.279378849074243E-6</v>
      </c>
      <c r="BD109" s="144">
        <f t="shared" si="103"/>
        <v>137532.22809944139</v>
      </c>
    </row>
    <row r="110" spans="1:56" ht="15.75" customHeight="1" x14ac:dyDescent="0.25">
      <c r="A110" s="228"/>
      <c r="B110" s="86">
        <v>7</v>
      </c>
      <c r="C110" s="86">
        <f t="shared" si="96"/>
        <v>24</v>
      </c>
      <c r="D110" s="132">
        <f>(D109*((C110/C109)^(($C$13-1)/$C$13)))</f>
        <v>2352.3589852043092</v>
      </c>
      <c r="E110" s="153">
        <f t="shared" si="89"/>
        <v>3.6764897446905774E-10</v>
      </c>
      <c r="F110" s="153">
        <f t="shared" si="90"/>
        <v>6.5681391066181393E-6</v>
      </c>
      <c r="G110" s="88">
        <f>F110/($D$76*$G$11*((J110/2)+3.76))</f>
        <v>1.3625585772306466E-7</v>
      </c>
      <c r="H110" s="96">
        <f t="shared" si="91"/>
        <v>8.9239999999999995</v>
      </c>
      <c r="I110" s="144">
        <f t="shared" si="92"/>
        <v>10.0395</v>
      </c>
      <c r="J110" s="134">
        <f t="shared" si="93"/>
        <v>0.43125000000000036</v>
      </c>
      <c r="K110" s="144">
        <f t="shared" si="94"/>
        <v>54.077369999999995</v>
      </c>
      <c r="L110" s="193">
        <f t="shared" si="86"/>
        <v>1.4690084660767921E-3</v>
      </c>
      <c r="M110" s="136">
        <f t="shared" si="87"/>
        <v>0.18420896081893812</v>
      </c>
      <c r="N110" s="163">
        <f>SUM($E$103:$E$118)</f>
        <v>1.3052831988392069E-8</v>
      </c>
      <c r="O110" s="165">
        <f t="shared" si="88"/>
        <v>1.0011006729331932E-5</v>
      </c>
      <c r="P110" s="144">
        <f t="shared" si="95"/>
        <v>1303.8480885391564</v>
      </c>
      <c r="Q110" s="260"/>
      <c r="R110" s="468" t="s">
        <v>59</v>
      </c>
      <c r="S110" s="120"/>
      <c r="T110" s="469">
        <f>(H103*D100*( 8.5770134353E-19*T108^6 - 1.0374875556E-14*T108^5 + 4.9689475953E-11*T108^4 - 0.00000012019118054*T108^3 + 0.00015650954893*T108^2 - 0.048239362033*T108 + 5.2084519626) + (I103*D100*(6.6506859177E-19*T108^6 - 7.8984343104E-15*T108^5 + 3.6879849877E-11*T108^4 - 0.000000086386228559*T108^3 + 0.00011074017861*T108^2 - 0.031241611608*T108 + 3.3006694533) + (J103*(1-D100)*(5.9376621671E-19*T108^6 - 7.1020711589E-15*T108^5 + 3.3460896805E-11*T108^4 - 0.000000078909601634*T108^3 + 0.000098599769212*T108^2 - 0.028172899156*T108 + 3.05378908) + (K103*(6.4958291549E-19*T108^6 - 7.8224528491E-15*T108^5 + 3.7120417697E-11*T108^4 - 0.00000008798317617*T108^3 + 0.00010982327235*T108^2 - 0.032606444641*T108 + 3.5786489003)))))</f>
        <v>4905.2740290313413</v>
      </c>
      <c r="U110" s="120"/>
      <c r="V110" s="230"/>
      <c r="W110" s="260"/>
      <c r="X110" s="260"/>
      <c r="Y110" s="86">
        <v>5</v>
      </c>
      <c r="Z110" s="86">
        <f t="shared" si="113"/>
        <v>20</v>
      </c>
      <c r="AA110" s="132">
        <f t="shared" si="114"/>
        <v>2643.5795511532228</v>
      </c>
      <c r="AB110" s="191">
        <f t="shared" si="104"/>
        <v>7.222493739479033E-9</v>
      </c>
      <c r="AC110" s="153">
        <f t="shared" si="105"/>
        <v>6.5681391066181393E-6</v>
      </c>
      <c r="AD110" s="88">
        <f>AC110/($AA$102*$G$11*((AG110/2)+3.76))</f>
        <v>1.3722664834965394E-7</v>
      </c>
      <c r="AE110" s="96">
        <f>$G$12*$AA$102*$AC$28</f>
        <v>7.76</v>
      </c>
      <c r="AF110" s="96">
        <f>$G$13*$AA$102*$AC$28</f>
        <v>8.73</v>
      </c>
      <c r="AG110" s="134">
        <f>(($G$15/2)*(1-$AA$102)*$AC$28)</f>
        <v>0.37500000000000033</v>
      </c>
      <c r="AH110" s="144">
        <f>$G$14*$AC$28</f>
        <v>47.023800000000001</v>
      </c>
      <c r="AI110" s="152">
        <f t="shared" si="106"/>
        <v>1.2864998282780069E-3</v>
      </c>
      <c r="AJ110" s="142">
        <f t="shared" si="107"/>
        <v>0.16132296166661145</v>
      </c>
      <c r="AK110" s="163">
        <f t="shared" si="108"/>
        <v>4.1987251671933932E-7</v>
      </c>
      <c r="AL110" s="153">
        <f t="shared" si="109"/>
        <v>8.7672458910813705E-6</v>
      </c>
      <c r="AM110" s="144">
        <f t="shared" si="110"/>
        <v>47891.039208386042</v>
      </c>
      <c r="AP110" s="86">
        <v>6</v>
      </c>
      <c r="AQ110" s="86">
        <f t="shared" si="111"/>
        <v>22</v>
      </c>
      <c r="AR110" s="132">
        <f t="shared" si="112"/>
        <v>2680.4437978364645</v>
      </c>
      <c r="AS110" s="191">
        <f t="shared" si="97"/>
        <v>2.7876739834993762E-8</v>
      </c>
      <c r="AT110" s="153">
        <f t="shared" si="98"/>
        <v>6.5681391066181393E-6</v>
      </c>
      <c r="AU110" s="88">
        <f>AT110/($AR$101*$G$11*((AX110/2)+3.76))</f>
        <v>1.3163015588650725E-7</v>
      </c>
      <c r="AV110" s="96">
        <f>$G$12*$AR$101*$AC$28</f>
        <v>6</v>
      </c>
      <c r="AW110" s="96">
        <f>$G$13*$AR$101*$AC$28</f>
        <v>6.75</v>
      </c>
      <c r="AX110" s="134">
        <f>(($G$15/2)*(1-$AR$101)*$AC$28)</f>
        <v>3.125</v>
      </c>
      <c r="AY110" s="144">
        <f>$G$14*$AC$28</f>
        <v>47.023800000000001</v>
      </c>
      <c r="AZ110" s="152">
        <f t="shared" si="99"/>
        <v>1.028360592863338E-2</v>
      </c>
      <c r="BA110" s="142">
        <f t="shared" si="100"/>
        <v>0.1547437531093985</v>
      </c>
      <c r="BB110" s="163">
        <f t="shared" si="101"/>
        <v>1.1386814203925692E-6</v>
      </c>
      <c r="BC110" s="153">
        <f t="shared" si="102"/>
        <v>8.279378849074243E-6</v>
      </c>
      <c r="BD110" s="144">
        <f t="shared" si="103"/>
        <v>137532.22809944139</v>
      </c>
    </row>
    <row r="111" spans="1:56" ht="15.75" customHeight="1" thickBot="1" x14ac:dyDescent="0.3">
      <c r="A111" s="228"/>
      <c r="B111" s="86">
        <v>8</v>
      </c>
      <c r="C111" s="86">
        <f t="shared" si="96"/>
        <v>26</v>
      </c>
      <c r="D111" s="132">
        <f>(D110*((C111/C110)^(($C$13-1)/$C$13)))</f>
        <v>2379.8769511890841</v>
      </c>
      <c r="E111" s="153">
        <f t="shared" si="89"/>
        <v>5.131530325628818E-10</v>
      </c>
      <c r="F111" s="153">
        <f t="shared" si="90"/>
        <v>6.5681391066181393E-6</v>
      </c>
      <c r="G111" s="88">
        <f>F111/($D$76*$G$11*((J111/2)+3.76))</f>
        <v>1.3625585772306466E-7</v>
      </c>
      <c r="H111" s="96">
        <f t="shared" si="91"/>
        <v>8.9239999999999995</v>
      </c>
      <c r="I111" s="144">
        <f t="shared" si="92"/>
        <v>10.0395</v>
      </c>
      <c r="J111" s="134">
        <f t="shared" si="93"/>
        <v>0.43125000000000036</v>
      </c>
      <c r="K111" s="144">
        <f t="shared" si="94"/>
        <v>54.077369999999995</v>
      </c>
      <c r="L111" s="193">
        <f t="shared" si="86"/>
        <v>1.4690084660767921E-3</v>
      </c>
      <c r="M111" s="136">
        <f t="shared" si="87"/>
        <v>0.18420896081893812</v>
      </c>
      <c r="N111" s="163">
        <f>SUM($E$103:$E$118)</f>
        <v>1.3052831988392069E-8</v>
      </c>
      <c r="O111" s="165">
        <f t="shared" si="88"/>
        <v>1.0011006729331932E-5</v>
      </c>
      <c r="P111" s="144">
        <f t="shared" si="95"/>
        <v>1303.8480885391564</v>
      </c>
      <c r="Q111" s="260"/>
      <c r="R111" s="121"/>
      <c r="S111" s="122"/>
      <c r="T111" s="470"/>
      <c r="U111" s="122"/>
      <c r="V111" s="230"/>
      <c r="W111" s="260"/>
      <c r="X111" s="260"/>
      <c r="Y111" s="86">
        <v>6</v>
      </c>
      <c r="Z111" s="86">
        <f t="shared" si="113"/>
        <v>22</v>
      </c>
      <c r="AA111" s="132">
        <f t="shared" si="114"/>
        <v>2680.4437978364645</v>
      </c>
      <c r="AB111" s="191">
        <f t="shared" si="104"/>
        <v>1.0279149815594436E-8</v>
      </c>
      <c r="AC111" s="153">
        <f t="shared" si="105"/>
        <v>6.5681391066181393E-6</v>
      </c>
      <c r="AD111" s="88">
        <f>AC111/($AA$102*$G$11*((AG111/2)+3.76))</f>
        <v>1.3722664834965394E-7</v>
      </c>
      <c r="AE111" s="96">
        <f>$G$12*$AA$102*$AC$28</f>
        <v>7.76</v>
      </c>
      <c r="AF111" s="96">
        <f>$G$13*$AA$102*$AC$28</f>
        <v>8.73</v>
      </c>
      <c r="AG111" s="134">
        <f>(($G$15/2)*(1-$AA$102)*$AC$28)</f>
        <v>0.37500000000000033</v>
      </c>
      <c r="AH111" s="144">
        <f>$G$14*$AC$28</f>
        <v>47.023800000000001</v>
      </c>
      <c r="AI111" s="152">
        <f t="shared" si="106"/>
        <v>1.2864998282780069E-3</v>
      </c>
      <c r="AJ111" s="142">
        <f t="shared" si="107"/>
        <v>0.16132296166661145</v>
      </c>
      <c r="AK111" s="163">
        <f t="shared" si="108"/>
        <v>4.1987251671933932E-7</v>
      </c>
      <c r="AL111" s="153">
        <f t="shared" si="109"/>
        <v>8.7672458910813705E-6</v>
      </c>
      <c r="AM111" s="144">
        <f t="shared" si="110"/>
        <v>47891.039208386042</v>
      </c>
      <c r="AP111" s="86">
        <v>7</v>
      </c>
      <c r="AQ111" s="86">
        <f t="shared" si="111"/>
        <v>24</v>
      </c>
      <c r="AR111" s="132">
        <f t="shared" si="112"/>
        <v>2714.5469106716873</v>
      </c>
      <c r="AS111" s="191">
        <f t="shared" si="97"/>
        <v>3.831115129887804E-8</v>
      </c>
      <c r="AT111" s="153">
        <f t="shared" si="98"/>
        <v>6.5681391066181393E-6</v>
      </c>
      <c r="AU111" s="88">
        <f>AT111/($AR$101*$G$11*((AX111/2)+3.76))</f>
        <v>1.3163015588650725E-7</v>
      </c>
      <c r="AV111" s="96">
        <f>$G$12*$AR$101*$AC$28</f>
        <v>6</v>
      </c>
      <c r="AW111" s="96">
        <f>$G$13*$AR$101*$AC$28</f>
        <v>6.75</v>
      </c>
      <c r="AX111" s="134">
        <f>(($G$15/2)*(1-$AR$101)*$AC$28)</f>
        <v>3.125</v>
      </c>
      <c r="AY111" s="144">
        <f>$G$14*$AC$28</f>
        <v>47.023800000000001</v>
      </c>
      <c r="AZ111" s="152">
        <f t="shared" si="99"/>
        <v>1.028360592863338E-2</v>
      </c>
      <c r="BA111" s="142">
        <f t="shared" si="100"/>
        <v>0.1547437531093985</v>
      </c>
      <c r="BB111" s="163">
        <f t="shared" si="101"/>
        <v>1.1386814203925692E-6</v>
      </c>
      <c r="BC111" s="153">
        <f t="shared" si="102"/>
        <v>8.279378849074243E-6</v>
      </c>
      <c r="BD111" s="144">
        <f t="shared" si="103"/>
        <v>137532.22809944139</v>
      </c>
    </row>
    <row r="112" spans="1:56" x14ac:dyDescent="0.25">
      <c r="A112" s="228"/>
      <c r="B112" s="86">
        <v>9</v>
      </c>
      <c r="C112" s="86">
        <f t="shared" si="96"/>
        <v>28</v>
      </c>
      <c r="D112" s="132">
        <f>(D111*((C112/C111)^(($C$13-1)/$C$13)))</f>
        <v>2405.6415149698637</v>
      </c>
      <c r="E112" s="153">
        <f t="shared" si="89"/>
        <v>6.9635395665626479E-10</v>
      </c>
      <c r="F112" s="153">
        <f t="shared" si="90"/>
        <v>6.5681391066181393E-6</v>
      </c>
      <c r="G112" s="88">
        <f>F112/($D$76*$G$11*((J112/2)+3.76))</f>
        <v>1.3625585772306466E-7</v>
      </c>
      <c r="H112" s="96">
        <f t="shared" si="91"/>
        <v>8.9239999999999995</v>
      </c>
      <c r="I112" s="144">
        <f t="shared" si="92"/>
        <v>10.0395</v>
      </c>
      <c r="J112" s="134">
        <f t="shared" si="93"/>
        <v>0.43125000000000036</v>
      </c>
      <c r="K112" s="144">
        <f t="shared" si="94"/>
        <v>54.077369999999995</v>
      </c>
      <c r="L112" s="193">
        <f t="shared" si="86"/>
        <v>1.4690084660767921E-3</v>
      </c>
      <c r="M112" s="136">
        <f t="shared" si="87"/>
        <v>0.18420896081893812</v>
      </c>
      <c r="N112" s="163">
        <f>SUM($E$103:$E$118)</f>
        <v>1.3052831988392069E-8</v>
      </c>
      <c r="O112" s="165">
        <f t="shared" si="88"/>
        <v>1.0011006729331932E-5</v>
      </c>
      <c r="P112" s="144">
        <f t="shared" si="95"/>
        <v>1303.8480885391564</v>
      </c>
      <c r="Q112" s="260"/>
      <c r="R112" s="260"/>
      <c r="S112" s="260"/>
      <c r="T112" s="229"/>
      <c r="U112" s="230"/>
      <c r="V112" s="230"/>
      <c r="W112" s="260"/>
      <c r="X112" s="260"/>
      <c r="Y112" s="86">
        <v>7</v>
      </c>
      <c r="Z112" s="86">
        <f t="shared" si="113"/>
        <v>24</v>
      </c>
      <c r="AA112" s="132">
        <f t="shared" si="114"/>
        <v>2714.5469106716873</v>
      </c>
      <c r="AB112" s="191">
        <f t="shared" si="104"/>
        <v>1.4126690069931593E-8</v>
      </c>
      <c r="AC112" s="153">
        <f t="shared" si="105"/>
        <v>6.5681391066181393E-6</v>
      </c>
      <c r="AD112" s="88">
        <f>AC112/($AA$102*$G$11*((AG112/2)+3.76))</f>
        <v>1.3722664834965394E-7</v>
      </c>
      <c r="AE112" s="96">
        <f>$G$12*$AA$102*$AC$28</f>
        <v>7.76</v>
      </c>
      <c r="AF112" s="96">
        <f>$G$13*$AA$102*$AC$28</f>
        <v>8.73</v>
      </c>
      <c r="AG112" s="134">
        <f>(($G$15/2)*(1-$AA$102)*$AC$28)</f>
        <v>0.37500000000000033</v>
      </c>
      <c r="AH112" s="144">
        <f>$G$14*$AC$28</f>
        <v>47.023800000000001</v>
      </c>
      <c r="AI112" s="152">
        <f t="shared" si="106"/>
        <v>1.2864998282780069E-3</v>
      </c>
      <c r="AJ112" s="142">
        <f t="shared" si="107"/>
        <v>0.16132296166661145</v>
      </c>
      <c r="AK112" s="163">
        <f t="shared" si="108"/>
        <v>4.1987251671933932E-7</v>
      </c>
      <c r="AL112" s="153">
        <f t="shared" si="109"/>
        <v>8.7672458910813705E-6</v>
      </c>
      <c r="AM112" s="144">
        <f t="shared" si="110"/>
        <v>47891.039208386042</v>
      </c>
      <c r="AP112" s="86">
        <v>8</v>
      </c>
      <c r="AQ112" s="86">
        <f t="shared" si="111"/>
        <v>26</v>
      </c>
      <c r="AR112" s="132">
        <f t="shared" si="112"/>
        <v>2746.3017618750005</v>
      </c>
      <c r="AS112" s="191">
        <f t="shared" si="97"/>
        <v>5.1146630022887289E-8</v>
      </c>
      <c r="AT112" s="153">
        <f t="shared" si="98"/>
        <v>6.5681391066181393E-6</v>
      </c>
      <c r="AU112" s="88">
        <f>AT112/($AR$101*$G$11*((AX112/2)+3.76))</f>
        <v>1.3163015588650725E-7</v>
      </c>
      <c r="AV112" s="96">
        <f>$G$12*$AR$101*$AC$28</f>
        <v>6</v>
      </c>
      <c r="AW112" s="96">
        <f>$G$13*$AR$101*$AC$28</f>
        <v>6.75</v>
      </c>
      <c r="AX112" s="134">
        <f>(($G$15/2)*(1-$AR$101)*$AC$28)</f>
        <v>3.125</v>
      </c>
      <c r="AY112" s="144">
        <f>$G$14*$AC$28</f>
        <v>47.023800000000001</v>
      </c>
      <c r="AZ112" s="152">
        <f t="shared" si="99"/>
        <v>1.028360592863338E-2</v>
      </c>
      <c r="BA112" s="142">
        <f t="shared" si="100"/>
        <v>0.1547437531093985</v>
      </c>
      <c r="BB112" s="163">
        <f t="shared" si="101"/>
        <v>1.1386814203925692E-6</v>
      </c>
      <c r="BC112" s="153">
        <f t="shared" si="102"/>
        <v>8.279378849074243E-6</v>
      </c>
      <c r="BD112" s="144">
        <f t="shared" si="103"/>
        <v>137532.22809944139</v>
      </c>
    </row>
    <row r="113" spans="1:56" x14ac:dyDescent="0.25">
      <c r="A113" s="228"/>
      <c r="B113" s="86">
        <v>10</v>
      </c>
      <c r="C113" s="86">
        <f t="shared" si="96"/>
        <v>30</v>
      </c>
      <c r="D113" s="132">
        <f>(D112*((C113/C112)^(($C$13-1)/$C$13)))</f>
        <v>2429.8784011912653</v>
      </c>
      <c r="E113" s="153">
        <f t="shared" si="89"/>
        <v>9.2254030380081116E-10</v>
      </c>
      <c r="F113" s="153">
        <f t="shared" si="90"/>
        <v>6.5681391066181393E-6</v>
      </c>
      <c r="G113" s="88">
        <f>F113/($D$76*$G$11*((J113/2)+3.76))</f>
        <v>1.3625585772306466E-7</v>
      </c>
      <c r="H113" s="96">
        <f t="shared" si="91"/>
        <v>8.9239999999999995</v>
      </c>
      <c r="I113" s="144">
        <f t="shared" si="92"/>
        <v>10.0395</v>
      </c>
      <c r="J113" s="134">
        <f t="shared" si="93"/>
        <v>0.43125000000000036</v>
      </c>
      <c r="K113" s="144">
        <f t="shared" si="94"/>
        <v>54.077369999999995</v>
      </c>
      <c r="L113" s="193">
        <f t="shared" si="86"/>
        <v>1.4690084660767921E-3</v>
      </c>
      <c r="M113" s="136">
        <f t="shared" si="87"/>
        <v>0.18420896081893812</v>
      </c>
      <c r="N113" s="163">
        <f>SUM($E$103:$E$118)</f>
        <v>1.3052831988392069E-8</v>
      </c>
      <c r="O113" s="165">
        <f t="shared" si="88"/>
        <v>1.0011006729331932E-5</v>
      </c>
      <c r="P113" s="144">
        <f t="shared" si="95"/>
        <v>1303.8480885391564</v>
      </c>
      <c r="Q113" s="260"/>
      <c r="R113" s="260"/>
      <c r="S113" s="260"/>
      <c r="T113" s="229"/>
      <c r="U113" s="230"/>
      <c r="V113" s="230"/>
      <c r="W113" s="260"/>
      <c r="X113" s="260"/>
      <c r="Y113" s="86">
        <v>8</v>
      </c>
      <c r="Z113" s="86">
        <f t="shared" si="113"/>
        <v>26</v>
      </c>
      <c r="AA113" s="132">
        <f t="shared" si="114"/>
        <v>2746.3017618750005</v>
      </c>
      <c r="AB113" s="191">
        <f t="shared" si="104"/>
        <v>1.8859589596200587E-8</v>
      </c>
      <c r="AC113" s="153">
        <f t="shared" si="105"/>
        <v>6.5681391066181393E-6</v>
      </c>
      <c r="AD113" s="88">
        <f>AC113/($AA$102*$G$11*((AG113/2)+3.76))</f>
        <v>1.3722664834965394E-7</v>
      </c>
      <c r="AE113" s="96">
        <f>$G$12*$AA$102*$AC$28</f>
        <v>7.76</v>
      </c>
      <c r="AF113" s="96">
        <f>$G$13*$AA$102*$AC$28</f>
        <v>8.73</v>
      </c>
      <c r="AG113" s="134">
        <f>(($G$15/2)*(1-$AA$102)*$AC$28)</f>
        <v>0.37500000000000033</v>
      </c>
      <c r="AH113" s="144">
        <f>$G$14*$AC$28</f>
        <v>47.023800000000001</v>
      </c>
      <c r="AI113" s="152">
        <f t="shared" si="106"/>
        <v>1.2864998282780069E-3</v>
      </c>
      <c r="AJ113" s="142">
        <f t="shared" si="107"/>
        <v>0.16132296166661145</v>
      </c>
      <c r="AK113" s="163">
        <f t="shared" si="108"/>
        <v>4.1987251671933932E-7</v>
      </c>
      <c r="AL113" s="153">
        <f t="shared" si="109"/>
        <v>8.7672458910813705E-6</v>
      </c>
      <c r="AM113" s="144">
        <f t="shared" si="110"/>
        <v>47891.039208386042</v>
      </c>
      <c r="AP113" s="86">
        <v>9</v>
      </c>
      <c r="AQ113" s="86">
        <f t="shared" si="111"/>
        <v>28</v>
      </c>
      <c r="AR113" s="132">
        <f t="shared" si="112"/>
        <v>2776.0332431054658</v>
      </c>
      <c r="AS113" s="191">
        <f t="shared" si="97"/>
        <v>6.6636210201957135E-8</v>
      </c>
      <c r="AT113" s="153">
        <f t="shared" si="98"/>
        <v>6.5681391066181393E-6</v>
      </c>
      <c r="AU113" s="88">
        <f>AT113/($AR$101*$G$11*((AX113/2)+3.76))</f>
        <v>1.3163015588650725E-7</v>
      </c>
      <c r="AV113" s="96">
        <f>$G$12*$AR$101*$AC$28</f>
        <v>6</v>
      </c>
      <c r="AW113" s="96">
        <f>$G$13*$AR$101*$AC$28</f>
        <v>6.75</v>
      </c>
      <c r="AX113" s="134">
        <f>(($G$15/2)*(1-$AR$101)*$AC$28)</f>
        <v>3.125</v>
      </c>
      <c r="AY113" s="144">
        <f>$G$14*$AC$28</f>
        <v>47.023800000000001</v>
      </c>
      <c r="AZ113" s="152">
        <f t="shared" si="99"/>
        <v>1.028360592863338E-2</v>
      </c>
      <c r="BA113" s="142">
        <f t="shared" si="100"/>
        <v>0.1547437531093985</v>
      </c>
      <c r="BB113" s="163">
        <f t="shared" si="101"/>
        <v>1.1386814203925692E-6</v>
      </c>
      <c r="BC113" s="153">
        <f t="shared" si="102"/>
        <v>8.279378849074243E-6</v>
      </c>
      <c r="BD113" s="144">
        <f t="shared" si="103"/>
        <v>137532.22809944139</v>
      </c>
    </row>
    <row r="114" spans="1:56" x14ac:dyDescent="0.25">
      <c r="A114" s="228"/>
      <c r="B114" s="86">
        <v>11</v>
      </c>
      <c r="C114" s="86">
        <f t="shared" si="96"/>
        <v>32</v>
      </c>
      <c r="D114" s="132">
        <f>(D113*((C114/C113)^(($C$13-1)/$C$13)))</f>
        <v>2452.7714943693691</v>
      </c>
      <c r="E114" s="153">
        <f t="shared" si="89"/>
        <v>1.1971560971364838E-9</v>
      </c>
      <c r="F114" s="153">
        <f t="shared" si="90"/>
        <v>6.5681391066181393E-6</v>
      </c>
      <c r="G114" s="88">
        <f>F114/($D$76*$G$11*((J114/2)+3.76))</f>
        <v>1.3625585772306466E-7</v>
      </c>
      <c r="H114" s="96">
        <f t="shared" si="91"/>
        <v>8.9239999999999995</v>
      </c>
      <c r="I114" s="144">
        <f t="shared" si="92"/>
        <v>10.0395</v>
      </c>
      <c r="J114" s="134">
        <f t="shared" si="93"/>
        <v>0.43125000000000036</v>
      </c>
      <c r="K114" s="144">
        <f t="shared" si="94"/>
        <v>54.077369999999995</v>
      </c>
      <c r="L114" s="193">
        <f t="shared" si="86"/>
        <v>1.4690084660767921E-3</v>
      </c>
      <c r="M114" s="136">
        <f t="shared" si="87"/>
        <v>0.18420896081893812</v>
      </c>
      <c r="N114" s="163">
        <f>SUM($E$103:$E$118)</f>
        <v>1.3052831988392069E-8</v>
      </c>
      <c r="O114" s="165">
        <f t="shared" si="88"/>
        <v>1.0011006729331932E-5</v>
      </c>
      <c r="P114" s="144">
        <f t="shared" si="95"/>
        <v>1303.8480885391564</v>
      </c>
      <c r="Q114" s="260"/>
      <c r="R114" s="260"/>
      <c r="S114" s="260"/>
      <c r="T114" s="229"/>
      <c r="U114" s="230"/>
      <c r="V114" s="230"/>
      <c r="W114" s="260"/>
      <c r="X114" s="260"/>
      <c r="Y114" s="86">
        <v>9</v>
      </c>
      <c r="Z114" s="86">
        <f t="shared" si="113"/>
        <v>28</v>
      </c>
      <c r="AA114" s="132">
        <f t="shared" si="114"/>
        <v>2776.0332431054658</v>
      </c>
      <c r="AB114" s="191">
        <f t="shared" si="104"/>
        <v>2.4571151141193451E-8</v>
      </c>
      <c r="AC114" s="153">
        <f t="shared" si="105"/>
        <v>6.5681391066181393E-6</v>
      </c>
      <c r="AD114" s="88">
        <f>AC114/($AA$102*$G$11*((AG114/2)+3.76))</f>
        <v>1.3722664834965394E-7</v>
      </c>
      <c r="AE114" s="96">
        <f>$G$12*$AA$102*$AC$28</f>
        <v>7.76</v>
      </c>
      <c r="AF114" s="96">
        <f>$G$13*$AA$102*$AC$28</f>
        <v>8.73</v>
      </c>
      <c r="AG114" s="134">
        <f>(($G$15/2)*(1-$AA$102)*$AC$28)</f>
        <v>0.37500000000000033</v>
      </c>
      <c r="AH114" s="144">
        <f>$G$14*$AC$28</f>
        <v>47.023800000000001</v>
      </c>
      <c r="AI114" s="152">
        <f t="shared" si="106"/>
        <v>1.2864998282780069E-3</v>
      </c>
      <c r="AJ114" s="142">
        <f t="shared" si="107"/>
        <v>0.16132296166661145</v>
      </c>
      <c r="AK114" s="163">
        <f t="shared" si="108"/>
        <v>4.1987251671933932E-7</v>
      </c>
      <c r="AL114" s="153">
        <f t="shared" si="109"/>
        <v>8.7672458910813705E-6</v>
      </c>
      <c r="AM114" s="144">
        <f t="shared" si="110"/>
        <v>47891.039208386042</v>
      </c>
      <c r="AP114" s="86">
        <v>10</v>
      </c>
      <c r="AQ114" s="86">
        <f t="shared" si="111"/>
        <v>30</v>
      </c>
      <c r="AR114" s="132">
        <f t="shared" si="112"/>
        <v>2804.0018333718417</v>
      </c>
      <c r="AS114" s="191">
        <f t="shared" si="97"/>
        <v>8.5028994190129268E-8</v>
      </c>
      <c r="AT114" s="153">
        <f t="shared" si="98"/>
        <v>6.5681391066181393E-6</v>
      </c>
      <c r="AU114" s="88">
        <f>AT114/($AR$101*$G$11*((AX114/2)+3.76))</f>
        <v>1.3163015588650725E-7</v>
      </c>
      <c r="AV114" s="96">
        <f>$G$12*$AR$101*$AC$28</f>
        <v>6</v>
      </c>
      <c r="AW114" s="96">
        <f>$G$13*$AR$101*$AC$28</f>
        <v>6.75</v>
      </c>
      <c r="AX114" s="134">
        <f>(($G$15/2)*(1-$AR$101)*$AC$28)</f>
        <v>3.125</v>
      </c>
      <c r="AY114" s="144">
        <f>$G$14*$AC$28</f>
        <v>47.023800000000001</v>
      </c>
      <c r="AZ114" s="152">
        <f t="shared" si="99"/>
        <v>1.028360592863338E-2</v>
      </c>
      <c r="BA114" s="142">
        <f t="shared" si="100"/>
        <v>0.1547437531093985</v>
      </c>
      <c r="BB114" s="163">
        <f t="shared" si="101"/>
        <v>1.1386814203925692E-6</v>
      </c>
      <c r="BC114" s="153">
        <f t="shared" si="102"/>
        <v>8.279378849074243E-6</v>
      </c>
      <c r="BD114" s="144">
        <f t="shared" si="103"/>
        <v>137532.22809944139</v>
      </c>
    </row>
    <row r="115" spans="1:56" x14ac:dyDescent="0.25">
      <c r="A115" s="228"/>
      <c r="B115" s="86">
        <v>12</v>
      </c>
      <c r="C115" s="86">
        <f t="shared" si="96"/>
        <v>34</v>
      </c>
      <c r="D115" s="132">
        <f>(D114*((C115/C114)^(($C$13-1)/$C$13)))</f>
        <v>2474.4726760357271</v>
      </c>
      <c r="E115" s="153">
        <f t="shared" si="89"/>
        <v>1.52577708284757E-9</v>
      </c>
      <c r="F115" s="153">
        <f t="shared" si="90"/>
        <v>6.5681391066181393E-6</v>
      </c>
      <c r="G115" s="88">
        <f>F115/($D$76*$G$11*((J115/2)+3.76))</f>
        <v>1.3625585772306466E-7</v>
      </c>
      <c r="H115" s="96">
        <f t="shared" si="91"/>
        <v>8.9239999999999995</v>
      </c>
      <c r="I115" s="144">
        <f t="shared" si="92"/>
        <v>10.0395</v>
      </c>
      <c r="J115" s="134">
        <f t="shared" si="93"/>
        <v>0.43125000000000036</v>
      </c>
      <c r="K115" s="144">
        <f t="shared" si="94"/>
        <v>54.077369999999995</v>
      </c>
      <c r="L115" s="193">
        <f t="shared" si="86"/>
        <v>1.4690084660767921E-3</v>
      </c>
      <c r="M115" s="136">
        <f t="shared" si="87"/>
        <v>0.18420896081893812</v>
      </c>
      <c r="N115" s="163">
        <f>SUM($E$103:$E$118)</f>
        <v>1.3052831988392069E-8</v>
      </c>
      <c r="O115" s="165">
        <f t="shared" si="88"/>
        <v>1.0011006729331932E-5</v>
      </c>
      <c r="P115" s="144">
        <f t="shared" si="95"/>
        <v>1303.8480885391564</v>
      </c>
      <c r="Q115" s="260"/>
      <c r="R115" s="260"/>
      <c r="S115" s="260"/>
      <c r="T115" s="229"/>
      <c r="U115" s="230"/>
      <c r="V115" s="230"/>
      <c r="W115" s="260"/>
      <c r="X115" s="260"/>
      <c r="Y115" s="86">
        <v>10</v>
      </c>
      <c r="Z115" s="86">
        <f t="shared" si="113"/>
        <v>30</v>
      </c>
      <c r="AA115" s="132">
        <f t="shared" si="114"/>
        <v>2804.0018333718417</v>
      </c>
      <c r="AB115" s="191">
        <f t="shared" si="104"/>
        <v>3.1353227641507793E-8</v>
      </c>
      <c r="AC115" s="153">
        <f t="shared" si="105"/>
        <v>6.5681391066181393E-6</v>
      </c>
      <c r="AD115" s="88">
        <f>AC115/($AA$102*$G$11*((AG115/2)+3.76))</f>
        <v>1.3722664834965394E-7</v>
      </c>
      <c r="AE115" s="96">
        <f>$G$12*$AA$102*$AC$28</f>
        <v>7.76</v>
      </c>
      <c r="AF115" s="96">
        <f>$G$13*$AA$102*$AC$28</f>
        <v>8.73</v>
      </c>
      <c r="AG115" s="134">
        <f>(($G$15/2)*(1-$AA$102)*$AC$28)</f>
        <v>0.37500000000000033</v>
      </c>
      <c r="AH115" s="144">
        <f>$G$14*$AC$28</f>
        <v>47.023800000000001</v>
      </c>
      <c r="AI115" s="152">
        <f t="shared" si="106"/>
        <v>1.2864998282780069E-3</v>
      </c>
      <c r="AJ115" s="142">
        <f t="shared" si="107"/>
        <v>0.16132296166661145</v>
      </c>
      <c r="AK115" s="163">
        <f t="shared" si="108"/>
        <v>4.1987251671933932E-7</v>
      </c>
      <c r="AL115" s="153">
        <f t="shared" si="109"/>
        <v>8.7672458910813705E-6</v>
      </c>
      <c r="AM115" s="144">
        <f t="shared" si="110"/>
        <v>47891.039208386042</v>
      </c>
      <c r="AP115" s="86">
        <v>11</v>
      </c>
      <c r="AQ115" s="86">
        <f t="shared" si="111"/>
        <v>32</v>
      </c>
      <c r="AR115" s="132">
        <f t="shared" si="112"/>
        <v>2830.4197295149102</v>
      </c>
      <c r="AS115" s="191">
        <f t="shared" si="97"/>
        <v>1.0656961521549862E-7</v>
      </c>
      <c r="AT115" s="153">
        <f t="shared" si="98"/>
        <v>6.5681391066181393E-6</v>
      </c>
      <c r="AU115" s="88">
        <f>AT115/($AR$101*$G$11*((AX115/2)+3.76))</f>
        <v>1.3163015588650725E-7</v>
      </c>
      <c r="AV115" s="96">
        <f>$G$12*$AR$101*$AC$28</f>
        <v>6</v>
      </c>
      <c r="AW115" s="96">
        <f>$G$13*$AR$101*$AC$28</f>
        <v>6.75</v>
      </c>
      <c r="AX115" s="134">
        <f>(($G$15/2)*(1-$AR$101)*$AC$28)</f>
        <v>3.125</v>
      </c>
      <c r="AY115" s="144">
        <f>$G$14*$AC$28</f>
        <v>47.023800000000001</v>
      </c>
      <c r="AZ115" s="152">
        <f t="shared" si="99"/>
        <v>1.028360592863338E-2</v>
      </c>
      <c r="BA115" s="142">
        <f t="shared" si="100"/>
        <v>0.1547437531093985</v>
      </c>
      <c r="BB115" s="163">
        <f t="shared" si="101"/>
        <v>1.1386814203925692E-6</v>
      </c>
      <c r="BC115" s="153">
        <f t="shared" si="102"/>
        <v>8.279378849074243E-6</v>
      </c>
      <c r="BD115" s="144">
        <f t="shared" si="103"/>
        <v>137532.22809944139</v>
      </c>
    </row>
    <row r="116" spans="1:56" x14ac:dyDescent="0.25">
      <c r="A116" s="228"/>
      <c r="B116" s="86">
        <v>13</v>
      </c>
      <c r="C116" s="86">
        <f t="shared" si="96"/>
        <v>36</v>
      </c>
      <c r="D116" s="132">
        <f>(D115*((C116/C115)^(($C$13-1)/$C$13)))</f>
        <v>2495.1089156307744</v>
      </c>
      <c r="E116" s="153">
        <f t="shared" si="89"/>
        <v>1.9140898108860462E-9</v>
      </c>
      <c r="F116" s="153">
        <f t="shared" si="90"/>
        <v>6.5681391066181393E-6</v>
      </c>
      <c r="G116" s="88">
        <f>F116/($D$76*$G$11*((J116/2)+3.76))</f>
        <v>1.3625585772306466E-7</v>
      </c>
      <c r="H116" s="96">
        <f t="shared" si="91"/>
        <v>8.9239999999999995</v>
      </c>
      <c r="I116" s="144">
        <f t="shared" si="92"/>
        <v>10.0395</v>
      </c>
      <c r="J116" s="134">
        <f t="shared" si="93"/>
        <v>0.43125000000000036</v>
      </c>
      <c r="K116" s="144">
        <f t="shared" si="94"/>
        <v>54.077369999999995</v>
      </c>
      <c r="L116" s="193">
        <f t="shared" si="86"/>
        <v>1.4690084660767921E-3</v>
      </c>
      <c r="M116" s="136">
        <f t="shared" si="87"/>
        <v>0.18420896081893812</v>
      </c>
      <c r="N116" s="163">
        <f>SUM($E$103:$E$118)</f>
        <v>1.3052831988392069E-8</v>
      </c>
      <c r="O116" s="165">
        <f t="shared" si="88"/>
        <v>1.0011006729331932E-5</v>
      </c>
      <c r="P116" s="144">
        <f t="shared" si="95"/>
        <v>1303.8480885391564</v>
      </c>
      <c r="Q116" s="260"/>
      <c r="R116" s="260"/>
      <c r="S116" s="260"/>
      <c r="T116" s="229"/>
      <c r="U116" s="230"/>
      <c r="V116" s="230"/>
      <c r="W116" s="260"/>
      <c r="X116" s="260"/>
      <c r="Y116" s="86">
        <v>11</v>
      </c>
      <c r="Z116" s="86">
        <f t="shared" si="113"/>
        <v>32</v>
      </c>
      <c r="AA116" s="132">
        <f t="shared" si="114"/>
        <v>2830.4197295149102</v>
      </c>
      <c r="AB116" s="191">
        <f t="shared" si="104"/>
        <v>3.9296024107354442E-8</v>
      </c>
      <c r="AC116" s="153">
        <f t="shared" si="105"/>
        <v>6.5681391066181393E-6</v>
      </c>
      <c r="AD116" s="88">
        <f>AC116/($AA$102*$G$11*((AG116/2)+3.76))</f>
        <v>1.3722664834965394E-7</v>
      </c>
      <c r="AE116" s="96">
        <f>$G$12*$AA$102*$AC$28</f>
        <v>7.76</v>
      </c>
      <c r="AF116" s="96">
        <f>$G$13*$AA$102*$AC$28</f>
        <v>8.73</v>
      </c>
      <c r="AG116" s="134">
        <f>(($G$15/2)*(1-$AA$102)*$AC$28)</f>
        <v>0.37500000000000033</v>
      </c>
      <c r="AH116" s="144">
        <f>$G$14*$AC$28</f>
        <v>47.023800000000001</v>
      </c>
      <c r="AI116" s="152">
        <f t="shared" si="106"/>
        <v>1.2864998282780069E-3</v>
      </c>
      <c r="AJ116" s="142">
        <f t="shared" si="107"/>
        <v>0.16132296166661145</v>
      </c>
      <c r="AK116" s="163">
        <f t="shared" si="108"/>
        <v>4.1987251671933932E-7</v>
      </c>
      <c r="AL116" s="153">
        <f t="shared" si="109"/>
        <v>8.7672458910813705E-6</v>
      </c>
      <c r="AM116" s="144">
        <f t="shared" si="110"/>
        <v>47891.039208386042</v>
      </c>
      <c r="AP116" s="86">
        <v>12</v>
      </c>
      <c r="AQ116" s="86">
        <f t="shared" si="111"/>
        <v>34</v>
      </c>
      <c r="AR116" s="132">
        <f t="shared" si="112"/>
        <v>2855.4621979565291</v>
      </c>
      <c r="AS116" s="191">
        <f t="shared" si="97"/>
        <v>1.3149786219895854E-7</v>
      </c>
      <c r="AT116" s="153">
        <f t="shared" si="98"/>
        <v>6.5681391066181393E-6</v>
      </c>
      <c r="AU116" s="88">
        <f>AT116/($AR$101*$G$11*((AX116/2)+3.76))</f>
        <v>1.3163015588650725E-7</v>
      </c>
      <c r="AV116" s="96">
        <f>$G$12*$AR$101*$AC$28</f>
        <v>6</v>
      </c>
      <c r="AW116" s="96">
        <f>$G$13*$AR$101*$AC$28</f>
        <v>6.75</v>
      </c>
      <c r="AX116" s="134">
        <f>(($G$15/2)*(1-$AR$101)*$AC$28)</f>
        <v>3.125</v>
      </c>
      <c r="AY116" s="144">
        <f>$G$14*$AC$28</f>
        <v>47.023800000000001</v>
      </c>
      <c r="AZ116" s="152">
        <f t="shared" si="99"/>
        <v>1.028360592863338E-2</v>
      </c>
      <c r="BA116" s="142">
        <f t="shared" si="100"/>
        <v>0.1547437531093985</v>
      </c>
      <c r="BB116" s="163">
        <f t="shared" si="101"/>
        <v>1.1386814203925692E-6</v>
      </c>
      <c r="BC116" s="153">
        <f t="shared" si="102"/>
        <v>8.279378849074243E-6</v>
      </c>
      <c r="BD116" s="144">
        <f t="shared" si="103"/>
        <v>137532.22809944139</v>
      </c>
    </row>
    <row r="117" spans="1:56" x14ac:dyDescent="0.25">
      <c r="A117" s="228"/>
      <c r="B117" s="86">
        <v>14</v>
      </c>
      <c r="C117" s="86">
        <f t="shared" si="96"/>
        <v>38</v>
      </c>
      <c r="D117" s="132">
        <f>(D116*((C117/C116)^(($C$13-1)/$C$13)))</f>
        <v>2514.7874897124511</v>
      </c>
      <c r="E117" s="153">
        <f t="shared" si="89"/>
        <v>2.3678731850701127E-9</v>
      </c>
      <c r="F117" s="153">
        <f t="shared" si="90"/>
        <v>6.5681391066181393E-6</v>
      </c>
      <c r="G117" s="88">
        <f>F117/($D$76*$G$11*((J117/2)+3.76))</f>
        <v>1.3625585772306466E-7</v>
      </c>
      <c r="H117" s="96">
        <f t="shared" si="91"/>
        <v>8.9239999999999995</v>
      </c>
      <c r="I117" s="144">
        <f t="shared" si="92"/>
        <v>10.0395</v>
      </c>
      <c r="J117" s="134">
        <f t="shared" si="93"/>
        <v>0.43125000000000036</v>
      </c>
      <c r="K117" s="144">
        <f t="shared" si="94"/>
        <v>54.077369999999995</v>
      </c>
      <c r="L117" s="193">
        <f t="shared" si="86"/>
        <v>1.4690084660767921E-3</v>
      </c>
      <c r="M117" s="136">
        <f t="shared" si="87"/>
        <v>0.18420896081893812</v>
      </c>
      <c r="N117" s="163">
        <f>SUM($E$103:$E$118)</f>
        <v>1.3052831988392069E-8</v>
      </c>
      <c r="O117" s="165">
        <f t="shared" si="88"/>
        <v>1.0011006729331932E-5</v>
      </c>
      <c r="P117" s="144">
        <f t="shared" si="95"/>
        <v>1303.8480885391564</v>
      </c>
      <c r="Q117" s="260"/>
      <c r="R117" s="260"/>
      <c r="S117" s="260"/>
      <c r="T117" s="229"/>
      <c r="U117" s="230"/>
      <c r="V117" s="230"/>
      <c r="W117" s="260"/>
      <c r="X117" s="260"/>
      <c r="Y117" s="86">
        <v>12</v>
      </c>
      <c r="Z117" s="86">
        <f t="shared" si="113"/>
        <v>34</v>
      </c>
      <c r="AA117" s="132">
        <f t="shared" si="114"/>
        <v>2855.4621979565291</v>
      </c>
      <c r="AB117" s="191">
        <f t="shared" si="104"/>
        <v>4.8487959279826242E-8</v>
      </c>
      <c r="AC117" s="153">
        <f t="shared" si="105"/>
        <v>6.5681391066181393E-6</v>
      </c>
      <c r="AD117" s="88">
        <f>AC117/($AA$102*$G$11*((AG117/2)+3.76))</f>
        <v>1.3722664834965394E-7</v>
      </c>
      <c r="AE117" s="96">
        <f>$G$12*$AA$102*$AC$28</f>
        <v>7.76</v>
      </c>
      <c r="AF117" s="96">
        <f>$G$13*$AA$102*$AC$28</f>
        <v>8.73</v>
      </c>
      <c r="AG117" s="134">
        <f>(($G$15/2)*(1-$AA$102)*$AC$28)</f>
        <v>0.37500000000000033</v>
      </c>
      <c r="AH117" s="144">
        <f>$G$14*$AC$28</f>
        <v>47.023800000000001</v>
      </c>
      <c r="AI117" s="152">
        <f t="shared" si="106"/>
        <v>1.2864998282780069E-3</v>
      </c>
      <c r="AJ117" s="142">
        <f t="shared" si="107"/>
        <v>0.16132296166661145</v>
      </c>
      <c r="AK117" s="163">
        <f t="shared" si="108"/>
        <v>4.1987251671933932E-7</v>
      </c>
      <c r="AL117" s="153">
        <f t="shared" si="109"/>
        <v>8.7672458910813705E-6</v>
      </c>
      <c r="AM117" s="144">
        <f t="shared" si="110"/>
        <v>47891.039208386042</v>
      </c>
      <c r="AP117" s="86">
        <v>13</v>
      </c>
      <c r="AQ117" s="86">
        <f t="shared" si="111"/>
        <v>36</v>
      </c>
      <c r="AR117" s="132">
        <f t="shared" si="112"/>
        <v>2879.2757573634708</v>
      </c>
      <c r="AS117" s="191">
        <f t="shared" si="97"/>
        <v>1.6004842742253198E-7</v>
      </c>
      <c r="AT117" s="153">
        <f t="shared" si="98"/>
        <v>6.5681391066181393E-6</v>
      </c>
      <c r="AU117" s="88">
        <f>AT117/($AR$101*$G$11*((AX117/2)+3.76))</f>
        <v>1.3163015588650725E-7</v>
      </c>
      <c r="AV117" s="96">
        <f>$G$12*$AR$101*$AC$28</f>
        <v>6</v>
      </c>
      <c r="AW117" s="96">
        <f>$G$13*$AR$101*$AC$28</f>
        <v>6.75</v>
      </c>
      <c r="AX117" s="134">
        <f>(($G$15/2)*(1-$AR$101)*$AC$28)</f>
        <v>3.125</v>
      </c>
      <c r="AY117" s="144">
        <f>$G$14*$AC$28</f>
        <v>47.023800000000001</v>
      </c>
      <c r="AZ117" s="152">
        <f t="shared" si="99"/>
        <v>1.028360592863338E-2</v>
      </c>
      <c r="BA117" s="142">
        <f t="shared" si="100"/>
        <v>0.1547437531093985</v>
      </c>
      <c r="BB117" s="163">
        <f t="shared" si="101"/>
        <v>1.1386814203925692E-6</v>
      </c>
      <c r="BC117" s="153">
        <f t="shared" si="102"/>
        <v>8.279378849074243E-6</v>
      </c>
      <c r="BD117" s="144">
        <f t="shared" si="103"/>
        <v>137532.22809944139</v>
      </c>
    </row>
    <row r="118" spans="1:56" x14ac:dyDescent="0.25">
      <c r="A118" s="228"/>
      <c r="B118" s="86">
        <v>15</v>
      </c>
      <c r="C118" s="86">
        <f t="shared" si="96"/>
        <v>40</v>
      </c>
      <c r="D118" s="132">
        <f>(D117*((C118/C117)^(($C$13-1)/$C$13)))</f>
        <v>2533.5998947065964</v>
      </c>
      <c r="E118" s="153">
        <f t="shared" si="89"/>
        <v>2.8929821727838205E-9</v>
      </c>
      <c r="F118" s="153">
        <f t="shared" si="90"/>
        <v>6.5681391066181393E-6</v>
      </c>
      <c r="G118" s="88">
        <f>F118/($D$76*$G$11*((J118/2)+3.76))</f>
        <v>1.3625585772306466E-7</v>
      </c>
      <c r="H118" s="96">
        <f t="shared" si="91"/>
        <v>8.9239999999999995</v>
      </c>
      <c r="I118" s="144">
        <f t="shared" si="92"/>
        <v>10.0395</v>
      </c>
      <c r="J118" s="134">
        <f t="shared" si="93"/>
        <v>0.43125000000000036</v>
      </c>
      <c r="K118" s="144">
        <f t="shared" si="94"/>
        <v>54.077369999999995</v>
      </c>
      <c r="L118" s="193">
        <f t="shared" si="86"/>
        <v>1.4690084660767921E-3</v>
      </c>
      <c r="M118" s="136">
        <f t="shared" si="87"/>
        <v>0.18420896081893812</v>
      </c>
      <c r="N118" s="163">
        <f>SUM($E$103:$E$118)</f>
        <v>1.3052831988392069E-8</v>
      </c>
      <c r="O118" s="165">
        <f t="shared" si="88"/>
        <v>1.0011006729331932E-5</v>
      </c>
      <c r="P118" s="144">
        <f t="shared" si="95"/>
        <v>1303.8480885391564</v>
      </c>
      <c r="Q118" s="260"/>
      <c r="R118" s="260"/>
      <c r="S118" s="260"/>
      <c r="T118" s="229"/>
      <c r="U118" s="230"/>
      <c r="V118" s="230"/>
      <c r="W118" s="260"/>
      <c r="X118" s="260"/>
      <c r="Y118" s="86">
        <v>13</v>
      </c>
      <c r="Z118" s="86">
        <f t="shared" si="113"/>
        <v>36</v>
      </c>
      <c r="AA118" s="132">
        <f t="shared" si="114"/>
        <v>2879.2757573634708</v>
      </c>
      <c r="AB118" s="191">
        <f t="shared" si="104"/>
        <v>5.9015572587197676E-8</v>
      </c>
      <c r="AC118" s="153">
        <f t="shared" si="105"/>
        <v>6.5681391066181393E-6</v>
      </c>
      <c r="AD118" s="88">
        <f>AC118/($AA$102*$G$11*((AG118/2)+3.76))</f>
        <v>1.3722664834965394E-7</v>
      </c>
      <c r="AE118" s="96">
        <f>$G$12*$AA$102*$AC$28</f>
        <v>7.76</v>
      </c>
      <c r="AF118" s="96">
        <f>$G$13*$AA$102*$AC$28</f>
        <v>8.73</v>
      </c>
      <c r="AG118" s="134">
        <f>(($G$15/2)*(1-$AA$102)*$AC$28)</f>
        <v>0.37500000000000033</v>
      </c>
      <c r="AH118" s="144">
        <f>$G$14*$AC$28</f>
        <v>47.023800000000001</v>
      </c>
      <c r="AI118" s="152">
        <f t="shared" si="106"/>
        <v>1.2864998282780069E-3</v>
      </c>
      <c r="AJ118" s="142">
        <f t="shared" si="107"/>
        <v>0.16132296166661145</v>
      </c>
      <c r="AK118" s="163">
        <f t="shared" si="108"/>
        <v>4.1987251671933932E-7</v>
      </c>
      <c r="AL118" s="153">
        <f t="shared" si="109"/>
        <v>8.7672458910813705E-6</v>
      </c>
      <c r="AM118" s="144">
        <f t="shared" si="110"/>
        <v>47891.039208386042</v>
      </c>
      <c r="AP118" s="86">
        <v>14</v>
      </c>
      <c r="AQ118" s="86">
        <f t="shared" si="111"/>
        <v>38</v>
      </c>
      <c r="AR118" s="132">
        <f t="shared" si="112"/>
        <v>2901.9842014469746</v>
      </c>
      <c r="AS118" s="191">
        <f t="shared" si="97"/>
        <v>1.9245074771393799E-7</v>
      </c>
      <c r="AT118" s="153">
        <f t="shared" si="98"/>
        <v>6.5681391066181393E-6</v>
      </c>
      <c r="AU118" s="88">
        <f>AT118/($AR$101*$G$11*((AX118/2)+3.76))</f>
        <v>1.3163015588650725E-7</v>
      </c>
      <c r="AV118" s="96">
        <f>$G$12*$AR$101*$AC$28</f>
        <v>6</v>
      </c>
      <c r="AW118" s="96">
        <f>$G$13*$AR$101*$AC$28</f>
        <v>6.75</v>
      </c>
      <c r="AX118" s="134">
        <f>(($G$15/2)*(1-$AR$101)*$AC$28)</f>
        <v>3.125</v>
      </c>
      <c r="AY118" s="144">
        <f>$G$14*$AC$28</f>
        <v>47.023800000000001</v>
      </c>
      <c r="AZ118" s="152">
        <f t="shared" si="99"/>
        <v>1.028360592863338E-2</v>
      </c>
      <c r="BA118" s="142">
        <f t="shared" si="100"/>
        <v>0.1547437531093985</v>
      </c>
      <c r="BB118" s="163">
        <f t="shared" si="101"/>
        <v>1.1386814203925692E-6</v>
      </c>
      <c r="BC118" s="153">
        <f t="shared" si="102"/>
        <v>8.279378849074243E-6</v>
      </c>
      <c r="BD118" s="144">
        <f t="shared" si="103"/>
        <v>137532.22809944139</v>
      </c>
    </row>
    <row r="119" spans="1:56" x14ac:dyDescent="0.25">
      <c r="A119" s="228"/>
      <c r="B119" s="260"/>
      <c r="C119" s="260"/>
      <c r="D119" s="229"/>
      <c r="E119" s="230"/>
      <c r="F119" s="260"/>
      <c r="G119" s="260"/>
      <c r="H119" s="260"/>
      <c r="I119" s="260"/>
      <c r="J119" s="231"/>
      <c r="K119" s="102"/>
      <c r="L119" s="229"/>
      <c r="M119" s="231"/>
      <c r="N119" s="231"/>
      <c r="O119" s="230"/>
      <c r="P119" s="102"/>
      <c r="Q119" s="260"/>
      <c r="R119" s="260"/>
      <c r="S119" s="260"/>
      <c r="T119" s="229"/>
      <c r="U119" s="230"/>
      <c r="V119" s="230"/>
      <c r="W119" s="260"/>
      <c r="X119" s="260"/>
      <c r="Y119" s="86">
        <v>14</v>
      </c>
      <c r="Z119" s="86">
        <f t="shared" si="113"/>
        <v>38</v>
      </c>
      <c r="AA119" s="132">
        <f t="shared" si="114"/>
        <v>2901.9842014469746</v>
      </c>
      <c r="AB119" s="191">
        <f t="shared" si="104"/>
        <v>7.0963465584001296E-8</v>
      </c>
      <c r="AC119" s="153">
        <f t="shared" si="105"/>
        <v>6.5681391066181393E-6</v>
      </c>
      <c r="AD119" s="88">
        <f>AC119/($AA$102*$G$11*((AG119/2)+3.76))</f>
        <v>1.3722664834965394E-7</v>
      </c>
      <c r="AE119" s="96">
        <f>$G$12*$AA$102*$AC$28</f>
        <v>7.76</v>
      </c>
      <c r="AF119" s="96">
        <f>$G$13*$AA$102*$AC$28</f>
        <v>8.73</v>
      </c>
      <c r="AG119" s="134">
        <f>(($G$15/2)*(1-$AA$102)*$AC$28)</f>
        <v>0.37500000000000033</v>
      </c>
      <c r="AH119" s="144">
        <f>$G$14*$AC$28</f>
        <v>47.023800000000001</v>
      </c>
      <c r="AI119" s="152">
        <f t="shared" si="106"/>
        <v>1.2864998282780069E-3</v>
      </c>
      <c r="AJ119" s="142">
        <f t="shared" si="107"/>
        <v>0.16132296166661145</v>
      </c>
      <c r="AK119" s="163">
        <f t="shared" si="108"/>
        <v>4.1987251671933932E-7</v>
      </c>
      <c r="AL119" s="153">
        <f t="shared" si="109"/>
        <v>8.7672458910813705E-6</v>
      </c>
      <c r="AM119" s="144">
        <f t="shared" si="110"/>
        <v>47891.039208386042</v>
      </c>
      <c r="AP119" s="86">
        <v>15</v>
      </c>
      <c r="AQ119" s="86">
        <f t="shared" si="111"/>
        <v>40</v>
      </c>
      <c r="AR119" s="132">
        <f t="shared" si="112"/>
        <v>2923.6931141513533</v>
      </c>
      <c r="AS119" s="191">
        <f t="shared" si="97"/>
        <v>2.2892891702197819E-7</v>
      </c>
      <c r="AT119" s="153">
        <f t="shared" si="98"/>
        <v>6.5681391066181393E-6</v>
      </c>
      <c r="AU119" s="88">
        <f>AT119/($AR$101*$G$11*((AX119/2)+3.76))</f>
        <v>1.3163015588650725E-7</v>
      </c>
      <c r="AV119" s="96">
        <f>$G$12*$AR$101*$AC$28</f>
        <v>6</v>
      </c>
      <c r="AW119" s="96">
        <f>$G$13*$AR$101*$AC$28</f>
        <v>6.75</v>
      </c>
      <c r="AX119" s="134">
        <f>(($G$15/2)*(1-$AR$101)*$AC$28)</f>
        <v>3.125</v>
      </c>
      <c r="AY119" s="144">
        <f>$G$14*$AC$28</f>
        <v>47.023800000000001</v>
      </c>
      <c r="AZ119" s="152">
        <f t="shared" si="99"/>
        <v>1.028360592863338E-2</v>
      </c>
      <c r="BA119" s="142">
        <f t="shared" si="100"/>
        <v>0.1547437531093985</v>
      </c>
      <c r="BB119" s="163">
        <f t="shared" si="101"/>
        <v>1.1386814203925692E-6</v>
      </c>
      <c r="BC119" s="153">
        <f t="shared" si="102"/>
        <v>8.279378849074243E-6</v>
      </c>
      <c r="BD119" s="144">
        <f t="shared" si="103"/>
        <v>137532.22809944139</v>
      </c>
    </row>
    <row r="120" spans="1:56" ht="15.75" thickBot="1" x14ac:dyDescent="0.3">
      <c r="A120" s="224"/>
      <c r="B120" s="224"/>
      <c r="C120" s="229"/>
      <c r="D120" s="242"/>
      <c r="E120" s="230"/>
      <c r="F120" s="224"/>
      <c r="G120" s="224"/>
      <c r="H120" s="224"/>
      <c r="I120" s="231"/>
      <c r="J120" s="102"/>
      <c r="K120" s="229"/>
      <c r="L120" s="231"/>
      <c r="M120" s="230"/>
      <c r="N120" s="230"/>
      <c r="O120" s="102"/>
      <c r="Q120" s="260"/>
      <c r="R120" s="260"/>
      <c r="S120" s="260"/>
      <c r="T120" s="229"/>
      <c r="U120" s="230"/>
      <c r="V120" s="230"/>
      <c r="W120" s="260"/>
      <c r="X120" s="260"/>
      <c r="Y120" s="86">
        <v>15</v>
      </c>
      <c r="Z120" s="86">
        <f t="shared" si="113"/>
        <v>40</v>
      </c>
      <c r="AA120" s="132">
        <f t="shared" si="114"/>
        <v>2923.6931141513533</v>
      </c>
      <c r="AB120" s="191">
        <f t="shared" si="104"/>
        <v>8.4414269714449488E-8</v>
      </c>
      <c r="AC120" s="153">
        <f t="shared" si="105"/>
        <v>6.5681391066181393E-6</v>
      </c>
      <c r="AD120" s="88">
        <f>AC120/($AA$102*$G$11*((AG120/2)+3.76))</f>
        <v>1.3722664834965394E-7</v>
      </c>
      <c r="AE120" s="96">
        <f>$G$12*$AA$102*$AC$28</f>
        <v>7.76</v>
      </c>
      <c r="AF120" s="96">
        <f>$G$13*$AA$102*$AC$28</f>
        <v>8.73</v>
      </c>
      <c r="AG120" s="134">
        <f>(($G$15/2)*(1-$AA$102)*$AC$28)</f>
        <v>0.37500000000000033</v>
      </c>
      <c r="AH120" s="144">
        <f>$G$14*$AC$28</f>
        <v>47.023800000000001</v>
      </c>
      <c r="AI120" s="152">
        <f t="shared" si="106"/>
        <v>1.2864998282780069E-3</v>
      </c>
      <c r="AJ120" s="142">
        <f t="shared" si="107"/>
        <v>0.16132296166661145</v>
      </c>
      <c r="AK120" s="163">
        <f t="shared" si="108"/>
        <v>4.1987251671933932E-7</v>
      </c>
      <c r="AL120" s="153">
        <f t="shared" si="109"/>
        <v>8.7672458910813705E-6</v>
      </c>
      <c r="AM120" s="144">
        <f t="shared" si="110"/>
        <v>47891.039208386042</v>
      </c>
      <c r="AP120" s="249"/>
      <c r="AQ120" s="249"/>
      <c r="AR120" s="132"/>
      <c r="AS120" s="97"/>
      <c r="AT120" s="86"/>
      <c r="AU120" s="88"/>
      <c r="AV120" s="96"/>
      <c r="AW120" s="96"/>
      <c r="AX120" s="134"/>
      <c r="AY120" s="145"/>
      <c r="AZ120" s="152"/>
      <c r="BA120" s="143"/>
      <c r="BB120" s="143"/>
      <c r="BC120" s="162"/>
      <c r="BD120" s="144"/>
    </row>
    <row r="121" spans="1:56" ht="15.75" thickBot="1" x14ac:dyDescent="0.3">
      <c r="A121" s="224"/>
      <c r="B121" s="224"/>
      <c r="C121" s="229"/>
      <c r="D121" s="242"/>
      <c r="E121" s="230"/>
      <c r="F121" s="224"/>
      <c r="G121" s="224"/>
      <c r="H121" s="224"/>
      <c r="I121" s="231"/>
      <c r="J121" s="102"/>
      <c r="K121" s="229"/>
      <c r="L121" s="231"/>
      <c r="M121" s="230"/>
      <c r="N121" s="230"/>
      <c r="O121" s="102"/>
      <c r="Q121" s="260"/>
      <c r="R121" s="260"/>
      <c r="S121" s="260"/>
      <c r="T121" s="229"/>
      <c r="U121" s="230"/>
      <c r="V121" s="230"/>
      <c r="W121" s="260"/>
      <c r="X121" s="260"/>
      <c r="Y121" s="249"/>
      <c r="Z121" s="249"/>
      <c r="AA121" s="132"/>
      <c r="AB121" s="97"/>
      <c r="AC121" s="86"/>
      <c r="AD121" s="88"/>
      <c r="AE121" s="96"/>
      <c r="AF121" s="96"/>
      <c r="AG121" s="134"/>
      <c r="AH121" s="145"/>
      <c r="AI121" s="152"/>
      <c r="AJ121" s="143"/>
      <c r="AK121" s="143"/>
      <c r="AL121" s="162"/>
      <c r="AM121" s="144"/>
    </row>
    <row r="122" spans="1:56" ht="27" thickBot="1" x14ac:dyDescent="0.3">
      <c r="A122" s="224"/>
      <c r="B122" s="224"/>
      <c r="C122" s="229"/>
      <c r="D122" s="242"/>
      <c r="E122" s="230"/>
      <c r="F122" s="224"/>
      <c r="G122" s="224"/>
      <c r="H122" s="224"/>
      <c r="I122" s="231"/>
      <c r="J122" s="102"/>
      <c r="K122" s="229"/>
      <c r="L122" s="231"/>
      <c r="M122" s="230"/>
      <c r="N122" s="230"/>
      <c r="O122" s="102"/>
      <c r="Q122" s="260"/>
      <c r="R122" s="260"/>
      <c r="S122" s="260"/>
      <c r="T122" s="229"/>
      <c r="U122" s="230"/>
      <c r="V122" s="230"/>
      <c r="W122" s="260"/>
      <c r="X122" s="260"/>
      <c r="AP122" s="396" t="s">
        <v>29</v>
      </c>
      <c r="AQ122" s="397"/>
      <c r="AR122" s="400">
        <v>0.7</v>
      </c>
      <c r="AS122" s="401"/>
      <c r="AT122" s="401"/>
      <c r="AU122" s="401"/>
      <c r="AV122" s="401"/>
      <c r="AW122" s="401"/>
      <c r="AX122" s="401"/>
      <c r="AY122" s="401"/>
      <c r="AZ122" s="401"/>
      <c r="BA122" s="402"/>
      <c r="BB122" s="179"/>
    </row>
    <row r="123" spans="1:56" ht="27" thickBot="1" x14ac:dyDescent="0.3">
      <c r="A123" s="224"/>
      <c r="B123" s="260"/>
      <c r="C123" s="229"/>
      <c r="D123" s="428" t="s">
        <v>225</v>
      </c>
      <c r="E123" s="429"/>
      <c r="F123" s="429"/>
      <c r="G123" s="429"/>
      <c r="H123" s="429"/>
      <c r="I123" s="429"/>
      <c r="J123" s="429"/>
      <c r="K123" s="429"/>
      <c r="L123" s="429"/>
      <c r="M123" s="429"/>
      <c r="N123" s="429"/>
      <c r="O123" s="429"/>
      <c r="P123" s="430"/>
      <c r="Q123" s="260"/>
      <c r="R123" s="260"/>
      <c r="S123" s="260"/>
      <c r="T123" s="229"/>
      <c r="U123" s="230"/>
      <c r="V123" s="230"/>
      <c r="W123" s="260"/>
      <c r="X123" s="260"/>
      <c r="Y123" s="396" t="s">
        <v>29</v>
      </c>
      <c r="Z123" s="397"/>
      <c r="AA123" s="400">
        <v>0.96</v>
      </c>
      <c r="AB123" s="401"/>
      <c r="AC123" s="401"/>
      <c r="AD123" s="401"/>
      <c r="AE123" s="401"/>
      <c r="AF123" s="401"/>
      <c r="AG123" s="401"/>
      <c r="AH123" s="401"/>
      <c r="AI123" s="401"/>
      <c r="AJ123" s="402"/>
      <c r="AK123" s="179"/>
      <c r="AP123" s="398"/>
      <c r="AQ123" s="399"/>
      <c r="AR123" s="403"/>
      <c r="AS123" s="404"/>
      <c r="AT123" s="404"/>
      <c r="AU123" s="404"/>
      <c r="AV123" s="404"/>
      <c r="AW123" s="404"/>
      <c r="AX123" s="404"/>
      <c r="AY123" s="404"/>
      <c r="AZ123" s="404"/>
      <c r="BA123" s="405"/>
      <c r="BB123" s="179"/>
    </row>
    <row r="124" spans="1:56" ht="27" thickBot="1" x14ac:dyDescent="0.3">
      <c r="A124" s="224"/>
      <c r="B124" s="260"/>
      <c r="C124" s="229"/>
      <c r="D124" s="431"/>
      <c r="E124" s="432"/>
      <c r="F124" s="432"/>
      <c r="G124" s="432"/>
      <c r="H124" s="432"/>
      <c r="I124" s="432"/>
      <c r="J124" s="432"/>
      <c r="K124" s="432"/>
      <c r="L124" s="432"/>
      <c r="M124" s="432"/>
      <c r="N124" s="432"/>
      <c r="O124" s="432"/>
      <c r="P124" s="433"/>
      <c r="Q124" s="260"/>
      <c r="R124" s="260"/>
      <c r="S124" s="260"/>
      <c r="T124" s="229"/>
      <c r="U124" s="230"/>
      <c r="V124" s="230"/>
      <c r="W124" s="260"/>
      <c r="X124" s="260"/>
      <c r="Y124" s="398"/>
      <c r="Z124" s="399"/>
      <c r="AA124" s="403"/>
      <c r="AB124" s="404"/>
      <c r="AC124" s="404"/>
      <c r="AD124" s="404"/>
      <c r="AE124" s="404"/>
      <c r="AF124" s="404"/>
      <c r="AG124" s="404"/>
      <c r="AH124" s="404"/>
      <c r="AI124" s="404"/>
      <c r="AJ124" s="405"/>
      <c r="AK124" s="179"/>
      <c r="AP124" s="2" t="s">
        <v>73</v>
      </c>
      <c r="AQ124" s="2" t="s">
        <v>69</v>
      </c>
      <c r="AR124" s="245" t="s">
        <v>177</v>
      </c>
      <c r="AS124" s="2" t="s">
        <v>178</v>
      </c>
      <c r="AT124" s="251" t="s">
        <v>237</v>
      </c>
      <c r="AU124" s="2" t="s">
        <v>151</v>
      </c>
      <c r="AV124" s="251" t="s">
        <v>155</v>
      </c>
      <c r="AW124" s="252" t="s">
        <v>156</v>
      </c>
      <c r="AX124" s="251" t="s">
        <v>157</v>
      </c>
      <c r="AY124" s="251" t="s">
        <v>158</v>
      </c>
      <c r="AZ124" s="251" t="s">
        <v>180</v>
      </c>
      <c r="BA124" s="2" t="s">
        <v>181</v>
      </c>
      <c r="BB124" s="2" t="s">
        <v>185</v>
      </c>
      <c r="BC124" s="2" t="s">
        <v>182</v>
      </c>
      <c r="BD124" s="251" t="s">
        <v>183</v>
      </c>
    </row>
    <row r="125" spans="1:56" ht="18.75" thickBot="1" x14ac:dyDescent="0.3">
      <c r="A125" s="224"/>
      <c r="B125" s="343" t="s">
        <v>29</v>
      </c>
      <c r="C125" s="345"/>
      <c r="D125" s="422">
        <v>0.97</v>
      </c>
      <c r="E125" s="423"/>
      <c r="F125" s="423"/>
      <c r="G125" s="423"/>
      <c r="H125" s="423"/>
      <c r="I125" s="423"/>
      <c r="J125" s="423"/>
      <c r="K125" s="423"/>
      <c r="L125" s="423"/>
      <c r="M125" s="423"/>
      <c r="N125" s="423"/>
      <c r="O125" s="423"/>
      <c r="P125" s="424"/>
      <c r="Q125" s="260"/>
      <c r="R125" s="260"/>
      <c r="S125" s="260"/>
      <c r="T125" s="229"/>
      <c r="U125" s="230"/>
      <c r="V125" s="230"/>
      <c r="W125" s="260"/>
      <c r="X125" s="260"/>
      <c r="Y125" s="2" t="s">
        <v>73</v>
      </c>
      <c r="Z125" s="2" t="s">
        <v>69</v>
      </c>
      <c r="AA125" s="245" t="s">
        <v>177</v>
      </c>
      <c r="AB125" s="2" t="s">
        <v>178</v>
      </c>
      <c r="AC125" s="251" t="s">
        <v>237</v>
      </c>
      <c r="AD125" s="2" t="s">
        <v>151</v>
      </c>
      <c r="AE125" s="251" t="s">
        <v>155</v>
      </c>
      <c r="AF125" s="252" t="s">
        <v>156</v>
      </c>
      <c r="AG125" s="251" t="s">
        <v>157</v>
      </c>
      <c r="AH125" s="251" t="s">
        <v>158</v>
      </c>
      <c r="AI125" s="251" t="s">
        <v>180</v>
      </c>
      <c r="AJ125" s="2" t="s">
        <v>181</v>
      </c>
      <c r="AK125" s="2" t="s">
        <v>185</v>
      </c>
      <c r="AL125" s="2" t="s">
        <v>182</v>
      </c>
      <c r="AM125" s="251" t="s">
        <v>183</v>
      </c>
      <c r="AP125" s="86">
        <v>0</v>
      </c>
      <c r="AQ125" s="86">
        <v>10</v>
      </c>
      <c r="AR125" s="248">
        <v>2390.3031441465077</v>
      </c>
      <c r="AS125" s="191">
        <f>((4.7*10^13*BA125*(AZ125^0.5)*EXP($C$11/AR125))/($C$14*6))*$C$5*10^-6</f>
        <v>1.4403726552805325E-9</v>
      </c>
      <c r="AT125" s="153">
        <f>(((10^5*($C$4*$C$6)*10^-6)/($C$8*$C$7)))</f>
        <v>6.5681391066181393E-6</v>
      </c>
      <c r="AU125" s="88">
        <f>AT125/($AR$122*$G$11*((AX125/2)+3.76))</f>
        <v>1.3321108594991789E-7</v>
      </c>
      <c r="AV125" s="96">
        <f>$G$12*$AR$122*$AC$28</f>
        <v>5.6</v>
      </c>
      <c r="AW125" s="96">
        <f>$G$13*$AR$122*$AC$28</f>
        <v>6.3</v>
      </c>
      <c r="AX125" s="134">
        <f>(($G$15/2)*(1-$AR$122)*$AC$28)</f>
        <v>3.7500000000000004</v>
      </c>
      <c r="AY125" s="144">
        <f>$G$14*$AC$28</f>
        <v>47.023800000000001</v>
      </c>
      <c r="AZ125" s="152">
        <f>((AX125*AU125)/($C$5*10^-6))</f>
        <v>1.2488539307804806E-2</v>
      </c>
      <c r="BA125" s="151">
        <f>((AY125*AU125)/($C$5*10^-6))</f>
        <v>0.15660228658729375</v>
      </c>
      <c r="BB125" s="163">
        <f>SUM($AS$125:$AS$140)</f>
        <v>1.2699023214411637E-6</v>
      </c>
      <c r="BC125" s="161">
        <f>AU125*(AV125+AW125+AX125+AY125)</f>
        <v>8.3488449586079632E-6</v>
      </c>
      <c r="BD125" s="144">
        <f>(BB125/BC125)*10^6</f>
        <v>152105.15080075216</v>
      </c>
    </row>
    <row r="126" spans="1:56" ht="15.75" thickBot="1" x14ac:dyDescent="0.3">
      <c r="A126" s="224"/>
      <c r="B126" s="346"/>
      <c r="C126" s="348"/>
      <c r="D126" s="425"/>
      <c r="E126" s="426"/>
      <c r="F126" s="426"/>
      <c r="G126" s="426"/>
      <c r="H126" s="426"/>
      <c r="I126" s="426"/>
      <c r="J126" s="426"/>
      <c r="K126" s="426"/>
      <c r="L126" s="426"/>
      <c r="M126" s="426"/>
      <c r="N126" s="426"/>
      <c r="O126" s="426"/>
      <c r="P126" s="427"/>
      <c r="Q126" s="260"/>
      <c r="R126" s="260"/>
      <c r="S126" s="260"/>
      <c r="T126" s="229"/>
      <c r="U126" s="230"/>
      <c r="V126" s="260"/>
      <c r="W126" s="260"/>
      <c r="X126" s="260"/>
      <c r="Y126" s="86">
        <v>0</v>
      </c>
      <c r="Z126" s="86">
        <v>10</v>
      </c>
      <c r="AA126" s="248">
        <v>2390.3031441465077</v>
      </c>
      <c r="AB126" s="191">
        <f>((4.7*10^13*AJ126*(AI126^0.5)*EXP($C$11/AA126))/($C$14*6))*$C$5*10^-6</f>
        <v>5.4551760196918457E-10</v>
      </c>
      <c r="AC126" s="153">
        <f>(((10^5*($C$4*$C$6)*10^-6)/($C$8*$C$7)))</f>
        <v>6.5681391066181393E-6</v>
      </c>
      <c r="AD126" s="88">
        <f>AC126/($AA$123*$G$11*((AG126/2)+3.76))</f>
        <v>1.3649499390312011E-7</v>
      </c>
      <c r="AE126" s="96">
        <f>$G$12*$AA$123*$AC$28</f>
        <v>7.68</v>
      </c>
      <c r="AF126" s="96">
        <f>$G$13*$AA$123*$AC$28</f>
        <v>8.64</v>
      </c>
      <c r="AG126" s="134">
        <f>(($G$15/2)*(1-$AA$123)*$AC$28)</f>
        <v>0.50000000000000044</v>
      </c>
      <c r="AH126" s="144">
        <f>$G$14*$AC$28</f>
        <v>47.023800000000001</v>
      </c>
      <c r="AI126" s="152">
        <f>((AG126*AD126)/($C$5*10^-6))</f>
        <v>1.7061874237890033E-3</v>
      </c>
      <c r="AJ126" s="151">
        <f>((AH126*AD126)/($C$5*10^-6))</f>
        <v>0.16046283235753853</v>
      </c>
      <c r="AK126" s="163">
        <f>SUM($AB$126:$AB$141)</f>
        <v>4.8095474916715973E-7</v>
      </c>
      <c r="AL126" s="161">
        <f>AD126*(AE126+AF126+AG126+AH126)</f>
        <v>8.7143590917520203E-6</v>
      </c>
      <c r="AM126" s="144">
        <f>(AK126/AL126)*10^6</f>
        <v>55191.063864051059</v>
      </c>
      <c r="AP126" s="86">
        <v>1</v>
      </c>
      <c r="AQ126" s="86">
        <f>AQ125+2</f>
        <v>12</v>
      </c>
      <c r="AR126" s="132">
        <f>(AR125*((AQ126/AQ125)^(($C$13-1)/$C$13)))</f>
        <v>2454.4712538274748</v>
      </c>
      <c r="AS126" s="191">
        <f t="shared" ref="AS126:AS140" si="115">((4.7*10^13*BA126*(AZ126^0.5)*EXP($C$11/AR126))/($C$14*6))*$C$5*10^-6</f>
        <v>3.0248224434017273E-9</v>
      </c>
      <c r="AT126" s="153">
        <f t="shared" ref="AT126:AT140" si="116">(((10^5*($C$4*$C$6)*10^-6)/($C$8*$C$7)))</f>
        <v>6.5681391066181393E-6</v>
      </c>
      <c r="AU126" s="88">
        <f>AT126/($AR$122*$G$11*((AX126/2)+3.76))</f>
        <v>1.3321108594991789E-7</v>
      </c>
      <c r="AV126" s="96">
        <f>$G$12*$AR$122*$AC$28</f>
        <v>5.6</v>
      </c>
      <c r="AW126" s="96">
        <f>$G$13*$AR$122*$AC$28</f>
        <v>6.3</v>
      </c>
      <c r="AX126" s="134">
        <f>(($G$15/2)*(1-$AR$122)*$AC$28)</f>
        <v>3.7500000000000004</v>
      </c>
      <c r="AY126" s="144">
        <f>$G$14*$AC$28</f>
        <v>47.023800000000001</v>
      </c>
      <c r="AZ126" s="152">
        <f t="shared" ref="AZ126:AZ140" si="117">((AX126*AU126)/($C$5*10^-6))</f>
        <v>1.2488539307804806E-2</v>
      </c>
      <c r="BA126" s="142">
        <f t="shared" ref="BA126:BA141" si="118">((AY126*AU126)/($C$5*10^-6))</f>
        <v>0.15660228658729375</v>
      </c>
      <c r="BB126" s="163">
        <f t="shared" ref="BB126:BB140" si="119">SUM($AS$125:$AS$140)</f>
        <v>1.2699023214411637E-6</v>
      </c>
      <c r="BC126" s="153">
        <f t="shared" ref="BC126:BC140" si="120">AU126*(AV126+AW126+AX126+AY126)</f>
        <v>8.3488449586079632E-6</v>
      </c>
      <c r="BD126" s="144">
        <f t="shared" ref="BD126:BD140" si="121">(BB126/BC126)*10^6</f>
        <v>152105.15080075216</v>
      </c>
    </row>
    <row r="127" spans="1:56" ht="24.75" thickBot="1" x14ac:dyDescent="0.3">
      <c r="A127" s="224"/>
      <c r="B127" s="443" t="s">
        <v>73</v>
      </c>
      <c r="C127" s="443" t="s">
        <v>69</v>
      </c>
      <c r="D127" s="444" t="s">
        <v>177</v>
      </c>
      <c r="E127" s="253" t="s">
        <v>178</v>
      </c>
      <c r="F127" s="445" t="s">
        <v>173</v>
      </c>
      <c r="G127" s="253" t="s">
        <v>151</v>
      </c>
      <c r="H127" s="445" t="s">
        <v>226</v>
      </c>
      <c r="I127" s="263" t="s">
        <v>227</v>
      </c>
      <c r="J127" s="445" t="s">
        <v>228</v>
      </c>
      <c r="K127" s="445" t="s">
        <v>229</v>
      </c>
      <c r="L127" s="253" t="s">
        <v>230</v>
      </c>
      <c r="M127" s="253" t="s">
        <v>231</v>
      </c>
      <c r="N127" s="253" t="s">
        <v>185</v>
      </c>
      <c r="O127" s="253" t="s">
        <v>182</v>
      </c>
      <c r="P127" s="445" t="s">
        <v>183</v>
      </c>
      <c r="Q127" s="260"/>
      <c r="R127" s="260"/>
      <c r="S127" s="260"/>
      <c r="T127" s="260"/>
      <c r="U127" s="260"/>
      <c r="V127" s="260"/>
      <c r="W127" s="260"/>
      <c r="X127" s="260"/>
      <c r="Y127" s="86">
        <v>1</v>
      </c>
      <c r="Z127" s="86">
        <f>Z126+2</f>
        <v>12</v>
      </c>
      <c r="AA127" s="132">
        <f>(AA126*((Z127/Z126)^(($C$13-1)/$C$13)))</f>
        <v>2454.4712538274748</v>
      </c>
      <c r="AB127" s="191">
        <f t="shared" ref="AB127:AB141" si="122">((4.7*10^13*AJ127*(AI127^0.5)*EXP($C$11/AA127))/($C$14*6))*$C$5*10^-6</f>
        <v>1.1456020632283533E-9</v>
      </c>
      <c r="AC127" s="153">
        <f t="shared" ref="AC127:AC141" si="123">(((10^5*($C$4*$C$6)*10^-6)/($C$8*$C$7)))</f>
        <v>6.5681391066181393E-6</v>
      </c>
      <c r="AD127" s="88">
        <f>AC127/($AA$123*$G$11*((AG127/2)+3.76))</f>
        <v>1.3649499390312011E-7</v>
      </c>
      <c r="AE127" s="96">
        <f>$G$12*$AA$123*$AC$28</f>
        <v>7.68</v>
      </c>
      <c r="AF127" s="96">
        <f>$G$13*$AA$123*$AC$28</f>
        <v>8.64</v>
      </c>
      <c r="AG127" s="134">
        <f>(($G$15/2)*(1-$AA$123)*$AC$28)</f>
        <v>0.50000000000000044</v>
      </c>
      <c r="AH127" s="144">
        <f>$G$14*$AC$28</f>
        <v>47.023800000000001</v>
      </c>
      <c r="AI127" s="152">
        <f t="shared" ref="AI127:AI141" si="124">((AG127*AD127)/($C$5*10^-6))</f>
        <v>1.7061874237890033E-3</v>
      </c>
      <c r="AJ127" s="142">
        <f t="shared" ref="AJ127:AJ142" si="125">((AH127*AD127)/($C$5*10^-6))</f>
        <v>0.16046283235753853</v>
      </c>
      <c r="AK127" s="163">
        <f t="shared" ref="AK127:AK141" si="126">SUM($AB$126:$AB$141)</f>
        <v>4.8095474916715973E-7</v>
      </c>
      <c r="AL127" s="153">
        <f t="shared" ref="AL127:AL141" si="127">AD127*(AE127+AF127+AG127+AH127)</f>
        <v>8.7143590917520203E-6</v>
      </c>
      <c r="AM127" s="144">
        <f t="shared" ref="AM127:AM141" si="128">(AK127/AL127)*10^6</f>
        <v>55191.063864051059</v>
      </c>
      <c r="AP127" s="86">
        <v>2</v>
      </c>
      <c r="AQ127" s="86">
        <f t="shared" ref="AQ127:AQ140" si="129">AQ126+2</f>
        <v>14</v>
      </c>
      <c r="AR127" s="132">
        <f t="shared" ref="AR127:AR140" si="130">(AR126*((AQ127/AQ126)^(($C$13-1)/$C$13)))</f>
        <v>2510.0666958766406</v>
      </c>
      <c r="AS127" s="191">
        <f t="shared" si="115"/>
        <v>5.5789974792645606E-9</v>
      </c>
      <c r="AT127" s="153">
        <f t="shared" si="116"/>
        <v>6.5681391066181393E-6</v>
      </c>
      <c r="AU127" s="88">
        <f>AT127/($AR$122*$G$11*((AX127/2)+3.76))</f>
        <v>1.3321108594991789E-7</v>
      </c>
      <c r="AV127" s="96">
        <f>$G$12*$AR$122*$AC$28</f>
        <v>5.6</v>
      </c>
      <c r="AW127" s="96">
        <f>$G$13*$AR$122*$AC$28</f>
        <v>6.3</v>
      </c>
      <c r="AX127" s="134">
        <f>(($G$15/2)*(1-$AR$122)*$AC$28)</f>
        <v>3.7500000000000004</v>
      </c>
      <c r="AY127" s="144">
        <f>$G$14*$AC$28</f>
        <v>47.023800000000001</v>
      </c>
      <c r="AZ127" s="152">
        <f t="shared" si="117"/>
        <v>1.2488539307804806E-2</v>
      </c>
      <c r="BA127" s="142">
        <f t="shared" si="118"/>
        <v>0.15660228658729375</v>
      </c>
      <c r="BB127" s="163">
        <f t="shared" si="119"/>
        <v>1.2699023214411637E-6</v>
      </c>
      <c r="BC127" s="153">
        <f t="shared" si="120"/>
        <v>8.3488449586079632E-6</v>
      </c>
      <c r="BD127" s="144">
        <f t="shared" si="121"/>
        <v>152105.15080075216</v>
      </c>
    </row>
    <row r="128" spans="1:56" x14ac:dyDescent="0.25">
      <c r="A128" s="224"/>
      <c r="B128" s="86">
        <v>0</v>
      </c>
      <c r="C128" s="86">
        <v>10</v>
      </c>
      <c r="D128" s="246">
        <v>2004.898583949637</v>
      </c>
      <c r="E128" s="153">
        <f>((4.7*10^13*M128*(L128^0.5)*EXP($C$11/D128))/($C$14*6))*$C$5*10^-6</f>
        <v>2.6370707400541352E-12</v>
      </c>
      <c r="F128" s="153">
        <f>(((10^5*($C$4*$C$6)*10^-6)/($C$8*$C$7)))</f>
        <v>6.5681391066181393E-6</v>
      </c>
      <c r="G128" s="88">
        <f>F128/($D$76*$G$11*((J128/2)+3.76))</f>
        <v>1.3593530598751791E-7</v>
      </c>
      <c r="H128" s="96">
        <f>$G$12*$D$52*1.2</f>
        <v>9.3119999999999994</v>
      </c>
      <c r="I128" s="144">
        <f>$D$100*$G$13*1.2</f>
        <v>10.476000000000001</v>
      </c>
      <c r="J128" s="134">
        <f>(($G$15/2)*(1-$D$52)*1.2)</f>
        <v>0.4500000000000004</v>
      </c>
      <c r="K128" s="144">
        <f>$G$14*1.2</f>
        <v>56.428559999999997</v>
      </c>
      <c r="L128" s="440">
        <f t="shared" ref="L128:L143" si="131">((J128*G128)/($C$5*10^-6))</f>
        <v>1.5292721923595781E-3</v>
      </c>
      <c r="M128" s="137">
        <f t="shared" ref="M128:M143" si="132">((K128*G128)/($C$5*10^-6))</f>
        <v>0.19176583925087537</v>
      </c>
      <c r="N128" s="163">
        <f>SUM(E128:E143)</f>
        <v>5.5791319068568431E-9</v>
      </c>
      <c r="O128" s="164">
        <f t="shared" ref="O128:O143" si="133">G128*(H128+I128+J128+K128)</f>
        <v>1.0421692292610402E-5</v>
      </c>
      <c r="P128" s="144">
        <f>(N128/O128)*10^6</f>
        <v>535.33838365317877</v>
      </c>
      <c r="Q128" s="260"/>
      <c r="R128" s="260"/>
      <c r="S128" s="260"/>
      <c r="T128" s="260"/>
      <c r="U128" s="260"/>
      <c r="V128" s="260"/>
      <c r="W128" s="260"/>
      <c r="X128" s="260"/>
      <c r="Y128" s="86">
        <v>2</v>
      </c>
      <c r="Z128" s="86">
        <f t="shared" ref="Z128:Z141" si="134">Z127+2</f>
        <v>14</v>
      </c>
      <c r="AA128" s="132">
        <f t="shared" ref="AA128:AA141" si="135">(AA127*((Z128/Z127)^(($C$13-1)/$C$13)))</f>
        <v>2510.0666958766406</v>
      </c>
      <c r="AB128" s="191">
        <f t="shared" si="122"/>
        <v>2.1129541130366546E-9</v>
      </c>
      <c r="AC128" s="153">
        <f t="shared" si="123"/>
        <v>6.5681391066181393E-6</v>
      </c>
      <c r="AD128" s="88">
        <f>AC128/($AA$123*$G$11*((AG128/2)+3.76))</f>
        <v>1.3649499390312011E-7</v>
      </c>
      <c r="AE128" s="96">
        <f>$G$12*$AA$123*$AC$28</f>
        <v>7.68</v>
      </c>
      <c r="AF128" s="96">
        <f>$G$13*$AA$123*$AC$28</f>
        <v>8.64</v>
      </c>
      <c r="AG128" s="134">
        <f>(($G$15/2)*(1-$AA$123)*$AC$28)</f>
        <v>0.50000000000000044</v>
      </c>
      <c r="AH128" s="144">
        <f>$G$14*$AC$28</f>
        <v>47.023800000000001</v>
      </c>
      <c r="AI128" s="152">
        <f t="shared" si="124"/>
        <v>1.7061874237890033E-3</v>
      </c>
      <c r="AJ128" s="142">
        <f t="shared" si="125"/>
        <v>0.16046283235753853</v>
      </c>
      <c r="AK128" s="163">
        <f t="shared" si="126"/>
        <v>4.8095474916715973E-7</v>
      </c>
      <c r="AL128" s="153">
        <f t="shared" si="127"/>
        <v>8.7143590917520203E-6</v>
      </c>
      <c r="AM128" s="144">
        <f t="shared" si="128"/>
        <v>55191.063864051059</v>
      </c>
      <c r="AP128" s="86">
        <v>3</v>
      </c>
      <c r="AQ128" s="86">
        <f t="shared" si="129"/>
        <v>16</v>
      </c>
      <c r="AR128" s="132">
        <f t="shared" si="130"/>
        <v>2559.2425148554435</v>
      </c>
      <c r="AS128" s="191">
        <f t="shared" si="115"/>
        <v>9.3774974818327083E-9</v>
      </c>
      <c r="AT128" s="153">
        <f t="shared" si="116"/>
        <v>6.5681391066181393E-6</v>
      </c>
      <c r="AU128" s="88">
        <f>AT128/($AR$122*$G$11*((AX128/2)+3.76))</f>
        <v>1.3321108594991789E-7</v>
      </c>
      <c r="AV128" s="96">
        <f>$G$12*$AR$122*$AC$28</f>
        <v>5.6</v>
      </c>
      <c r="AW128" s="96">
        <f>$G$13*$AR$122*$AC$28</f>
        <v>6.3</v>
      </c>
      <c r="AX128" s="134">
        <f>(($G$15/2)*(1-$AR$122)*$AC$28)</f>
        <v>3.7500000000000004</v>
      </c>
      <c r="AY128" s="144">
        <f>$G$14*$AC$28</f>
        <v>47.023800000000001</v>
      </c>
      <c r="AZ128" s="152">
        <f t="shared" si="117"/>
        <v>1.2488539307804806E-2</v>
      </c>
      <c r="BA128" s="142">
        <f t="shared" si="118"/>
        <v>0.15660228658729375</v>
      </c>
      <c r="BB128" s="163">
        <f t="shared" si="119"/>
        <v>1.2699023214411637E-6</v>
      </c>
      <c r="BC128" s="153">
        <f t="shared" si="120"/>
        <v>8.3488449586079632E-6</v>
      </c>
      <c r="BD128" s="144">
        <f t="shared" si="121"/>
        <v>152105.15080075216</v>
      </c>
    </row>
    <row r="129" spans="1:56" ht="21" x14ac:dyDescent="0.25">
      <c r="A129" s="224"/>
      <c r="B129" s="86">
        <v>1</v>
      </c>
      <c r="C129" s="86">
        <f>C128+2</f>
        <v>12</v>
      </c>
      <c r="D129" s="132">
        <f>(D128*((C129/C128)^(($C$13-1)/$C$13)))</f>
        <v>2058.7204402062966</v>
      </c>
      <c r="E129" s="153">
        <f t="shared" ref="E129:E143" si="136">((4.7*10^13*M129*(L129^0.5)*EXP($C$11/D129))/($C$14*6))*$C$5*10^-6</f>
        <v>6.3868774209301038E-12</v>
      </c>
      <c r="F129" s="153">
        <f t="shared" ref="F129:F143" si="137">(((10^5*($C$4*$C$6)*10^-6)/($C$8*$C$7)))</f>
        <v>6.5681391066181393E-6</v>
      </c>
      <c r="G129" s="88">
        <f>F129/($D$76*$G$11*((J129/2)+3.76))</f>
        <v>1.3593530598751791E-7</v>
      </c>
      <c r="H129" s="96">
        <f t="shared" ref="H129:H143" si="138">$G$12*$D$52*1.2</f>
        <v>9.3119999999999994</v>
      </c>
      <c r="I129" s="144">
        <f t="shared" ref="I129:I143" si="139">$D$100*$G$13*1.2</f>
        <v>10.476000000000001</v>
      </c>
      <c r="J129" s="134">
        <f t="shared" ref="J129:J143" si="140">(($G$15/2)*(1-$D$52)*1.2)</f>
        <v>0.4500000000000004</v>
      </c>
      <c r="K129" s="144">
        <f t="shared" ref="K129:K143" si="141">$G$14*1.2</f>
        <v>56.428559999999997</v>
      </c>
      <c r="L129" s="193">
        <f t="shared" si="131"/>
        <v>1.5292721923595781E-3</v>
      </c>
      <c r="M129" s="136">
        <f t="shared" si="132"/>
        <v>0.19176583925087537</v>
      </c>
      <c r="N129" s="163">
        <f t="shared" ref="N129:N143" si="142">SUM(E129:E144)</f>
        <v>5.5764948361167887E-9</v>
      </c>
      <c r="O129" s="165">
        <f t="shared" si="133"/>
        <v>1.0421692292610402E-5</v>
      </c>
      <c r="P129" s="144">
        <f t="shared" ref="P129:P143" si="143">(N129/O129)*10^6</f>
        <v>535.08534694224795</v>
      </c>
      <c r="Q129" s="260"/>
      <c r="R129" s="209"/>
      <c r="S129" s="209"/>
      <c r="T129" s="209"/>
      <c r="U129" s="209"/>
      <c r="V129" s="209"/>
      <c r="W129" s="209"/>
      <c r="X129" s="209"/>
      <c r="Y129" s="86">
        <v>3</v>
      </c>
      <c r="Z129" s="86">
        <f t="shared" si="134"/>
        <v>16</v>
      </c>
      <c r="AA129" s="132">
        <f t="shared" si="135"/>
        <v>2559.2425148554435</v>
      </c>
      <c r="AB129" s="191">
        <f t="shared" si="122"/>
        <v>3.5515739069380729E-9</v>
      </c>
      <c r="AC129" s="153">
        <f t="shared" si="123"/>
        <v>6.5681391066181393E-6</v>
      </c>
      <c r="AD129" s="88">
        <f>AC129/($AA$123*$G$11*((AG129/2)+3.76))</f>
        <v>1.3649499390312011E-7</v>
      </c>
      <c r="AE129" s="96">
        <f>$G$12*$AA$123*$AC$28</f>
        <v>7.68</v>
      </c>
      <c r="AF129" s="96">
        <f>$G$13*$AA$123*$AC$28</f>
        <v>8.64</v>
      </c>
      <c r="AG129" s="134">
        <f>(($G$15/2)*(1-$AA$123)*$AC$28)</f>
        <v>0.50000000000000044</v>
      </c>
      <c r="AH129" s="144">
        <f>$G$14*$AC$28</f>
        <v>47.023800000000001</v>
      </c>
      <c r="AI129" s="152">
        <f t="shared" si="124"/>
        <v>1.7061874237890033E-3</v>
      </c>
      <c r="AJ129" s="142">
        <f t="shared" si="125"/>
        <v>0.16046283235753853</v>
      </c>
      <c r="AK129" s="163">
        <f t="shared" si="126"/>
        <v>4.8095474916715973E-7</v>
      </c>
      <c r="AL129" s="153">
        <f t="shared" si="127"/>
        <v>8.7143590917520203E-6</v>
      </c>
      <c r="AM129" s="144">
        <f t="shared" si="128"/>
        <v>55191.063864051059</v>
      </c>
      <c r="AP129" s="86">
        <v>4</v>
      </c>
      <c r="AQ129" s="86">
        <f t="shared" si="129"/>
        <v>18</v>
      </c>
      <c r="AR129" s="132">
        <f t="shared" si="130"/>
        <v>2603.4177381529535</v>
      </c>
      <c r="AS129" s="191">
        <f t="shared" si="115"/>
        <v>1.4703455316150012E-8</v>
      </c>
      <c r="AT129" s="153">
        <f t="shared" si="116"/>
        <v>6.5681391066181393E-6</v>
      </c>
      <c r="AU129" s="88">
        <f>AT129/($AR$122*$G$11*((AX129/2)+3.76))</f>
        <v>1.3321108594991789E-7</v>
      </c>
      <c r="AV129" s="96">
        <f>$G$12*$AR$122*$AC$28</f>
        <v>5.6</v>
      </c>
      <c r="AW129" s="96">
        <f>$G$13*$AR$122*$AC$28</f>
        <v>6.3</v>
      </c>
      <c r="AX129" s="134">
        <f>(($G$15/2)*(1-$AR$122)*$AC$28)</f>
        <v>3.7500000000000004</v>
      </c>
      <c r="AY129" s="144">
        <f>$G$14*$AC$28</f>
        <v>47.023800000000001</v>
      </c>
      <c r="AZ129" s="152">
        <f t="shared" si="117"/>
        <v>1.2488539307804806E-2</v>
      </c>
      <c r="BA129" s="142">
        <f t="shared" si="118"/>
        <v>0.15660228658729375</v>
      </c>
      <c r="BB129" s="163">
        <f t="shared" si="119"/>
        <v>1.2699023214411637E-6</v>
      </c>
      <c r="BC129" s="153">
        <f t="shared" si="120"/>
        <v>8.3488449586079632E-6</v>
      </c>
      <c r="BD129" s="144">
        <f t="shared" si="121"/>
        <v>152105.15080075216</v>
      </c>
    </row>
    <row r="130" spans="1:56" ht="21.75" thickBot="1" x14ac:dyDescent="0.3">
      <c r="A130" s="241"/>
      <c r="B130" s="86">
        <v>2</v>
      </c>
      <c r="C130" s="86">
        <f t="shared" ref="C130:C143" si="144">C129+2</f>
        <v>14</v>
      </c>
      <c r="D130" s="132">
        <f>(D129*((C130/C129)^(($C$13-1)/$C$13)))</f>
        <v>2105.3518573599672</v>
      </c>
      <c r="E130" s="153">
        <f t="shared" si="136"/>
        <v>1.3251065394890659E-11</v>
      </c>
      <c r="F130" s="153">
        <f t="shared" si="137"/>
        <v>6.5681391066181393E-6</v>
      </c>
      <c r="G130" s="88">
        <f>F130/($D$76*$G$11*((J130/2)+3.76))</f>
        <v>1.3593530598751791E-7</v>
      </c>
      <c r="H130" s="96">
        <f t="shared" si="138"/>
        <v>9.3119999999999994</v>
      </c>
      <c r="I130" s="144">
        <f t="shared" si="139"/>
        <v>10.476000000000001</v>
      </c>
      <c r="J130" s="134">
        <f t="shared" si="140"/>
        <v>0.4500000000000004</v>
      </c>
      <c r="K130" s="144">
        <f t="shared" si="141"/>
        <v>56.428559999999997</v>
      </c>
      <c r="L130" s="193">
        <f t="shared" si="131"/>
        <v>1.5292721923595781E-3</v>
      </c>
      <c r="M130" s="136">
        <f t="shared" si="132"/>
        <v>0.19176583925087537</v>
      </c>
      <c r="N130" s="163">
        <f t="shared" si="142"/>
        <v>5.5701079586958587E-9</v>
      </c>
      <c r="O130" s="165">
        <f t="shared" si="133"/>
        <v>1.0421692292610402E-5</v>
      </c>
      <c r="P130" s="144">
        <f t="shared" si="143"/>
        <v>534.47250238288029</v>
      </c>
      <c r="Q130" s="260"/>
      <c r="R130" s="209"/>
      <c r="S130" s="209"/>
      <c r="T130" s="209"/>
      <c r="U130" s="209"/>
      <c r="V130" s="209"/>
      <c r="W130" s="209"/>
      <c r="X130" s="209"/>
      <c r="Y130" s="86">
        <v>4</v>
      </c>
      <c r="Z130" s="86">
        <f t="shared" si="134"/>
        <v>18</v>
      </c>
      <c r="AA130" s="132">
        <f t="shared" si="135"/>
        <v>2603.4177381529535</v>
      </c>
      <c r="AB130" s="191">
        <f t="shared" si="122"/>
        <v>5.56869339009009E-9</v>
      </c>
      <c r="AC130" s="153">
        <f t="shared" si="123"/>
        <v>6.5681391066181393E-6</v>
      </c>
      <c r="AD130" s="88">
        <f>AC130/($AA$123*$G$11*((AG130/2)+3.76))</f>
        <v>1.3649499390312011E-7</v>
      </c>
      <c r="AE130" s="96">
        <f>$G$12*$AA$123*$AC$28</f>
        <v>7.68</v>
      </c>
      <c r="AF130" s="96">
        <f>$G$13*$AA$123*$AC$28</f>
        <v>8.64</v>
      </c>
      <c r="AG130" s="134">
        <f>(($G$15/2)*(1-$AA$123)*$AC$28)</f>
        <v>0.50000000000000044</v>
      </c>
      <c r="AH130" s="144">
        <f>$G$14*$AC$28</f>
        <v>47.023800000000001</v>
      </c>
      <c r="AI130" s="152">
        <f t="shared" si="124"/>
        <v>1.7061874237890033E-3</v>
      </c>
      <c r="AJ130" s="142">
        <f t="shared" si="125"/>
        <v>0.16046283235753853</v>
      </c>
      <c r="AK130" s="163">
        <f t="shared" si="126"/>
        <v>4.8095474916715973E-7</v>
      </c>
      <c r="AL130" s="153">
        <f t="shared" si="127"/>
        <v>8.7143590917520203E-6</v>
      </c>
      <c r="AM130" s="144">
        <f t="shared" si="128"/>
        <v>55191.063864051059</v>
      </c>
      <c r="AP130" s="86">
        <v>5</v>
      </c>
      <c r="AQ130" s="86">
        <f t="shared" si="129"/>
        <v>20</v>
      </c>
      <c r="AR130" s="132">
        <f t="shared" si="130"/>
        <v>2643.5795511532228</v>
      </c>
      <c r="AS130" s="191">
        <f t="shared" si="115"/>
        <v>2.1844396099136823E-8</v>
      </c>
      <c r="AT130" s="153">
        <f t="shared" si="116"/>
        <v>6.5681391066181393E-6</v>
      </c>
      <c r="AU130" s="88">
        <f>AT130/($AR$122*$G$11*((AX130/2)+3.76))</f>
        <v>1.3321108594991789E-7</v>
      </c>
      <c r="AV130" s="96">
        <f>$G$12*$AR$122*$AC$28</f>
        <v>5.6</v>
      </c>
      <c r="AW130" s="96">
        <f>$G$13*$AR$122*$AC$28</f>
        <v>6.3</v>
      </c>
      <c r="AX130" s="134">
        <f>(($G$15/2)*(1-$AR$122)*$AC$28)</f>
        <v>3.7500000000000004</v>
      </c>
      <c r="AY130" s="144">
        <f>$G$14*$AC$28</f>
        <v>47.023800000000001</v>
      </c>
      <c r="AZ130" s="152">
        <f t="shared" si="117"/>
        <v>1.2488539307804806E-2</v>
      </c>
      <c r="BA130" s="142">
        <f t="shared" si="118"/>
        <v>0.15660228658729375</v>
      </c>
      <c r="BB130" s="163">
        <f t="shared" si="119"/>
        <v>1.2699023214411637E-6</v>
      </c>
      <c r="BC130" s="153">
        <f t="shared" si="120"/>
        <v>8.3488449586079632E-6</v>
      </c>
      <c r="BD130" s="144">
        <f t="shared" si="121"/>
        <v>152105.15080075216</v>
      </c>
    </row>
    <row r="131" spans="1:56" ht="18.75" x14ac:dyDescent="0.25">
      <c r="A131" s="241"/>
      <c r="B131" s="86">
        <v>3</v>
      </c>
      <c r="C131" s="86">
        <f t="shared" si="144"/>
        <v>16</v>
      </c>
      <c r="D131" s="132">
        <f>(D130*((C131/C130)^(($C$13-1)/$C$13)))</f>
        <v>2146.5987301997588</v>
      </c>
      <c r="E131" s="153">
        <f t="shared" si="136"/>
        <v>2.4611364873409428E-11</v>
      </c>
      <c r="F131" s="153">
        <f t="shared" si="137"/>
        <v>6.5681391066181393E-6</v>
      </c>
      <c r="G131" s="88">
        <f>F131/($D$76*$G$11*((J131/2)+3.76))</f>
        <v>1.3593530598751791E-7</v>
      </c>
      <c r="H131" s="96">
        <f t="shared" si="138"/>
        <v>9.3119999999999994</v>
      </c>
      <c r="I131" s="144">
        <f t="shared" si="139"/>
        <v>10.476000000000001</v>
      </c>
      <c r="J131" s="134">
        <f t="shared" si="140"/>
        <v>0.4500000000000004</v>
      </c>
      <c r="K131" s="144">
        <f t="shared" si="141"/>
        <v>56.428559999999997</v>
      </c>
      <c r="L131" s="193">
        <f t="shared" si="131"/>
        <v>1.5292721923595781E-3</v>
      </c>
      <c r="M131" s="136">
        <f t="shared" si="132"/>
        <v>0.19176583925087537</v>
      </c>
      <c r="N131" s="163">
        <f t="shared" si="142"/>
        <v>5.5568568933009691E-9</v>
      </c>
      <c r="O131" s="165">
        <f t="shared" si="133"/>
        <v>1.0421692292610402E-5</v>
      </c>
      <c r="P131" s="144">
        <f t="shared" si="143"/>
        <v>533.2010135475897</v>
      </c>
      <c r="Q131" s="260"/>
      <c r="R131" s="299" t="s">
        <v>58</v>
      </c>
      <c r="S131" s="420"/>
      <c r="T131" s="420"/>
      <c r="U131" s="300"/>
      <c r="V131" s="260"/>
      <c r="W131" s="260"/>
      <c r="X131" s="260"/>
      <c r="Y131" s="86">
        <v>5</v>
      </c>
      <c r="Z131" s="86">
        <f t="shared" si="134"/>
        <v>20</v>
      </c>
      <c r="AA131" s="132">
        <f t="shared" si="135"/>
        <v>2643.5795511532228</v>
      </c>
      <c r="AB131" s="191">
        <f t="shared" si="122"/>
        <v>8.2732080012621643E-9</v>
      </c>
      <c r="AC131" s="153">
        <f t="shared" si="123"/>
        <v>6.5681391066181393E-6</v>
      </c>
      <c r="AD131" s="88">
        <f>AC131/($AA$123*$G$11*((AG131/2)+3.76))</f>
        <v>1.3649499390312011E-7</v>
      </c>
      <c r="AE131" s="96">
        <f>$G$12*$AA$123*$AC$28</f>
        <v>7.68</v>
      </c>
      <c r="AF131" s="96">
        <f>$G$13*$AA$123*$AC$28</f>
        <v>8.64</v>
      </c>
      <c r="AG131" s="134">
        <f>(($G$15/2)*(1-$AA$123)*$AC$28)</f>
        <v>0.50000000000000044</v>
      </c>
      <c r="AH131" s="144">
        <f>$G$14*$AC$28</f>
        <v>47.023800000000001</v>
      </c>
      <c r="AI131" s="152">
        <f t="shared" si="124"/>
        <v>1.7061874237890033E-3</v>
      </c>
      <c r="AJ131" s="142">
        <f t="shared" si="125"/>
        <v>0.16046283235753853</v>
      </c>
      <c r="AK131" s="163">
        <f t="shared" si="126"/>
        <v>4.8095474916715973E-7</v>
      </c>
      <c r="AL131" s="153">
        <f t="shared" si="127"/>
        <v>8.7143590917520203E-6</v>
      </c>
      <c r="AM131" s="144">
        <f t="shared" si="128"/>
        <v>55191.063864051059</v>
      </c>
      <c r="AP131" s="86">
        <v>6</v>
      </c>
      <c r="AQ131" s="86">
        <f t="shared" si="129"/>
        <v>22</v>
      </c>
      <c r="AR131" s="132">
        <f t="shared" si="130"/>
        <v>2680.4437978364645</v>
      </c>
      <c r="AS131" s="191">
        <f t="shared" si="115"/>
        <v>3.1089237074286557E-8</v>
      </c>
      <c r="AT131" s="153">
        <f t="shared" si="116"/>
        <v>6.5681391066181393E-6</v>
      </c>
      <c r="AU131" s="88">
        <f>AT131/($AR$122*$G$11*((AX131/2)+3.76))</f>
        <v>1.3321108594991789E-7</v>
      </c>
      <c r="AV131" s="96">
        <f>$G$12*$AR$122*$AC$28</f>
        <v>5.6</v>
      </c>
      <c r="AW131" s="96">
        <f>$G$13*$AR$122*$AC$28</f>
        <v>6.3</v>
      </c>
      <c r="AX131" s="134">
        <f>(($G$15/2)*(1-$AR$122)*$AC$28)</f>
        <v>3.7500000000000004</v>
      </c>
      <c r="AY131" s="144">
        <f>$G$14*$AC$28</f>
        <v>47.023800000000001</v>
      </c>
      <c r="AZ131" s="152">
        <f t="shared" si="117"/>
        <v>1.2488539307804806E-2</v>
      </c>
      <c r="BA131" s="142">
        <f t="shared" si="118"/>
        <v>0.15660228658729375</v>
      </c>
      <c r="BB131" s="163">
        <f t="shared" si="119"/>
        <v>1.2699023214411637E-6</v>
      </c>
      <c r="BC131" s="153">
        <f t="shared" si="120"/>
        <v>8.3488449586079632E-6</v>
      </c>
      <c r="BD131" s="144">
        <f t="shared" si="121"/>
        <v>152105.15080075216</v>
      </c>
    </row>
    <row r="132" spans="1:56" ht="15" customHeight="1" thickBot="1" x14ac:dyDescent="0.3">
      <c r="A132" s="224"/>
      <c r="B132" s="86">
        <v>4</v>
      </c>
      <c r="C132" s="86">
        <f t="shared" si="144"/>
        <v>18</v>
      </c>
      <c r="D132" s="132">
        <f>(D131*((C132/C131)^(($C$13-1)/$C$13)))</f>
        <v>2183.6512868395821</v>
      </c>
      <c r="E132" s="153">
        <f t="shared" si="136"/>
        <v>4.2074328054396955E-11</v>
      </c>
      <c r="F132" s="153">
        <f t="shared" si="137"/>
        <v>6.5681391066181393E-6</v>
      </c>
      <c r="G132" s="88">
        <f>F132/($D$76*$G$11*((J132/2)+3.76))</f>
        <v>1.3593530598751791E-7</v>
      </c>
      <c r="H132" s="96">
        <f t="shared" si="138"/>
        <v>9.3119999999999994</v>
      </c>
      <c r="I132" s="144">
        <f t="shared" si="139"/>
        <v>10.476000000000001</v>
      </c>
      <c r="J132" s="134">
        <f t="shared" si="140"/>
        <v>0.4500000000000004</v>
      </c>
      <c r="K132" s="144">
        <f t="shared" si="141"/>
        <v>56.428559999999997</v>
      </c>
      <c r="L132" s="193">
        <f t="shared" si="131"/>
        <v>1.5292721923595781E-3</v>
      </c>
      <c r="M132" s="136">
        <f t="shared" si="132"/>
        <v>0.19176583925087537</v>
      </c>
      <c r="N132" s="163">
        <f t="shared" si="142"/>
        <v>5.532245528427559E-9</v>
      </c>
      <c r="O132" s="165">
        <f t="shared" si="133"/>
        <v>1.0421692292610402E-5</v>
      </c>
      <c r="P132" s="144">
        <f t="shared" si="143"/>
        <v>530.83946187417655</v>
      </c>
      <c r="Q132" s="260"/>
      <c r="R132" s="301"/>
      <c r="S132" s="421"/>
      <c r="T132" s="421"/>
      <c r="U132" s="302"/>
      <c r="V132" s="230"/>
      <c r="W132" s="260"/>
      <c r="X132" s="260"/>
      <c r="Y132" s="86">
        <v>6</v>
      </c>
      <c r="Z132" s="86">
        <f t="shared" si="134"/>
        <v>22</v>
      </c>
      <c r="AA132" s="132">
        <f t="shared" si="135"/>
        <v>2680.4437978364645</v>
      </c>
      <c r="AB132" s="191">
        <f t="shared" si="122"/>
        <v>1.1774540424410605E-8</v>
      </c>
      <c r="AC132" s="153">
        <f t="shared" si="123"/>
        <v>6.5681391066181393E-6</v>
      </c>
      <c r="AD132" s="88">
        <f>AC132/($AA$123*$G$11*((AG132/2)+3.76))</f>
        <v>1.3649499390312011E-7</v>
      </c>
      <c r="AE132" s="96">
        <f>$G$12*$AA$123*$AC$28</f>
        <v>7.68</v>
      </c>
      <c r="AF132" s="96">
        <f>$G$13*$AA$123*$AC$28</f>
        <v>8.64</v>
      </c>
      <c r="AG132" s="134">
        <f>(($G$15/2)*(1-$AA$123)*$AC$28)</f>
        <v>0.50000000000000044</v>
      </c>
      <c r="AH132" s="144">
        <f>$G$14*$AC$28</f>
        <v>47.023800000000001</v>
      </c>
      <c r="AI132" s="152">
        <f t="shared" si="124"/>
        <v>1.7061874237890033E-3</v>
      </c>
      <c r="AJ132" s="142">
        <f t="shared" si="125"/>
        <v>0.16046283235753853</v>
      </c>
      <c r="AK132" s="163">
        <f t="shared" si="126"/>
        <v>4.8095474916715973E-7</v>
      </c>
      <c r="AL132" s="153">
        <f t="shared" si="127"/>
        <v>8.7143590917520203E-6</v>
      </c>
      <c r="AM132" s="144">
        <f t="shared" si="128"/>
        <v>55191.063864051059</v>
      </c>
      <c r="AP132" s="86">
        <v>7</v>
      </c>
      <c r="AQ132" s="86">
        <f t="shared" si="129"/>
        <v>24</v>
      </c>
      <c r="AR132" s="132">
        <f t="shared" si="130"/>
        <v>2714.5469106716873</v>
      </c>
      <c r="AS132" s="191">
        <f t="shared" si="115"/>
        <v>4.2726103280719144E-8</v>
      </c>
      <c r="AT132" s="153">
        <f t="shared" si="116"/>
        <v>6.5681391066181393E-6</v>
      </c>
      <c r="AU132" s="88">
        <f>AT132/($AR$122*$G$11*((AX132/2)+3.76))</f>
        <v>1.3321108594991789E-7</v>
      </c>
      <c r="AV132" s="96">
        <f>$G$12*$AR$122*$AC$28</f>
        <v>5.6</v>
      </c>
      <c r="AW132" s="96">
        <f>$G$13*$AR$122*$AC$28</f>
        <v>6.3</v>
      </c>
      <c r="AX132" s="134">
        <f>(($G$15/2)*(1-$AR$122)*$AC$28)</f>
        <v>3.7500000000000004</v>
      </c>
      <c r="AY132" s="144">
        <f>$G$14*$AC$28</f>
        <v>47.023800000000001</v>
      </c>
      <c r="AZ132" s="152">
        <f t="shared" si="117"/>
        <v>1.2488539307804806E-2</v>
      </c>
      <c r="BA132" s="142">
        <f t="shared" si="118"/>
        <v>0.15660228658729375</v>
      </c>
      <c r="BB132" s="163">
        <f t="shared" si="119"/>
        <v>1.2699023214411637E-6</v>
      </c>
      <c r="BC132" s="153">
        <f t="shared" si="120"/>
        <v>8.3488449586079632E-6</v>
      </c>
      <c r="BD132" s="144">
        <f t="shared" si="121"/>
        <v>152105.15080075216</v>
      </c>
    </row>
    <row r="133" spans="1:56" ht="15.75" customHeight="1" x14ac:dyDescent="0.25">
      <c r="A133" s="224"/>
      <c r="B133" s="86">
        <v>5</v>
      </c>
      <c r="C133" s="86">
        <f t="shared" si="144"/>
        <v>20</v>
      </c>
      <c r="D133" s="132">
        <f>(D132*((C133/C132)^(($C$13-1)/$C$13)))</f>
        <v>2217.3375421625828</v>
      </c>
      <c r="E133" s="153">
        <f t="shared" si="136"/>
        <v>6.7450687216376993E-11</v>
      </c>
      <c r="F133" s="153">
        <f t="shared" si="137"/>
        <v>6.5681391066181393E-6</v>
      </c>
      <c r="G133" s="88">
        <f>F133/($D$76*$G$11*((J133/2)+3.76))</f>
        <v>1.3593530598751791E-7</v>
      </c>
      <c r="H133" s="96">
        <f t="shared" si="138"/>
        <v>9.3119999999999994</v>
      </c>
      <c r="I133" s="144">
        <f t="shared" si="139"/>
        <v>10.476000000000001</v>
      </c>
      <c r="J133" s="134">
        <f t="shared" si="140"/>
        <v>0.4500000000000004</v>
      </c>
      <c r="K133" s="144">
        <f t="shared" si="141"/>
        <v>56.428559999999997</v>
      </c>
      <c r="L133" s="193">
        <f t="shared" si="131"/>
        <v>1.5292721923595781E-3</v>
      </c>
      <c r="M133" s="136">
        <f t="shared" si="132"/>
        <v>0.19176583925087537</v>
      </c>
      <c r="N133" s="163">
        <f t="shared" si="142"/>
        <v>5.4901712003731625E-9</v>
      </c>
      <c r="O133" s="165">
        <f t="shared" si="133"/>
        <v>1.0421692292610402E-5</v>
      </c>
      <c r="P133" s="144">
        <f t="shared" si="143"/>
        <v>526.80227416290347</v>
      </c>
      <c r="Q133" s="260"/>
      <c r="R133" s="468" t="s">
        <v>170</v>
      </c>
      <c r="S133" s="120"/>
      <c r="T133" s="246">
        <v>2004.898583949637</v>
      </c>
      <c r="U133" s="120"/>
      <c r="V133" s="230"/>
      <c r="W133" s="260"/>
      <c r="X133" s="260"/>
      <c r="Y133" s="86">
        <v>7</v>
      </c>
      <c r="Z133" s="86">
        <f t="shared" si="134"/>
        <v>24</v>
      </c>
      <c r="AA133" s="132">
        <f t="shared" si="135"/>
        <v>2714.5469106716873</v>
      </c>
      <c r="AB133" s="191">
        <f t="shared" si="122"/>
        <v>1.6181813309032925E-8</v>
      </c>
      <c r="AC133" s="153">
        <f t="shared" si="123"/>
        <v>6.5681391066181393E-6</v>
      </c>
      <c r="AD133" s="88">
        <f>AC133/($AA$123*$G$11*((AG133/2)+3.76))</f>
        <v>1.3649499390312011E-7</v>
      </c>
      <c r="AE133" s="96">
        <f>$G$12*$AA$123*$AC$28</f>
        <v>7.68</v>
      </c>
      <c r="AF133" s="96">
        <f>$G$13*$AA$123*$AC$28</f>
        <v>8.64</v>
      </c>
      <c r="AG133" s="134">
        <f>(($G$15/2)*(1-$AA$123)*$AC$28)</f>
        <v>0.50000000000000044</v>
      </c>
      <c r="AH133" s="144">
        <f>$G$14*$AC$28</f>
        <v>47.023800000000001</v>
      </c>
      <c r="AI133" s="152">
        <f t="shared" si="124"/>
        <v>1.7061874237890033E-3</v>
      </c>
      <c r="AJ133" s="142">
        <f t="shared" si="125"/>
        <v>0.16046283235753853</v>
      </c>
      <c r="AK133" s="163">
        <f t="shared" si="126"/>
        <v>4.8095474916715973E-7</v>
      </c>
      <c r="AL133" s="153">
        <f t="shared" si="127"/>
        <v>8.7143590917520203E-6</v>
      </c>
      <c r="AM133" s="144">
        <f t="shared" si="128"/>
        <v>55191.063864051059</v>
      </c>
      <c r="AP133" s="86">
        <v>8</v>
      </c>
      <c r="AQ133" s="86">
        <f t="shared" si="129"/>
        <v>26</v>
      </c>
      <c r="AR133" s="132">
        <f t="shared" si="130"/>
        <v>2746.3017618750005</v>
      </c>
      <c r="AS133" s="191">
        <f t="shared" si="115"/>
        <v>5.7040734165632087E-8</v>
      </c>
      <c r="AT133" s="153">
        <f t="shared" si="116"/>
        <v>6.5681391066181393E-6</v>
      </c>
      <c r="AU133" s="88">
        <f>AT133/($AR$122*$G$11*((AX133/2)+3.76))</f>
        <v>1.3321108594991789E-7</v>
      </c>
      <c r="AV133" s="96">
        <f>$G$12*$AR$122*$AC$28</f>
        <v>5.6</v>
      </c>
      <c r="AW133" s="96">
        <f>$G$13*$AR$122*$AC$28</f>
        <v>6.3</v>
      </c>
      <c r="AX133" s="134">
        <f>(($G$15/2)*(1-$AR$122)*$AC$28)</f>
        <v>3.7500000000000004</v>
      </c>
      <c r="AY133" s="144">
        <f>$G$14*$AC$28</f>
        <v>47.023800000000001</v>
      </c>
      <c r="AZ133" s="152">
        <f t="shared" si="117"/>
        <v>1.2488539307804806E-2</v>
      </c>
      <c r="BA133" s="142">
        <f t="shared" si="118"/>
        <v>0.15660228658729375</v>
      </c>
      <c r="BB133" s="163">
        <f t="shared" si="119"/>
        <v>1.2699023214411637E-6</v>
      </c>
      <c r="BC133" s="153">
        <f t="shared" si="120"/>
        <v>8.3488449586079632E-6</v>
      </c>
      <c r="BD133" s="144">
        <f t="shared" si="121"/>
        <v>152105.15080075216</v>
      </c>
    </row>
    <row r="134" spans="1:56" ht="15.75" thickBot="1" x14ac:dyDescent="0.3">
      <c r="A134" s="224"/>
      <c r="B134" s="86">
        <v>6</v>
      </c>
      <c r="C134" s="86">
        <f t="shared" si="144"/>
        <v>22</v>
      </c>
      <c r="D134" s="132">
        <f>(D133*((C134/C133)^(($C$13-1)/$C$13)))</f>
        <v>2248.2579198371022</v>
      </c>
      <c r="E134" s="153">
        <f t="shared" si="136"/>
        <v>1.0273530603067457E-10</v>
      </c>
      <c r="F134" s="153">
        <f t="shared" si="137"/>
        <v>6.5681391066181393E-6</v>
      </c>
      <c r="G134" s="88">
        <f>F134/($D$76*$G$11*((J134/2)+3.76))</f>
        <v>1.3593530598751791E-7</v>
      </c>
      <c r="H134" s="96">
        <f t="shared" si="138"/>
        <v>9.3119999999999994</v>
      </c>
      <c r="I134" s="144">
        <f t="shared" si="139"/>
        <v>10.476000000000001</v>
      </c>
      <c r="J134" s="134">
        <f t="shared" si="140"/>
        <v>0.4500000000000004</v>
      </c>
      <c r="K134" s="144">
        <f t="shared" si="141"/>
        <v>56.428559999999997</v>
      </c>
      <c r="L134" s="193">
        <f t="shared" si="131"/>
        <v>1.5292721923595781E-3</v>
      </c>
      <c r="M134" s="136">
        <f t="shared" si="132"/>
        <v>0.19176583925087537</v>
      </c>
      <c r="N134" s="163">
        <f t="shared" si="142"/>
        <v>5.4227205131567843E-9</v>
      </c>
      <c r="O134" s="165">
        <f t="shared" si="133"/>
        <v>1.0421692292610402E-5</v>
      </c>
      <c r="P134" s="144">
        <f t="shared" si="143"/>
        <v>520.3301307410328</v>
      </c>
      <c r="Q134" s="260"/>
      <c r="R134" s="121"/>
      <c r="S134" s="122"/>
      <c r="T134" s="121"/>
      <c r="U134" s="122"/>
      <c r="V134" s="230"/>
      <c r="W134" s="260"/>
      <c r="X134" s="260"/>
      <c r="Y134" s="86">
        <v>8</v>
      </c>
      <c r="Z134" s="86">
        <f t="shared" si="134"/>
        <v>26</v>
      </c>
      <c r="AA134" s="132">
        <f t="shared" si="135"/>
        <v>2746.3017618750005</v>
      </c>
      <c r="AB134" s="191">
        <f t="shared" si="122"/>
        <v>2.1603245800675757E-8</v>
      </c>
      <c r="AC134" s="153">
        <f t="shared" si="123"/>
        <v>6.5681391066181393E-6</v>
      </c>
      <c r="AD134" s="88">
        <f>AC134/($AA$123*$G$11*((AG134/2)+3.76))</f>
        <v>1.3649499390312011E-7</v>
      </c>
      <c r="AE134" s="96">
        <f>$G$12*$AA$123*$AC$28</f>
        <v>7.68</v>
      </c>
      <c r="AF134" s="96">
        <f>$G$13*$AA$123*$AC$28</f>
        <v>8.64</v>
      </c>
      <c r="AG134" s="134">
        <f>(($G$15/2)*(1-$AA$123)*$AC$28)</f>
        <v>0.50000000000000044</v>
      </c>
      <c r="AH134" s="144">
        <f>$G$14*$AC$28</f>
        <v>47.023800000000001</v>
      </c>
      <c r="AI134" s="152">
        <f t="shared" si="124"/>
        <v>1.7061874237890033E-3</v>
      </c>
      <c r="AJ134" s="142">
        <f t="shared" si="125"/>
        <v>0.16046283235753853</v>
      </c>
      <c r="AK134" s="163">
        <f t="shared" si="126"/>
        <v>4.8095474916715973E-7</v>
      </c>
      <c r="AL134" s="153">
        <f t="shared" si="127"/>
        <v>8.7143590917520203E-6</v>
      </c>
      <c r="AM134" s="144">
        <f t="shared" si="128"/>
        <v>55191.063864051059</v>
      </c>
      <c r="AP134" s="86">
        <v>9</v>
      </c>
      <c r="AQ134" s="86">
        <f t="shared" si="129"/>
        <v>28</v>
      </c>
      <c r="AR134" s="132">
        <f t="shared" si="130"/>
        <v>2776.0332431054658</v>
      </c>
      <c r="AS134" s="191">
        <f t="shared" si="115"/>
        <v>7.4315323418847755E-8</v>
      </c>
      <c r="AT134" s="153">
        <f t="shared" si="116"/>
        <v>6.5681391066181393E-6</v>
      </c>
      <c r="AU134" s="88">
        <f>AT134/($AR$122*$G$11*((AX134/2)+3.76))</f>
        <v>1.3321108594991789E-7</v>
      </c>
      <c r="AV134" s="96">
        <f>$G$12*$AR$122*$AC$28</f>
        <v>5.6</v>
      </c>
      <c r="AW134" s="96">
        <f>$G$13*$AR$122*$AC$28</f>
        <v>6.3</v>
      </c>
      <c r="AX134" s="134">
        <f>(($G$15/2)*(1-$AR$122)*$AC$28)</f>
        <v>3.7500000000000004</v>
      </c>
      <c r="AY134" s="144">
        <f>$G$14*$AC$28</f>
        <v>47.023800000000001</v>
      </c>
      <c r="AZ134" s="152">
        <f t="shared" si="117"/>
        <v>1.2488539307804806E-2</v>
      </c>
      <c r="BA134" s="142">
        <f t="shared" si="118"/>
        <v>0.15660228658729375</v>
      </c>
      <c r="BB134" s="163">
        <f t="shared" si="119"/>
        <v>1.2699023214411637E-6</v>
      </c>
      <c r="BC134" s="153">
        <f t="shared" si="120"/>
        <v>8.3488449586079632E-6</v>
      </c>
      <c r="BD134" s="144">
        <f t="shared" si="121"/>
        <v>152105.15080075216</v>
      </c>
    </row>
    <row r="135" spans="1:56" x14ac:dyDescent="0.25">
      <c r="A135" s="224"/>
      <c r="B135" s="86">
        <v>7</v>
      </c>
      <c r="C135" s="86">
        <f t="shared" si="144"/>
        <v>24</v>
      </c>
      <c r="D135" s="132">
        <f>(D134*((C135/C134)^(($C$13-1)/$C$13)))</f>
        <v>2276.8623597379783</v>
      </c>
      <c r="E135" s="153">
        <f t="shared" si="136"/>
        <v>1.5008831364697528E-10</v>
      </c>
      <c r="F135" s="153">
        <f t="shared" si="137"/>
        <v>6.5681391066181393E-6</v>
      </c>
      <c r="G135" s="88">
        <f>F135/($D$76*$G$11*((J135/2)+3.76))</f>
        <v>1.3593530598751791E-7</v>
      </c>
      <c r="H135" s="96">
        <f t="shared" si="138"/>
        <v>9.3119999999999994</v>
      </c>
      <c r="I135" s="144">
        <f t="shared" si="139"/>
        <v>10.476000000000001</v>
      </c>
      <c r="J135" s="134">
        <f t="shared" si="140"/>
        <v>0.4500000000000004</v>
      </c>
      <c r="K135" s="144">
        <f t="shared" si="141"/>
        <v>56.428559999999997</v>
      </c>
      <c r="L135" s="193">
        <f t="shared" si="131"/>
        <v>1.5292721923595781E-3</v>
      </c>
      <c r="M135" s="136">
        <f t="shared" si="132"/>
        <v>0.19176583925087537</v>
      </c>
      <c r="N135" s="163">
        <f t="shared" si="142"/>
        <v>5.3199852071261106E-9</v>
      </c>
      <c r="O135" s="165">
        <f t="shared" si="133"/>
        <v>1.0421692292610402E-5</v>
      </c>
      <c r="P135" s="144">
        <f t="shared" si="143"/>
        <v>510.47229737326779</v>
      </c>
      <c r="Q135" s="260"/>
      <c r="R135" s="468" t="s">
        <v>59</v>
      </c>
      <c r="S135" s="120"/>
      <c r="T135" s="469">
        <f>(H128*D125*( 8.5770134353E-19*T133^6 - 1.0374875556E-14*T133^5 + 4.9689475953E-11*T133^4 - 0.00000012019118054*T133^3 + 0.00015650954893*T133^2 - 0.048239362033*T133 + 5.2084519626) + (I128*D125*(6.6506859177E-19*T133^6 - 7.8984343104E-15*T133^5 + 3.6879849877E-11*T133^4 - 0.000000086386228559*T133^3 + 0.00011074017861*T133^2 - 0.031241611608*T133 + 3.3006694533) + (J128*(1-D125)*(5.9376621671E-19*T133^6 - 7.1020711589E-15*T133^5 + 3.3460896805E-11*T133^4 - 0.000000078909601634*T133^3 + 0.000098599769212*T133^2 - 0.028172899156*T133 + 3.05378908) + (K128*(6.4958291549E-19*T133^6 - 7.8224528491E-15*T133^5 + 3.7120417697E-11*T133^4 - 0.00000008798317617*T133^3 + 0.00010982327235*T133^2 - 0.032606444641*T133 + 3.5786489003)))))</f>
        <v>4905.2740008080227</v>
      </c>
      <c r="U135" s="120"/>
      <c r="V135" s="230"/>
      <c r="W135" s="260"/>
      <c r="X135" s="260"/>
      <c r="Y135" s="86">
        <v>9</v>
      </c>
      <c r="Z135" s="86">
        <f t="shared" si="134"/>
        <v>28</v>
      </c>
      <c r="AA135" s="132">
        <f t="shared" si="135"/>
        <v>2776.0332431054658</v>
      </c>
      <c r="AB135" s="191">
        <f t="shared" si="122"/>
        <v>2.8145714147231172E-8</v>
      </c>
      <c r="AC135" s="153">
        <f t="shared" si="123"/>
        <v>6.5681391066181393E-6</v>
      </c>
      <c r="AD135" s="88">
        <f>AC135/($AA$123*$G$11*((AG135/2)+3.76))</f>
        <v>1.3649499390312011E-7</v>
      </c>
      <c r="AE135" s="96">
        <f>$G$12*$AA$123*$AC$28</f>
        <v>7.68</v>
      </c>
      <c r="AF135" s="96">
        <f>$G$13*$AA$123*$AC$28</f>
        <v>8.64</v>
      </c>
      <c r="AG135" s="134">
        <f>(($G$15/2)*(1-$AA$123)*$AC$28)</f>
        <v>0.50000000000000044</v>
      </c>
      <c r="AH135" s="144">
        <f>$G$14*$AC$28</f>
        <v>47.023800000000001</v>
      </c>
      <c r="AI135" s="152">
        <f t="shared" si="124"/>
        <v>1.7061874237890033E-3</v>
      </c>
      <c r="AJ135" s="142">
        <f t="shared" si="125"/>
        <v>0.16046283235753853</v>
      </c>
      <c r="AK135" s="163">
        <f t="shared" si="126"/>
        <v>4.8095474916715973E-7</v>
      </c>
      <c r="AL135" s="153">
        <f t="shared" si="127"/>
        <v>8.7143590917520203E-6</v>
      </c>
      <c r="AM135" s="144">
        <f t="shared" si="128"/>
        <v>55191.063864051059</v>
      </c>
      <c r="AP135" s="86">
        <v>10</v>
      </c>
      <c r="AQ135" s="86">
        <f t="shared" si="129"/>
        <v>30</v>
      </c>
      <c r="AR135" s="132">
        <f t="shared" si="130"/>
        <v>2804.0018333718417</v>
      </c>
      <c r="AS135" s="191">
        <f t="shared" si="115"/>
        <v>9.4827679786525341E-8</v>
      </c>
      <c r="AT135" s="153">
        <f t="shared" si="116"/>
        <v>6.5681391066181393E-6</v>
      </c>
      <c r="AU135" s="88">
        <f>AT135/($AR$122*$G$11*((AX135/2)+3.76))</f>
        <v>1.3321108594991789E-7</v>
      </c>
      <c r="AV135" s="96">
        <f>$G$12*$AR$122*$AC$28</f>
        <v>5.6</v>
      </c>
      <c r="AW135" s="96">
        <f>$G$13*$AR$122*$AC$28</f>
        <v>6.3</v>
      </c>
      <c r="AX135" s="134">
        <f>(($G$15/2)*(1-$AR$122)*$AC$28)</f>
        <v>3.7500000000000004</v>
      </c>
      <c r="AY135" s="144">
        <f>$G$14*$AC$28</f>
        <v>47.023800000000001</v>
      </c>
      <c r="AZ135" s="152">
        <f t="shared" si="117"/>
        <v>1.2488539307804806E-2</v>
      </c>
      <c r="BA135" s="142">
        <f t="shared" si="118"/>
        <v>0.15660228658729375</v>
      </c>
      <c r="BB135" s="163">
        <f t="shared" si="119"/>
        <v>1.2699023214411637E-6</v>
      </c>
      <c r="BC135" s="153">
        <f t="shared" si="120"/>
        <v>8.3488449586079632E-6</v>
      </c>
      <c r="BD135" s="144">
        <f t="shared" si="121"/>
        <v>152105.15080075216</v>
      </c>
    </row>
    <row r="136" spans="1:56" ht="15.75" thickBot="1" x14ac:dyDescent="0.3">
      <c r="A136" s="224"/>
      <c r="B136" s="86">
        <v>8</v>
      </c>
      <c r="C136" s="86">
        <f t="shared" si="144"/>
        <v>26</v>
      </c>
      <c r="D136" s="132">
        <f>(D135*((C136/C135)^(($C$13-1)/$C$13)))</f>
        <v>2303.497163932986</v>
      </c>
      <c r="E136" s="153">
        <f t="shared" si="136"/>
        <v>2.1181766354119654E-10</v>
      </c>
      <c r="F136" s="153">
        <f t="shared" si="137"/>
        <v>6.5681391066181393E-6</v>
      </c>
      <c r="G136" s="88">
        <f>F136/($D$76*$G$11*((J136/2)+3.76))</f>
        <v>1.3593530598751791E-7</v>
      </c>
      <c r="H136" s="96">
        <f t="shared" si="138"/>
        <v>9.3119999999999994</v>
      </c>
      <c r="I136" s="144">
        <f t="shared" si="139"/>
        <v>10.476000000000001</v>
      </c>
      <c r="J136" s="134">
        <f t="shared" si="140"/>
        <v>0.4500000000000004</v>
      </c>
      <c r="K136" s="144">
        <f t="shared" si="141"/>
        <v>56.428559999999997</v>
      </c>
      <c r="L136" s="193">
        <f t="shared" si="131"/>
        <v>1.5292721923595781E-3</v>
      </c>
      <c r="M136" s="136">
        <f t="shared" si="132"/>
        <v>0.19176583925087537</v>
      </c>
      <c r="N136" s="163">
        <f t="shared" si="142"/>
        <v>5.1698968934791346E-9</v>
      </c>
      <c r="O136" s="165">
        <f t="shared" si="133"/>
        <v>1.0421692292610402E-5</v>
      </c>
      <c r="P136" s="144">
        <f t="shared" si="143"/>
        <v>496.07076742660092</v>
      </c>
      <c r="Q136" s="260"/>
      <c r="R136" s="121"/>
      <c r="S136" s="122"/>
      <c r="T136" s="470"/>
      <c r="U136" s="122"/>
      <c r="V136" s="230"/>
      <c r="W136" s="260"/>
      <c r="X136" s="260"/>
      <c r="Y136" s="86">
        <v>10</v>
      </c>
      <c r="Z136" s="86">
        <f t="shared" si="134"/>
        <v>30</v>
      </c>
      <c r="AA136" s="132">
        <f t="shared" si="135"/>
        <v>2804.0018333718417</v>
      </c>
      <c r="AB136" s="191">
        <f t="shared" si="122"/>
        <v>3.591443387084564E-8</v>
      </c>
      <c r="AC136" s="153">
        <f t="shared" si="123"/>
        <v>6.5681391066181393E-6</v>
      </c>
      <c r="AD136" s="88">
        <f>AC136/($AA$123*$G$11*((AG136/2)+3.76))</f>
        <v>1.3649499390312011E-7</v>
      </c>
      <c r="AE136" s="96">
        <f>$G$12*$AA$123*$AC$28</f>
        <v>7.68</v>
      </c>
      <c r="AF136" s="96">
        <f>$G$13*$AA$123*$AC$28</f>
        <v>8.64</v>
      </c>
      <c r="AG136" s="134">
        <f>(($G$15/2)*(1-$AA$123)*$AC$28)</f>
        <v>0.50000000000000044</v>
      </c>
      <c r="AH136" s="144">
        <f>$G$14*$AC$28</f>
        <v>47.023800000000001</v>
      </c>
      <c r="AI136" s="152">
        <f t="shared" si="124"/>
        <v>1.7061874237890033E-3</v>
      </c>
      <c r="AJ136" s="142">
        <f t="shared" si="125"/>
        <v>0.16046283235753853</v>
      </c>
      <c r="AK136" s="163">
        <f t="shared" si="126"/>
        <v>4.8095474916715973E-7</v>
      </c>
      <c r="AL136" s="153">
        <f t="shared" si="127"/>
        <v>8.7143590917520203E-6</v>
      </c>
      <c r="AM136" s="144">
        <f t="shared" si="128"/>
        <v>55191.063864051059</v>
      </c>
      <c r="AP136" s="86">
        <v>11</v>
      </c>
      <c r="AQ136" s="86">
        <f t="shared" si="129"/>
        <v>32</v>
      </c>
      <c r="AR136" s="132">
        <f t="shared" si="130"/>
        <v>2830.4197295149102</v>
      </c>
      <c r="AS136" s="191">
        <f t="shared" si="115"/>
        <v>1.1885062786973041E-7</v>
      </c>
      <c r="AT136" s="153">
        <f t="shared" si="116"/>
        <v>6.5681391066181393E-6</v>
      </c>
      <c r="AU136" s="88">
        <f>AT136/($AR$122*$G$11*((AX136/2)+3.76))</f>
        <v>1.3321108594991789E-7</v>
      </c>
      <c r="AV136" s="96">
        <f>$G$12*$AR$122*$AC$28</f>
        <v>5.6</v>
      </c>
      <c r="AW136" s="96">
        <f>$G$13*$AR$122*$AC$28</f>
        <v>6.3</v>
      </c>
      <c r="AX136" s="134">
        <f>(($G$15/2)*(1-$AR$122)*$AC$28)</f>
        <v>3.7500000000000004</v>
      </c>
      <c r="AY136" s="144">
        <f>$G$14*$AC$28</f>
        <v>47.023800000000001</v>
      </c>
      <c r="AZ136" s="152">
        <f t="shared" si="117"/>
        <v>1.2488539307804806E-2</v>
      </c>
      <c r="BA136" s="142">
        <f t="shared" si="118"/>
        <v>0.15660228658729375</v>
      </c>
      <c r="BB136" s="163">
        <f t="shared" si="119"/>
        <v>1.2699023214411637E-6</v>
      </c>
      <c r="BC136" s="153">
        <f t="shared" si="120"/>
        <v>8.3488449586079632E-6</v>
      </c>
      <c r="BD136" s="144">
        <f t="shared" si="121"/>
        <v>152105.15080075216</v>
      </c>
    </row>
    <row r="137" spans="1:56" x14ac:dyDescent="0.25">
      <c r="A137" s="224"/>
      <c r="B137" s="86">
        <v>9</v>
      </c>
      <c r="C137" s="86">
        <f t="shared" si="144"/>
        <v>28</v>
      </c>
      <c r="D137" s="132">
        <f>(D136*((C137/C136)^(($C$13-1)/$C$13)))</f>
        <v>2328.4348396264049</v>
      </c>
      <c r="E137" s="153">
        <f t="shared" si="136"/>
        <v>2.9036317574371814E-10</v>
      </c>
      <c r="F137" s="153">
        <f t="shared" si="137"/>
        <v>6.5681391066181393E-6</v>
      </c>
      <c r="G137" s="88">
        <f>F137/($D$76*$G$11*((J137/2)+3.76))</f>
        <v>1.3593530598751791E-7</v>
      </c>
      <c r="H137" s="96">
        <f t="shared" si="138"/>
        <v>9.3119999999999994</v>
      </c>
      <c r="I137" s="144">
        <f t="shared" si="139"/>
        <v>10.476000000000001</v>
      </c>
      <c r="J137" s="134">
        <f t="shared" si="140"/>
        <v>0.4500000000000004</v>
      </c>
      <c r="K137" s="144">
        <f t="shared" si="141"/>
        <v>56.428559999999997</v>
      </c>
      <c r="L137" s="193">
        <f t="shared" si="131"/>
        <v>1.5292721923595781E-3</v>
      </c>
      <c r="M137" s="136">
        <f t="shared" si="132"/>
        <v>0.19176583925087537</v>
      </c>
      <c r="N137" s="163">
        <f t="shared" si="142"/>
        <v>4.9580792299379387E-9</v>
      </c>
      <c r="O137" s="165">
        <f t="shared" si="133"/>
        <v>1.0421692292610402E-5</v>
      </c>
      <c r="P137" s="144">
        <f t="shared" si="143"/>
        <v>475.74607757835179</v>
      </c>
      <c r="Q137" s="260"/>
      <c r="R137" s="260"/>
      <c r="S137" s="260"/>
      <c r="T137" s="229"/>
      <c r="U137" s="230"/>
      <c r="V137" s="230"/>
      <c r="W137" s="260"/>
      <c r="X137" s="260"/>
      <c r="Y137" s="86">
        <v>11</v>
      </c>
      <c r="Z137" s="86">
        <f t="shared" si="134"/>
        <v>32</v>
      </c>
      <c r="AA137" s="132">
        <f t="shared" si="135"/>
        <v>2830.4197295149102</v>
      </c>
      <c r="AB137" s="191">
        <f t="shared" si="122"/>
        <v>4.5012732830171454E-8</v>
      </c>
      <c r="AC137" s="153">
        <f t="shared" si="123"/>
        <v>6.5681391066181393E-6</v>
      </c>
      <c r="AD137" s="88">
        <f>AC137/($AA$123*$G$11*((AG137/2)+3.76))</f>
        <v>1.3649499390312011E-7</v>
      </c>
      <c r="AE137" s="96">
        <f>$G$12*$AA$123*$AC$28</f>
        <v>7.68</v>
      </c>
      <c r="AF137" s="96">
        <f>$G$13*$AA$123*$AC$28</f>
        <v>8.64</v>
      </c>
      <c r="AG137" s="134">
        <f>(($G$15/2)*(1-$AA$123)*$AC$28)</f>
        <v>0.50000000000000044</v>
      </c>
      <c r="AH137" s="144">
        <f>$G$14*$AC$28</f>
        <v>47.023800000000001</v>
      </c>
      <c r="AI137" s="152">
        <f t="shared" si="124"/>
        <v>1.7061874237890033E-3</v>
      </c>
      <c r="AJ137" s="142">
        <f t="shared" si="125"/>
        <v>0.16046283235753853</v>
      </c>
      <c r="AK137" s="163">
        <f t="shared" si="126"/>
        <v>4.8095474916715973E-7</v>
      </c>
      <c r="AL137" s="153">
        <f t="shared" si="127"/>
        <v>8.7143590917520203E-6</v>
      </c>
      <c r="AM137" s="144">
        <f t="shared" si="128"/>
        <v>55191.063864051059</v>
      </c>
      <c r="AP137" s="86">
        <v>12</v>
      </c>
      <c r="AQ137" s="86">
        <f t="shared" si="129"/>
        <v>34</v>
      </c>
      <c r="AR137" s="132">
        <f t="shared" si="130"/>
        <v>2855.4621979565291</v>
      </c>
      <c r="AS137" s="191">
        <f t="shared" si="115"/>
        <v>1.4665158970753806E-7</v>
      </c>
      <c r="AT137" s="153">
        <f t="shared" si="116"/>
        <v>6.5681391066181393E-6</v>
      </c>
      <c r="AU137" s="88">
        <f>AT137/($AR$122*$G$11*((AX137/2)+3.76))</f>
        <v>1.3321108594991789E-7</v>
      </c>
      <c r="AV137" s="96">
        <f>$G$12*$AR$122*$AC$28</f>
        <v>5.6</v>
      </c>
      <c r="AW137" s="96">
        <f>$G$13*$AR$122*$AC$28</f>
        <v>6.3</v>
      </c>
      <c r="AX137" s="134">
        <f>(($G$15/2)*(1-$AR$122)*$AC$28)</f>
        <v>3.7500000000000004</v>
      </c>
      <c r="AY137" s="144">
        <f>$G$14*$AC$28</f>
        <v>47.023800000000001</v>
      </c>
      <c r="AZ137" s="152">
        <f t="shared" si="117"/>
        <v>1.2488539307804806E-2</v>
      </c>
      <c r="BA137" s="142">
        <f t="shared" si="118"/>
        <v>0.15660228658729375</v>
      </c>
      <c r="BB137" s="163">
        <f t="shared" si="119"/>
        <v>1.2699023214411637E-6</v>
      </c>
      <c r="BC137" s="153">
        <f t="shared" si="120"/>
        <v>8.3488449586079632E-6</v>
      </c>
      <c r="BD137" s="144">
        <f t="shared" si="121"/>
        <v>152105.15080075216</v>
      </c>
    </row>
    <row r="138" spans="1:56" x14ac:dyDescent="0.25">
      <c r="A138" s="224"/>
      <c r="B138" s="86">
        <v>10</v>
      </c>
      <c r="C138" s="86">
        <f t="shared" si="144"/>
        <v>30</v>
      </c>
      <c r="D138" s="132">
        <f>(D137*((C138/C137)^(($C$13-1)/$C$13)))</f>
        <v>2351.8938670545544</v>
      </c>
      <c r="E138" s="153">
        <f t="shared" si="136"/>
        <v>3.8828202590563875E-10</v>
      </c>
      <c r="F138" s="153">
        <f t="shared" si="137"/>
        <v>6.5681391066181393E-6</v>
      </c>
      <c r="G138" s="88">
        <f>F138/($D$76*$G$11*((J138/2)+3.76))</f>
        <v>1.3593530598751791E-7</v>
      </c>
      <c r="H138" s="96">
        <f t="shared" si="138"/>
        <v>9.3119999999999994</v>
      </c>
      <c r="I138" s="144">
        <f t="shared" si="139"/>
        <v>10.476000000000001</v>
      </c>
      <c r="J138" s="134">
        <f t="shared" si="140"/>
        <v>0.4500000000000004</v>
      </c>
      <c r="K138" s="144">
        <f t="shared" si="141"/>
        <v>56.428559999999997</v>
      </c>
      <c r="L138" s="193">
        <f t="shared" si="131"/>
        <v>1.5292721923595781E-3</v>
      </c>
      <c r="M138" s="136">
        <f t="shared" si="132"/>
        <v>0.19176583925087537</v>
      </c>
      <c r="N138" s="163">
        <f t="shared" si="142"/>
        <v>4.6677160541942206E-9</v>
      </c>
      <c r="O138" s="165">
        <f t="shared" si="133"/>
        <v>1.0421692292610402E-5</v>
      </c>
      <c r="P138" s="144">
        <f t="shared" si="143"/>
        <v>447.88465473154571</v>
      </c>
      <c r="Q138" s="260"/>
      <c r="R138" s="260"/>
      <c r="S138" s="260"/>
      <c r="T138" s="229"/>
      <c r="U138" s="230"/>
      <c r="V138" s="230"/>
      <c r="W138" s="260"/>
      <c r="X138" s="260"/>
      <c r="Y138" s="86">
        <v>12</v>
      </c>
      <c r="Z138" s="86">
        <f t="shared" si="134"/>
        <v>34</v>
      </c>
      <c r="AA138" s="132">
        <f t="shared" si="135"/>
        <v>2855.4621979565291</v>
      </c>
      <c r="AB138" s="191">
        <f t="shared" si="122"/>
        <v>5.5541892751805672E-8</v>
      </c>
      <c r="AC138" s="153">
        <f t="shared" si="123"/>
        <v>6.5681391066181393E-6</v>
      </c>
      <c r="AD138" s="88">
        <f>AC138/($AA$123*$G$11*((AG138/2)+3.76))</f>
        <v>1.3649499390312011E-7</v>
      </c>
      <c r="AE138" s="96">
        <f>$G$12*$AA$123*$AC$28</f>
        <v>7.68</v>
      </c>
      <c r="AF138" s="96">
        <f>$G$13*$AA$123*$AC$28</f>
        <v>8.64</v>
      </c>
      <c r="AG138" s="134">
        <f>(($G$15/2)*(1-$AA$123)*$AC$28)</f>
        <v>0.50000000000000044</v>
      </c>
      <c r="AH138" s="144">
        <f>$G$14*$AC$28</f>
        <v>47.023800000000001</v>
      </c>
      <c r="AI138" s="152">
        <f t="shared" si="124"/>
        <v>1.7061874237890033E-3</v>
      </c>
      <c r="AJ138" s="142">
        <f t="shared" si="125"/>
        <v>0.16046283235753853</v>
      </c>
      <c r="AK138" s="163">
        <f t="shared" si="126"/>
        <v>4.8095474916715973E-7</v>
      </c>
      <c r="AL138" s="153">
        <f t="shared" si="127"/>
        <v>8.7143590917520203E-6</v>
      </c>
      <c r="AM138" s="144">
        <f t="shared" si="128"/>
        <v>55191.063864051059</v>
      </c>
      <c r="AP138" s="86">
        <v>13</v>
      </c>
      <c r="AQ138" s="86">
        <f t="shared" si="129"/>
        <v>36</v>
      </c>
      <c r="AR138" s="132">
        <f t="shared" si="130"/>
        <v>2879.2757573634708</v>
      </c>
      <c r="AS138" s="191">
        <f t="shared" si="115"/>
        <v>1.7849230336682792E-7</v>
      </c>
      <c r="AT138" s="153">
        <f t="shared" si="116"/>
        <v>6.5681391066181393E-6</v>
      </c>
      <c r="AU138" s="88">
        <f>AT138/($AR$122*$G$11*((AX138/2)+3.76))</f>
        <v>1.3321108594991789E-7</v>
      </c>
      <c r="AV138" s="96">
        <f>$G$12*$AR$122*$AC$28</f>
        <v>5.6</v>
      </c>
      <c r="AW138" s="96">
        <f>$G$13*$AR$122*$AC$28</f>
        <v>6.3</v>
      </c>
      <c r="AX138" s="134">
        <f>(($G$15/2)*(1-$AR$122)*$AC$28)</f>
        <v>3.7500000000000004</v>
      </c>
      <c r="AY138" s="144">
        <f>$G$14*$AC$28</f>
        <v>47.023800000000001</v>
      </c>
      <c r="AZ138" s="152">
        <f t="shared" si="117"/>
        <v>1.2488539307804806E-2</v>
      </c>
      <c r="BA138" s="142">
        <f t="shared" si="118"/>
        <v>0.15660228658729375</v>
      </c>
      <c r="BB138" s="163">
        <f t="shared" si="119"/>
        <v>1.2699023214411637E-6</v>
      </c>
      <c r="BC138" s="153">
        <f t="shared" si="120"/>
        <v>8.3488449586079632E-6</v>
      </c>
      <c r="BD138" s="144">
        <f t="shared" si="121"/>
        <v>152105.15080075216</v>
      </c>
    </row>
    <row r="139" spans="1:56" x14ac:dyDescent="0.25">
      <c r="A139" s="224"/>
      <c r="B139" s="86">
        <v>11</v>
      </c>
      <c r="C139" s="86">
        <f t="shared" si="144"/>
        <v>32</v>
      </c>
      <c r="D139" s="132">
        <f>(D138*((C139/C138)^(($C$13-1)/$C$13)))</f>
        <v>2374.0522291425891</v>
      </c>
      <c r="E139" s="153">
        <f t="shared" si="136"/>
        <v>5.0823559769611189E-10</v>
      </c>
      <c r="F139" s="153">
        <f t="shared" si="137"/>
        <v>6.5681391066181393E-6</v>
      </c>
      <c r="G139" s="88">
        <f>F139/($D$76*$G$11*((J139/2)+3.76))</f>
        <v>1.3593530598751791E-7</v>
      </c>
      <c r="H139" s="96">
        <f t="shared" si="138"/>
        <v>9.3119999999999994</v>
      </c>
      <c r="I139" s="144">
        <f t="shared" si="139"/>
        <v>10.476000000000001</v>
      </c>
      <c r="J139" s="134">
        <f t="shared" si="140"/>
        <v>0.4500000000000004</v>
      </c>
      <c r="K139" s="144">
        <f t="shared" si="141"/>
        <v>56.428559999999997</v>
      </c>
      <c r="L139" s="193">
        <f t="shared" si="131"/>
        <v>1.5292721923595781E-3</v>
      </c>
      <c r="M139" s="136">
        <f t="shared" si="132"/>
        <v>0.19176583925087537</v>
      </c>
      <c r="N139" s="163">
        <f t="shared" si="142"/>
        <v>4.2794340282885819E-9</v>
      </c>
      <c r="O139" s="165">
        <f t="shared" si="133"/>
        <v>1.0421692292610402E-5</v>
      </c>
      <c r="P139" s="144">
        <f t="shared" si="143"/>
        <v>410.62755530816759</v>
      </c>
      <c r="Q139" s="260"/>
      <c r="R139" s="260"/>
      <c r="S139" s="260"/>
      <c r="T139" s="229"/>
      <c r="U139" s="230"/>
      <c r="V139" s="230"/>
      <c r="W139" s="260"/>
      <c r="X139" s="260"/>
      <c r="Y139" s="86">
        <v>13</v>
      </c>
      <c r="Z139" s="86">
        <f t="shared" si="134"/>
        <v>36</v>
      </c>
      <c r="AA139" s="132">
        <f t="shared" si="135"/>
        <v>2879.2757573634708</v>
      </c>
      <c r="AB139" s="191">
        <f t="shared" si="122"/>
        <v>6.7601042650774227E-8</v>
      </c>
      <c r="AC139" s="153">
        <f t="shared" si="123"/>
        <v>6.5681391066181393E-6</v>
      </c>
      <c r="AD139" s="88">
        <f>AC139/($AA$123*$G$11*((AG139/2)+3.76))</f>
        <v>1.3649499390312011E-7</v>
      </c>
      <c r="AE139" s="96">
        <f>$G$12*$AA$123*$AC$28</f>
        <v>7.68</v>
      </c>
      <c r="AF139" s="96">
        <f>$G$13*$AA$123*$AC$28</f>
        <v>8.64</v>
      </c>
      <c r="AG139" s="134">
        <f>(($G$15/2)*(1-$AA$123)*$AC$28)</f>
        <v>0.50000000000000044</v>
      </c>
      <c r="AH139" s="144">
        <f>$G$14*$AC$28</f>
        <v>47.023800000000001</v>
      </c>
      <c r="AI139" s="152">
        <f t="shared" si="124"/>
        <v>1.7061874237890033E-3</v>
      </c>
      <c r="AJ139" s="142">
        <f t="shared" si="125"/>
        <v>0.16046283235753853</v>
      </c>
      <c r="AK139" s="163">
        <f t="shared" si="126"/>
        <v>4.8095474916715973E-7</v>
      </c>
      <c r="AL139" s="153">
        <f t="shared" si="127"/>
        <v>8.7143590917520203E-6</v>
      </c>
      <c r="AM139" s="144">
        <f t="shared" si="128"/>
        <v>55191.063864051059</v>
      </c>
      <c r="AP139" s="86">
        <v>14</v>
      </c>
      <c r="AQ139" s="86">
        <f t="shared" si="129"/>
        <v>38</v>
      </c>
      <c r="AR139" s="132">
        <f t="shared" si="130"/>
        <v>2901.9842014469746</v>
      </c>
      <c r="AS139" s="191">
        <f t="shared" si="115"/>
        <v>2.1462864582506408E-7</v>
      </c>
      <c r="AT139" s="153">
        <f t="shared" si="116"/>
        <v>6.5681391066181393E-6</v>
      </c>
      <c r="AU139" s="88">
        <f>AT139/($AR$122*$G$11*((AX139/2)+3.76))</f>
        <v>1.3321108594991789E-7</v>
      </c>
      <c r="AV139" s="96">
        <f>$G$12*$AR$122*$AC$28</f>
        <v>5.6</v>
      </c>
      <c r="AW139" s="96">
        <f>$G$13*$AR$122*$AC$28</f>
        <v>6.3</v>
      </c>
      <c r="AX139" s="134">
        <f>(($G$15/2)*(1-$AR$122)*$AC$28)</f>
        <v>3.7500000000000004</v>
      </c>
      <c r="AY139" s="144">
        <f>$G$14*$AC$28</f>
        <v>47.023800000000001</v>
      </c>
      <c r="AZ139" s="152">
        <f t="shared" si="117"/>
        <v>1.2488539307804806E-2</v>
      </c>
      <c r="BA139" s="142">
        <f t="shared" si="118"/>
        <v>0.15660228658729375</v>
      </c>
      <c r="BB139" s="163">
        <f t="shared" si="119"/>
        <v>1.2699023214411637E-6</v>
      </c>
      <c r="BC139" s="153">
        <f t="shared" si="120"/>
        <v>8.3488449586079632E-6</v>
      </c>
      <c r="BD139" s="144">
        <f t="shared" si="121"/>
        <v>152105.15080075216</v>
      </c>
    </row>
    <row r="140" spans="1:56" x14ac:dyDescent="0.25">
      <c r="A140" s="224"/>
      <c r="B140" s="86">
        <v>12</v>
      </c>
      <c r="C140" s="86">
        <f t="shared" si="144"/>
        <v>34</v>
      </c>
      <c r="D140" s="132">
        <f>(D139*((C140/C139)^(($C$13-1)/$C$13)))</f>
        <v>2395.056932935142</v>
      </c>
      <c r="E140" s="153">
        <f t="shared" si="136"/>
        <v>6.5297759459820931E-10</v>
      </c>
      <c r="F140" s="153">
        <f t="shared" si="137"/>
        <v>6.5681391066181393E-6</v>
      </c>
      <c r="G140" s="88">
        <f>F140/($D$76*$G$11*((J140/2)+3.76))</f>
        <v>1.3593530598751791E-7</v>
      </c>
      <c r="H140" s="96">
        <f t="shared" si="138"/>
        <v>9.3119999999999994</v>
      </c>
      <c r="I140" s="144">
        <f t="shared" si="139"/>
        <v>10.476000000000001</v>
      </c>
      <c r="J140" s="134">
        <f t="shared" si="140"/>
        <v>0.4500000000000004</v>
      </c>
      <c r="K140" s="144">
        <f t="shared" si="141"/>
        <v>56.428559999999997</v>
      </c>
      <c r="L140" s="193">
        <f t="shared" si="131"/>
        <v>1.5292721923595781E-3</v>
      </c>
      <c r="M140" s="136">
        <f t="shared" si="132"/>
        <v>0.19176583925087537</v>
      </c>
      <c r="N140" s="163">
        <f t="shared" si="142"/>
        <v>3.77119843059247E-9</v>
      </c>
      <c r="O140" s="165">
        <f t="shared" si="133"/>
        <v>1.0421692292610402E-5</v>
      </c>
      <c r="P140" s="144">
        <f t="shared" si="143"/>
        <v>361.86046610361672</v>
      </c>
      <c r="Q140" s="260"/>
      <c r="R140" s="260"/>
      <c r="S140" s="260"/>
      <c r="T140" s="229"/>
      <c r="U140" s="230"/>
      <c r="V140" s="230"/>
      <c r="W140" s="260"/>
      <c r="X140" s="260"/>
      <c r="Y140" s="86">
        <v>14</v>
      </c>
      <c r="Z140" s="86">
        <f t="shared" si="134"/>
        <v>38</v>
      </c>
      <c r="AA140" s="132">
        <f t="shared" si="135"/>
        <v>2901.9842014469746</v>
      </c>
      <c r="AB140" s="191">
        <f t="shared" si="122"/>
        <v>8.1287091750279541E-8</v>
      </c>
      <c r="AC140" s="153">
        <f t="shared" si="123"/>
        <v>6.5681391066181393E-6</v>
      </c>
      <c r="AD140" s="88">
        <f>AC140/($AA$123*$G$11*((AG140/2)+3.76))</f>
        <v>1.3649499390312011E-7</v>
      </c>
      <c r="AE140" s="96">
        <f>$G$12*$AA$123*$AC$28</f>
        <v>7.68</v>
      </c>
      <c r="AF140" s="96">
        <f>$G$13*$AA$123*$AC$28</f>
        <v>8.64</v>
      </c>
      <c r="AG140" s="134">
        <f>(($G$15/2)*(1-$AA$123)*$AC$28)</f>
        <v>0.50000000000000044</v>
      </c>
      <c r="AH140" s="144">
        <f>$G$14*$AC$28</f>
        <v>47.023800000000001</v>
      </c>
      <c r="AI140" s="152">
        <f t="shared" si="124"/>
        <v>1.7061874237890033E-3</v>
      </c>
      <c r="AJ140" s="142">
        <f t="shared" si="125"/>
        <v>0.16046283235753853</v>
      </c>
      <c r="AK140" s="163">
        <f t="shared" si="126"/>
        <v>4.8095474916715973E-7</v>
      </c>
      <c r="AL140" s="153">
        <f t="shared" si="127"/>
        <v>8.7143590917520203E-6</v>
      </c>
      <c r="AM140" s="144">
        <f t="shared" si="128"/>
        <v>55191.063864051059</v>
      </c>
      <c r="AP140" s="86">
        <v>15</v>
      </c>
      <c r="AQ140" s="86">
        <f t="shared" si="129"/>
        <v>40</v>
      </c>
      <c r="AR140" s="132">
        <f t="shared" si="130"/>
        <v>2923.6931141513533</v>
      </c>
      <c r="AS140" s="191">
        <f t="shared" si="115"/>
        <v>2.5531053547092619E-7</v>
      </c>
      <c r="AT140" s="153">
        <f t="shared" si="116"/>
        <v>6.5681391066181393E-6</v>
      </c>
      <c r="AU140" s="88">
        <f>AT140/($AR$122*$G$11*((AX140/2)+3.76))</f>
        <v>1.3321108594991789E-7</v>
      </c>
      <c r="AV140" s="96">
        <f>$G$12*$AR$122*$AC$28</f>
        <v>5.6</v>
      </c>
      <c r="AW140" s="96">
        <f>$G$13*$AR$122*$AC$28</f>
        <v>6.3</v>
      </c>
      <c r="AX140" s="134">
        <f>(($G$15/2)*(1-$AR$122)*$AC$28)</f>
        <v>3.7500000000000004</v>
      </c>
      <c r="AY140" s="144">
        <f>$G$14*$AC$28</f>
        <v>47.023800000000001</v>
      </c>
      <c r="AZ140" s="152">
        <f t="shared" si="117"/>
        <v>1.2488539307804806E-2</v>
      </c>
      <c r="BA140" s="142">
        <f t="shared" si="118"/>
        <v>0.15660228658729375</v>
      </c>
      <c r="BB140" s="163">
        <f t="shared" si="119"/>
        <v>1.2699023214411637E-6</v>
      </c>
      <c r="BC140" s="153">
        <f t="shared" si="120"/>
        <v>8.3488449586079632E-6</v>
      </c>
      <c r="BD140" s="144">
        <f t="shared" si="121"/>
        <v>152105.15080075216</v>
      </c>
    </row>
    <row r="141" spans="1:56" ht="15.75" thickBot="1" x14ac:dyDescent="0.3">
      <c r="A141" s="224"/>
      <c r="B141" s="86">
        <v>13</v>
      </c>
      <c r="C141" s="86">
        <f t="shared" si="144"/>
        <v>36</v>
      </c>
      <c r="D141" s="132">
        <f>(D140*((C141/C140)^(($C$13-1)/$C$13)))</f>
        <v>2415.0308729145522</v>
      </c>
      <c r="E141" s="153">
        <f t="shared" si="136"/>
        <v>8.2534330130506476E-10</v>
      </c>
      <c r="F141" s="153">
        <f t="shared" si="137"/>
        <v>6.5681391066181393E-6</v>
      </c>
      <c r="G141" s="88">
        <f>F141/($D$76*$G$11*((J141/2)+3.76))</f>
        <v>1.3593530598751791E-7</v>
      </c>
      <c r="H141" s="96">
        <f t="shared" si="138"/>
        <v>9.3119999999999994</v>
      </c>
      <c r="I141" s="144">
        <f t="shared" si="139"/>
        <v>10.476000000000001</v>
      </c>
      <c r="J141" s="134">
        <f t="shared" si="140"/>
        <v>0.4500000000000004</v>
      </c>
      <c r="K141" s="144">
        <f t="shared" si="141"/>
        <v>56.428559999999997</v>
      </c>
      <c r="L141" s="193">
        <f t="shared" si="131"/>
        <v>1.5292721923595781E-3</v>
      </c>
      <c r="M141" s="136">
        <f t="shared" si="132"/>
        <v>0.19176583925087537</v>
      </c>
      <c r="N141" s="163">
        <f t="shared" si="142"/>
        <v>3.1182208359942609E-9</v>
      </c>
      <c r="O141" s="165">
        <f t="shared" si="133"/>
        <v>1.0421692292610402E-5</v>
      </c>
      <c r="P141" s="144">
        <f t="shared" si="143"/>
        <v>299.20484585840865</v>
      </c>
      <c r="Q141" s="260"/>
      <c r="R141" s="260"/>
      <c r="S141" s="260"/>
      <c r="T141" s="229"/>
      <c r="U141" s="230"/>
      <c r="V141" s="230"/>
      <c r="W141" s="260"/>
      <c r="X141" s="260"/>
      <c r="Y141" s="86">
        <v>15</v>
      </c>
      <c r="Z141" s="86">
        <f t="shared" si="134"/>
        <v>40</v>
      </c>
      <c r="AA141" s="132">
        <f t="shared" si="135"/>
        <v>2923.6931141513533</v>
      </c>
      <c r="AB141" s="191">
        <f t="shared" si="122"/>
        <v>9.6694692555408226E-8</v>
      </c>
      <c r="AC141" s="153">
        <f t="shared" si="123"/>
        <v>6.5681391066181393E-6</v>
      </c>
      <c r="AD141" s="88">
        <f>AC141/($AA$123*$G$11*((AG141/2)+3.76))</f>
        <v>1.3649499390312011E-7</v>
      </c>
      <c r="AE141" s="96">
        <f>$G$12*$AA$123*$AC$28</f>
        <v>7.68</v>
      </c>
      <c r="AF141" s="96">
        <f>$G$13*$AA$123*$AC$28</f>
        <v>8.64</v>
      </c>
      <c r="AG141" s="134">
        <f>(($G$15/2)*(1-$AA$123)*$AC$28)</f>
        <v>0.50000000000000044</v>
      </c>
      <c r="AH141" s="144">
        <f>$G$14*$AC$28</f>
        <v>47.023800000000001</v>
      </c>
      <c r="AI141" s="152">
        <f t="shared" si="124"/>
        <v>1.7061874237890033E-3</v>
      </c>
      <c r="AJ141" s="142">
        <f t="shared" si="125"/>
        <v>0.16046283235753853</v>
      </c>
      <c r="AK141" s="163">
        <f t="shared" si="126"/>
        <v>4.8095474916715973E-7</v>
      </c>
      <c r="AL141" s="153">
        <f t="shared" si="127"/>
        <v>8.7143590917520203E-6</v>
      </c>
      <c r="AM141" s="144">
        <f t="shared" si="128"/>
        <v>55191.063864051059</v>
      </c>
      <c r="AP141" s="249"/>
      <c r="AQ141" s="249"/>
      <c r="AR141" s="132"/>
      <c r="AS141" s="97"/>
      <c r="AT141" s="86"/>
      <c r="AU141" s="88"/>
      <c r="AV141" s="96"/>
      <c r="AW141" s="96"/>
      <c r="AX141" s="134"/>
      <c r="AY141" s="145"/>
      <c r="AZ141" s="152"/>
      <c r="BA141" s="143"/>
      <c r="BB141" s="143"/>
      <c r="BC141" s="162"/>
      <c r="BD141" s="144"/>
    </row>
    <row r="142" spans="1:56" ht="15.75" thickBot="1" x14ac:dyDescent="0.3">
      <c r="A142" s="224"/>
      <c r="B142" s="86">
        <v>14</v>
      </c>
      <c r="C142" s="86">
        <f t="shared" si="144"/>
        <v>38</v>
      </c>
      <c r="D142" s="132">
        <f>(D141*((C142/C141)^(($C$13-1)/$C$13)))</f>
        <v>2434.0778827041713</v>
      </c>
      <c r="E142" s="153">
        <f t="shared" si="136"/>
        <v>1.0282398868796463E-9</v>
      </c>
      <c r="F142" s="153">
        <f t="shared" si="137"/>
        <v>6.5681391066181393E-6</v>
      </c>
      <c r="G142" s="88">
        <f>F142/($D$76*$G$11*((J142/2)+3.76))</f>
        <v>1.3593530598751791E-7</v>
      </c>
      <c r="H142" s="96">
        <f t="shared" si="138"/>
        <v>9.3119999999999994</v>
      </c>
      <c r="I142" s="144">
        <f t="shared" si="139"/>
        <v>10.476000000000001</v>
      </c>
      <c r="J142" s="134">
        <f t="shared" si="140"/>
        <v>0.4500000000000004</v>
      </c>
      <c r="K142" s="144">
        <f t="shared" si="141"/>
        <v>56.428559999999997</v>
      </c>
      <c r="L142" s="193">
        <f t="shared" si="131"/>
        <v>1.5292721923595781E-3</v>
      </c>
      <c r="M142" s="136">
        <f t="shared" si="132"/>
        <v>0.19176583925087537</v>
      </c>
      <c r="N142" s="163">
        <f t="shared" si="142"/>
        <v>2.2928775346891959E-9</v>
      </c>
      <c r="O142" s="165">
        <f t="shared" si="133"/>
        <v>1.0421692292610402E-5</v>
      </c>
      <c r="P142" s="144">
        <f t="shared" si="143"/>
        <v>220.01009723871644</v>
      </c>
      <c r="Q142" s="260"/>
      <c r="R142" s="260"/>
      <c r="S142" s="260"/>
      <c r="T142" s="229"/>
      <c r="U142" s="230"/>
      <c r="V142" s="230"/>
      <c r="W142" s="260"/>
      <c r="X142" s="260"/>
      <c r="Y142" s="249"/>
      <c r="Z142" s="249"/>
      <c r="AA142" s="132"/>
      <c r="AB142" s="97"/>
      <c r="AC142" s="86"/>
      <c r="AD142" s="88"/>
      <c r="AE142" s="96"/>
      <c r="AF142" s="96"/>
      <c r="AG142" s="134"/>
      <c r="AH142" s="145"/>
      <c r="AI142" s="152"/>
      <c r="AJ142" s="143"/>
      <c r="AK142" s="143"/>
      <c r="AL142" s="162"/>
      <c r="AM142" s="144"/>
    </row>
    <row r="143" spans="1:56" ht="15.75" thickBot="1" x14ac:dyDescent="0.3">
      <c r="A143" s="224"/>
      <c r="B143" s="86">
        <v>15</v>
      </c>
      <c r="C143" s="86">
        <f t="shared" si="144"/>
        <v>40</v>
      </c>
      <c r="D143" s="132">
        <f>(D142*((C143/C142)^(($C$13-1)/$C$13)))</f>
        <v>2452.2865222429173</v>
      </c>
      <c r="E143" s="153">
        <f t="shared" si="136"/>
        <v>1.2646376478095496E-9</v>
      </c>
      <c r="F143" s="153">
        <f t="shared" si="137"/>
        <v>6.5681391066181393E-6</v>
      </c>
      <c r="G143" s="88">
        <f>F143/($D$76*$G$11*((J143/2)+3.76))</f>
        <v>1.3593530598751791E-7</v>
      </c>
      <c r="H143" s="96">
        <f t="shared" si="138"/>
        <v>9.3119999999999994</v>
      </c>
      <c r="I143" s="144">
        <f t="shared" si="139"/>
        <v>10.476000000000001</v>
      </c>
      <c r="J143" s="134">
        <f t="shared" si="140"/>
        <v>0.4500000000000004</v>
      </c>
      <c r="K143" s="144">
        <f t="shared" si="141"/>
        <v>56.428559999999997</v>
      </c>
      <c r="L143" s="193">
        <f t="shared" si="131"/>
        <v>1.5292721923595781E-3</v>
      </c>
      <c r="M143" s="136">
        <f t="shared" si="132"/>
        <v>0.19176583925087537</v>
      </c>
      <c r="N143" s="163">
        <f t="shared" si="142"/>
        <v>1.2646376478095496E-9</v>
      </c>
      <c r="O143" s="165">
        <f t="shared" si="133"/>
        <v>1.0421692292610402E-5</v>
      </c>
      <c r="P143" s="144">
        <f t="shared" si="143"/>
        <v>121.3466692646695</v>
      </c>
      <c r="Q143" s="260"/>
      <c r="R143" s="260"/>
      <c r="S143" s="260"/>
      <c r="T143" s="229"/>
      <c r="U143" s="230"/>
      <c r="V143" s="230"/>
      <c r="W143" s="260"/>
      <c r="X143" s="260"/>
    </row>
    <row r="144" spans="1:56" ht="15.75" customHeight="1" thickBot="1" x14ac:dyDescent="0.3">
      <c r="A144" s="224"/>
      <c r="B144" s="260"/>
      <c r="C144" s="260"/>
      <c r="D144" s="229"/>
      <c r="E144" s="230"/>
      <c r="F144" s="260"/>
      <c r="G144" s="260"/>
      <c r="H144" s="260"/>
      <c r="I144" s="260"/>
      <c r="J144" s="231"/>
      <c r="K144" s="102"/>
      <c r="L144" s="229"/>
      <c r="M144" s="231"/>
      <c r="N144" s="231"/>
      <c r="O144" s="230"/>
      <c r="P144" s="102"/>
      <c r="Q144" s="224"/>
      <c r="R144" s="260"/>
      <c r="S144" s="260"/>
      <c r="T144" s="229"/>
      <c r="U144" s="230"/>
      <c r="V144" s="230"/>
      <c r="W144" s="260"/>
      <c r="X144" s="260"/>
      <c r="AP144" s="396" t="s">
        <v>29</v>
      </c>
      <c r="AQ144" s="397"/>
      <c r="AR144" s="400">
        <v>0.65</v>
      </c>
      <c r="AS144" s="401"/>
      <c r="AT144" s="401"/>
      <c r="AU144" s="401"/>
      <c r="AV144" s="401"/>
      <c r="AW144" s="401"/>
      <c r="AX144" s="401"/>
      <c r="AY144" s="401"/>
      <c r="AZ144" s="401"/>
      <c r="BA144" s="402"/>
      <c r="BB144" s="179"/>
    </row>
    <row r="145" spans="1:56" ht="27" thickBot="1" x14ac:dyDescent="0.3">
      <c r="A145" s="224"/>
      <c r="B145" s="224"/>
      <c r="C145" s="229"/>
      <c r="D145" s="230"/>
      <c r="E145" s="230"/>
      <c r="F145" s="224"/>
      <c r="G145" s="224"/>
      <c r="H145" s="224"/>
      <c r="I145" s="231"/>
      <c r="J145" s="102"/>
      <c r="K145" s="229"/>
      <c r="L145" s="231"/>
      <c r="M145" s="230"/>
      <c r="N145" s="230"/>
      <c r="O145" s="102"/>
      <c r="Q145" s="224"/>
      <c r="R145" s="260"/>
      <c r="S145" s="260"/>
      <c r="T145" s="229"/>
      <c r="U145" s="230"/>
      <c r="V145" s="230"/>
      <c r="W145" s="260"/>
      <c r="X145" s="260"/>
      <c r="Y145" s="396" t="s">
        <v>29</v>
      </c>
      <c r="Z145" s="397"/>
      <c r="AA145" s="400">
        <v>0.95</v>
      </c>
      <c r="AB145" s="401"/>
      <c r="AC145" s="401"/>
      <c r="AD145" s="401"/>
      <c r="AE145" s="401"/>
      <c r="AF145" s="401"/>
      <c r="AG145" s="401"/>
      <c r="AH145" s="401"/>
      <c r="AI145" s="401"/>
      <c r="AJ145" s="402"/>
      <c r="AK145" s="179"/>
      <c r="AP145" s="398"/>
      <c r="AQ145" s="399"/>
      <c r="AR145" s="403"/>
      <c r="AS145" s="404"/>
      <c r="AT145" s="404"/>
      <c r="AU145" s="404"/>
      <c r="AV145" s="404"/>
      <c r="AW145" s="404"/>
      <c r="AX145" s="404"/>
      <c r="AY145" s="404"/>
      <c r="AZ145" s="404"/>
      <c r="BA145" s="405"/>
      <c r="BB145" s="179"/>
    </row>
    <row r="146" spans="1:56" ht="27" thickBot="1" x14ac:dyDescent="0.3">
      <c r="A146" s="224"/>
      <c r="B146" s="224"/>
      <c r="C146" s="229"/>
      <c r="D146" s="230"/>
      <c r="E146" s="230"/>
      <c r="F146" s="224"/>
      <c r="G146" s="224"/>
      <c r="H146" s="224"/>
      <c r="I146" s="231"/>
      <c r="J146" s="102"/>
      <c r="K146" s="229"/>
      <c r="L146" s="231"/>
      <c r="M146" s="230"/>
      <c r="N146" s="230"/>
      <c r="O146" s="102"/>
      <c r="Q146" s="224"/>
      <c r="R146" s="260"/>
      <c r="S146" s="260"/>
      <c r="T146" s="229"/>
      <c r="U146" s="230"/>
      <c r="V146" s="230"/>
      <c r="W146" s="260"/>
      <c r="X146" s="260"/>
      <c r="Y146" s="398"/>
      <c r="Z146" s="399"/>
      <c r="AA146" s="403"/>
      <c r="AB146" s="404"/>
      <c r="AC146" s="404"/>
      <c r="AD146" s="404"/>
      <c r="AE146" s="404"/>
      <c r="AF146" s="404"/>
      <c r="AG146" s="404"/>
      <c r="AH146" s="404"/>
      <c r="AI146" s="404"/>
      <c r="AJ146" s="405"/>
      <c r="AK146" s="179"/>
      <c r="AP146" s="2" t="s">
        <v>73</v>
      </c>
      <c r="AQ146" s="2" t="s">
        <v>69</v>
      </c>
      <c r="AR146" s="245" t="s">
        <v>177</v>
      </c>
      <c r="AS146" s="2" t="s">
        <v>178</v>
      </c>
      <c r="AT146" s="251" t="s">
        <v>237</v>
      </c>
      <c r="AU146" s="2" t="s">
        <v>151</v>
      </c>
      <c r="AV146" s="251" t="s">
        <v>155</v>
      </c>
      <c r="AW146" s="252" t="s">
        <v>156</v>
      </c>
      <c r="AX146" s="251" t="s">
        <v>157</v>
      </c>
      <c r="AY146" s="251" t="s">
        <v>158</v>
      </c>
      <c r="AZ146" s="251" t="s">
        <v>180</v>
      </c>
      <c r="BA146" s="2" t="s">
        <v>181</v>
      </c>
      <c r="BB146" s="2" t="s">
        <v>185</v>
      </c>
      <c r="BC146" s="2" t="s">
        <v>182</v>
      </c>
      <c r="BD146" s="251" t="s">
        <v>183</v>
      </c>
    </row>
    <row r="147" spans="1:56" ht="18.75" thickBot="1" x14ac:dyDescent="0.3">
      <c r="A147" s="224"/>
      <c r="B147" s="224"/>
      <c r="C147" s="229"/>
      <c r="D147" s="230"/>
      <c r="E147" s="230"/>
      <c r="F147" s="224"/>
      <c r="G147" s="224"/>
      <c r="H147" s="224"/>
      <c r="I147" s="231"/>
      <c r="J147" s="102"/>
      <c r="K147" s="229"/>
      <c r="L147" s="231"/>
      <c r="M147" s="230"/>
      <c r="N147" s="230"/>
      <c r="O147" s="102"/>
      <c r="Q147" s="224"/>
      <c r="R147" s="260"/>
      <c r="S147" s="260"/>
      <c r="T147" s="229"/>
      <c r="U147" s="230"/>
      <c r="V147" s="230"/>
      <c r="W147" s="260"/>
      <c r="X147" s="260"/>
      <c r="Y147" s="2" t="s">
        <v>73</v>
      </c>
      <c r="Z147" s="2" t="s">
        <v>69</v>
      </c>
      <c r="AA147" s="245" t="s">
        <v>177</v>
      </c>
      <c r="AB147" s="2" t="s">
        <v>178</v>
      </c>
      <c r="AC147" s="251" t="s">
        <v>237</v>
      </c>
      <c r="AD147" s="2" t="s">
        <v>151</v>
      </c>
      <c r="AE147" s="251" t="s">
        <v>155</v>
      </c>
      <c r="AF147" s="252" t="s">
        <v>156</v>
      </c>
      <c r="AG147" s="251" t="s">
        <v>157</v>
      </c>
      <c r="AH147" s="251" t="s">
        <v>158</v>
      </c>
      <c r="AI147" s="251" t="s">
        <v>180</v>
      </c>
      <c r="AJ147" s="2" t="s">
        <v>181</v>
      </c>
      <c r="AK147" s="2" t="s">
        <v>185</v>
      </c>
      <c r="AL147" s="2" t="s">
        <v>182</v>
      </c>
      <c r="AM147" s="251" t="s">
        <v>183</v>
      </c>
      <c r="AP147" s="86">
        <v>0</v>
      </c>
      <c r="AQ147" s="86">
        <v>10</v>
      </c>
      <c r="AR147" s="248">
        <v>2390.3031441465077</v>
      </c>
      <c r="AS147" s="191">
        <f>((4.7*10^13*BA147*(AZ147^0.5)*EXP($C$11/AR147))/($C$14*6))*$C$5*10^-6</f>
        <v>1.6034834887421058E-9</v>
      </c>
      <c r="AT147" s="153">
        <f>(((10^5*($C$4*$C$6)*10^-6)/($C$8*$C$7)))</f>
        <v>6.5681391066181393E-6</v>
      </c>
      <c r="AU147" s="88">
        <f>AT147/($AR$144*$G$11*((AX147/2)+3.76))</f>
        <v>1.3592036176271897E-7</v>
      </c>
      <c r="AV147" s="96">
        <f>$G$12*$AR$144*$AC$28</f>
        <v>5.2</v>
      </c>
      <c r="AW147" s="96">
        <f>$G$13*$AR$144*$AC$28</f>
        <v>5.8500000000000005</v>
      </c>
      <c r="AX147" s="134">
        <f>(($G$15/2)*(1-$AR$144)*AC$28)</f>
        <v>4.375</v>
      </c>
      <c r="AY147" s="144">
        <f>$G$14*$AC$28</f>
        <v>47.023800000000001</v>
      </c>
      <c r="AZ147" s="152">
        <f>((AX147*AU147)/($C$5*10^-6))</f>
        <v>1.486628956779739E-2</v>
      </c>
      <c r="BA147" s="151">
        <f>((AY147*AU147)/($C$5*10^-6))</f>
        <v>0.15978729768644362</v>
      </c>
      <c r="BB147" s="163">
        <f>SUM($AS$147:$AS$162)</f>
        <v>1.4137087352228198E-6</v>
      </c>
      <c r="BC147" s="161">
        <f>AU147*(AV147+AW147+AX147+AY147)</f>
        <v>8.4880634876476858E-6</v>
      </c>
      <c r="BD147" s="144">
        <f>(BB147/BC147)*10^6</f>
        <v>166552.56375969964</v>
      </c>
    </row>
    <row r="148" spans="1:56" x14ac:dyDescent="0.25">
      <c r="A148" s="224"/>
      <c r="B148" s="224"/>
      <c r="C148" s="229"/>
      <c r="D148" s="230"/>
      <c r="E148" s="230"/>
      <c r="F148" s="224"/>
      <c r="G148" s="224"/>
      <c r="H148" s="224"/>
      <c r="I148" s="231"/>
      <c r="J148" s="102"/>
      <c r="K148" s="229"/>
      <c r="L148" s="231"/>
      <c r="M148" s="230"/>
      <c r="N148" s="230"/>
      <c r="O148" s="102"/>
      <c r="Q148" s="224"/>
      <c r="R148" s="260"/>
      <c r="S148" s="260"/>
      <c r="T148" s="229"/>
      <c r="U148" s="230"/>
      <c r="V148" s="260"/>
      <c r="W148" s="260"/>
      <c r="X148" s="260"/>
      <c r="Y148" s="86">
        <v>0</v>
      </c>
      <c r="Z148" s="86">
        <v>10</v>
      </c>
      <c r="AA148" s="248">
        <v>2390.3031441465077</v>
      </c>
      <c r="AB148" s="191">
        <f>((4.7*10^13*AJ148*(AI148^0.5)*EXP($C$11/AA148))/($C$14*6))*$C$5*10^-6</f>
        <v>6.0535500286391168E-10</v>
      </c>
      <c r="AC148" s="153">
        <f>(((10^5*($C$4*$C$6)*10^-6)/($C$8*$C$7)))</f>
        <v>6.5681391066181393E-6</v>
      </c>
      <c r="AD148" s="88">
        <f>AC148/($AA$145*$G$11*((AG148/2)+3.76))</f>
        <v>1.358149665030406E-7</v>
      </c>
      <c r="AE148" s="96">
        <f>$G$12*$AA$145*$AC$28</f>
        <v>7.6</v>
      </c>
      <c r="AF148" s="96">
        <f>$G$13*$AA$145*$AC$28</f>
        <v>8.5499999999999989</v>
      </c>
      <c r="AG148" s="134">
        <f>(($G$15/2)*(1-$AA$145)*$AC$28)</f>
        <v>0.62500000000000056</v>
      </c>
      <c r="AH148" s="144">
        <f>$G$14*$AC$28</f>
        <v>47.023800000000001</v>
      </c>
      <c r="AI148" s="152">
        <f>((AG148*AD148)/($C$5*10^-6))</f>
        <v>2.1221088516100114E-3</v>
      </c>
      <c r="AJ148" s="151">
        <f>((AH148*AD148)/($C$5*10^-6))</f>
        <v>0.15966339554614201</v>
      </c>
      <c r="AK148" s="163">
        <f>SUM($AB$148:$AB$163)</f>
        <v>5.3371030102149554E-7</v>
      </c>
      <c r="AL148" s="161">
        <f>AD148*(AE148+AF148+AG148+AH148)</f>
        <v>8.6648318849341872E-6</v>
      </c>
      <c r="AM148" s="144">
        <f>(AK148/AL148)*10^6</f>
        <v>61594.997815188341</v>
      </c>
      <c r="AP148" s="86">
        <v>1</v>
      </c>
      <c r="AQ148" s="86">
        <f>AQ147+2</f>
        <v>12</v>
      </c>
      <c r="AR148" s="132">
        <f>(AR147*((AQ148/AQ147)^(($C$13-1)/$C$13)))</f>
        <v>2454.4712538274748</v>
      </c>
      <c r="AS148" s="191">
        <f t="shared" ref="AS148:AS162" si="145">((4.7*10^13*BA148*(AZ148^0.5)*EXP($C$11/AR148))/($C$14*6))*$C$5*10^-6</f>
        <v>3.367359708329486E-9</v>
      </c>
      <c r="AT148" s="153">
        <f t="shared" ref="AT148:AT162" si="146">(((10^5*($C$4*$C$6)*10^-6)/($C$8*$C$7)))</f>
        <v>6.5681391066181393E-6</v>
      </c>
      <c r="AU148" s="88">
        <f>AT148/($AR$144*$G$11*((AX148/2)+3.76))</f>
        <v>1.3592036176271897E-7</v>
      </c>
      <c r="AV148" s="96">
        <f>$G$12*$AR$144*$AC$28</f>
        <v>5.2</v>
      </c>
      <c r="AW148" s="96">
        <f>$G$13*$AR$144*$AC$28</f>
        <v>5.8500000000000005</v>
      </c>
      <c r="AX148" s="134">
        <f>(($G$15/2)*(1-$AR$144)*AC$28)</f>
        <v>4.375</v>
      </c>
      <c r="AY148" s="144">
        <f>$G$14*$AC$28</f>
        <v>47.023800000000001</v>
      </c>
      <c r="AZ148" s="152">
        <f t="shared" ref="AZ148:AZ162" si="147">((AX148*AU148)/($C$5*10^-6))</f>
        <v>1.486628956779739E-2</v>
      </c>
      <c r="BA148" s="142">
        <f t="shared" ref="BA148:BA163" si="148">((AY148*AU148)/($C$5*10^-6))</f>
        <v>0.15978729768644362</v>
      </c>
      <c r="BB148" s="163">
        <f t="shared" ref="BB148:BB162" si="149">SUM($AS$147:$AS$162)</f>
        <v>1.4137087352228198E-6</v>
      </c>
      <c r="BC148" s="153">
        <f t="shared" ref="BC148:BC162" si="150">AU148*(AV148+AW148+AX148+AY148)</f>
        <v>8.4880634876476858E-6</v>
      </c>
      <c r="BD148" s="144">
        <f t="shared" ref="BD148:BD162" si="151">(BB148/BC148)*10^6</f>
        <v>166552.56375969964</v>
      </c>
    </row>
    <row r="149" spans="1:56" x14ac:dyDescent="0.25">
      <c r="A149" s="224"/>
      <c r="B149" s="224"/>
      <c r="C149" s="229"/>
      <c r="D149" s="230"/>
      <c r="E149" s="224"/>
      <c r="F149" s="224"/>
      <c r="G149" s="224"/>
      <c r="H149" s="224"/>
      <c r="I149" s="231"/>
      <c r="J149" s="102"/>
      <c r="K149" s="229"/>
      <c r="L149" s="231"/>
      <c r="M149" s="231"/>
      <c r="N149" s="230"/>
      <c r="O149" s="102"/>
      <c r="Q149" s="224"/>
      <c r="R149" s="260"/>
      <c r="S149" s="260"/>
      <c r="T149" s="260"/>
      <c r="U149" s="260"/>
      <c r="V149" s="260"/>
      <c r="W149" s="260"/>
      <c r="X149" s="260"/>
      <c r="Y149" s="86">
        <v>1</v>
      </c>
      <c r="Z149" s="86">
        <f>Z148+2</f>
        <v>12</v>
      </c>
      <c r="AA149" s="132">
        <f>(AA148*((Z149/Z148)^(($C$13-1)/$C$13)))</f>
        <v>2454.4712538274748</v>
      </c>
      <c r="AB149" s="191">
        <f t="shared" ref="AB149:AB163" si="152">((4.7*10^13*AJ149*(AI149^0.5)*EXP($C$11/AA149))/($C$14*6))*$C$5*10^-6</f>
        <v>1.2712622613150389E-9</v>
      </c>
      <c r="AC149" s="153">
        <f t="shared" ref="AC149:AC163" si="153">(((10^5*($C$4*$C$6)*10^-6)/($C$8*$C$7)))</f>
        <v>6.5681391066181393E-6</v>
      </c>
      <c r="AD149" s="88">
        <f t="shared" ref="AD149:AD163" si="154">AC149/($AA$145*$G$11*((AG149/2)+3.76))</f>
        <v>1.358149665030406E-7</v>
      </c>
      <c r="AE149" s="96">
        <f>$G$12*$AA$145*$AC$28</f>
        <v>7.6</v>
      </c>
      <c r="AF149" s="96">
        <f>$G$13*$AA$145*$AC$28</f>
        <v>8.5499999999999989</v>
      </c>
      <c r="AG149" s="134">
        <f>(($G$15/2)*(1-$AA$145)*$AC$28)</f>
        <v>0.62500000000000056</v>
      </c>
      <c r="AH149" s="144">
        <f>$G$14*$AC$28</f>
        <v>47.023800000000001</v>
      </c>
      <c r="AI149" s="152">
        <f t="shared" ref="AI149:AI163" si="155">((AG149*AD149)/($C$5*10^-6))</f>
        <v>2.1221088516100114E-3</v>
      </c>
      <c r="AJ149" s="142">
        <f t="shared" ref="AJ149:AJ164" si="156">((AH149*AD149)/($C$5*10^-6))</f>
        <v>0.15966339554614201</v>
      </c>
      <c r="AK149" s="163">
        <f t="shared" ref="AK149:AK163" si="157">SUM($AB$148:$AB$163)</f>
        <v>5.3371030102149554E-7</v>
      </c>
      <c r="AL149" s="153">
        <f t="shared" ref="AL149:AL163" si="158">AD149*(AE149+AF149+AG149+AH149)</f>
        <v>8.6648318849341872E-6</v>
      </c>
      <c r="AM149" s="144">
        <f t="shared" ref="AM149:AM163" si="159">(AK149/AL149)*10^6</f>
        <v>61594.997815188341</v>
      </c>
      <c r="AO149" s="140"/>
      <c r="AP149" s="86">
        <v>2</v>
      </c>
      <c r="AQ149" s="86">
        <f t="shared" ref="AQ149:AQ162" si="160">AQ148+2</f>
        <v>14</v>
      </c>
      <c r="AR149" s="132">
        <f t="shared" ref="AR149:AR162" si="161">(AR148*((AQ149/AQ148)^(($C$13-1)/$C$13)))</f>
        <v>2510.0666958766406</v>
      </c>
      <c r="AS149" s="191">
        <f t="shared" si="145"/>
        <v>6.2107749053263073E-9</v>
      </c>
      <c r="AT149" s="153">
        <f t="shared" si="146"/>
        <v>6.5681391066181393E-6</v>
      </c>
      <c r="AU149" s="88">
        <f>AT149/($AR$144*$G$11*((AX149/2)+3.76))</f>
        <v>1.3592036176271897E-7</v>
      </c>
      <c r="AV149" s="96">
        <f>$G$12*$AR$144*$AC$28</f>
        <v>5.2</v>
      </c>
      <c r="AW149" s="96">
        <f>$G$13*$AR$144*$AC$28</f>
        <v>5.8500000000000005</v>
      </c>
      <c r="AX149" s="134">
        <f>(($G$15/2)*(1-$AR$144)*AC$28)</f>
        <v>4.375</v>
      </c>
      <c r="AY149" s="144">
        <f>$G$14*$AC$28</f>
        <v>47.023800000000001</v>
      </c>
      <c r="AZ149" s="152">
        <f t="shared" si="147"/>
        <v>1.486628956779739E-2</v>
      </c>
      <c r="BA149" s="142">
        <f t="shared" si="148"/>
        <v>0.15978729768644362</v>
      </c>
      <c r="BB149" s="163">
        <f t="shared" si="149"/>
        <v>1.4137087352228198E-6</v>
      </c>
      <c r="BC149" s="153">
        <f t="shared" si="150"/>
        <v>8.4880634876476858E-6</v>
      </c>
      <c r="BD149" s="144">
        <f t="shared" si="151"/>
        <v>166552.56375969964</v>
      </c>
    </row>
    <row r="150" spans="1:56" ht="21" x14ac:dyDescent="0.25">
      <c r="A150" s="224"/>
      <c r="B150" s="224"/>
      <c r="C150" s="224"/>
      <c r="D150" s="224"/>
      <c r="E150" s="224"/>
      <c r="F150" s="224"/>
      <c r="G150" s="224"/>
      <c r="H150" s="224"/>
      <c r="I150" s="224"/>
      <c r="J150" s="224"/>
      <c r="K150" s="224"/>
      <c r="L150" s="224"/>
      <c r="M150" s="224"/>
      <c r="N150" s="224"/>
      <c r="Q150" s="224"/>
      <c r="R150" s="209"/>
      <c r="S150" s="209"/>
      <c r="T150" s="209"/>
      <c r="U150" s="209"/>
      <c r="V150" s="209"/>
      <c r="W150" s="209"/>
      <c r="X150" s="209"/>
      <c r="Y150" s="86">
        <v>2</v>
      </c>
      <c r="Z150" s="86">
        <f t="shared" ref="Z150:Z163" si="162">Z149+2</f>
        <v>14</v>
      </c>
      <c r="AA150" s="132">
        <f t="shared" ref="AA150:AA163" si="163">(AA149*((Z150/Z149)^(($C$13-1)/$C$13)))</f>
        <v>2510.0666958766406</v>
      </c>
      <c r="AB150" s="191">
        <f t="shared" si="152"/>
        <v>2.3447224040643723E-9</v>
      </c>
      <c r="AC150" s="153">
        <f t="shared" si="153"/>
        <v>6.5681391066181393E-6</v>
      </c>
      <c r="AD150" s="88">
        <f t="shared" si="154"/>
        <v>1.358149665030406E-7</v>
      </c>
      <c r="AE150" s="96">
        <f>$G$12*$AA$145*$AC$28</f>
        <v>7.6</v>
      </c>
      <c r="AF150" s="96">
        <f>$G$13*$AA$145*$AC$28</f>
        <v>8.5499999999999989</v>
      </c>
      <c r="AG150" s="134">
        <f>(($G$15/2)*(1-$AA$145)*$AC$28)</f>
        <v>0.62500000000000056</v>
      </c>
      <c r="AH150" s="144">
        <f>$G$14*$AC$28</f>
        <v>47.023800000000001</v>
      </c>
      <c r="AI150" s="152">
        <f t="shared" si="155"/>
        <v>2.1221088516100114E-3</v>
      </c>
      <c r="AJ150" s="142">
        <f t="shared" si="156"/>
        <v>0.15966339554614201</v>
      </c>
      <c r="AK150" s="163">
        <f t="shared" si="157"/>
        <v>5.3371030102149554E-7</v>
      </c>
      <c r="AL150" s="153">
        <f t="shared" si="158"/>
        <v>8.6648318849341872E-6</v>
      </c>
      <c r="AM150" s="144">
        <f t="shared" si="159"/>
        <v>61594.997815188341</v>
      </c>
      <c r="AO150" s="140"/>
      <c r="AP150" s="86">
        <v>3</v>
      </c>
      <c r="AQ150" s="86">
        <f t="shared" si="160"/>
        <v>16</v>
      </c>
      <c r="AR150" s="132">
        <f t="shared" si="161"/>
        <v>2559.2425148554435</v>
      </c>
      <c r="AS150" s="191">
        <f t="shared" si="145"/>
        <v>1.0439425049284087E-8</v>
      </c>
      <c r="AT150" s="153">
        <f t="shared" si="146"/>
        <v>6.5681391066181393E-6</v>
      </c>
      <c r="AU150" s="88">
        <f>AT150/($AR$144*$G$11*((AX150/2)+3.76))</f>
        <v>1.3592036176271897E-7</v>
      </c>
      <c r="AV150" s="96">
        <f>$G$12*$AR$144*$AC$28</f>
        <v>5.2</v>
      </c>
      <c r="AW150" s="96">
        <f>$G$13*$AR$144*$AC$28</f>
        <v>5.8500000000000005</v>
      </c>
      <c r="AX150" s="134">
        <f>(($G$15/2)*(1-$AR$144)*AC$28)</f>
        <v>4.375</v>
      </c>
      <c r="AY150" s="144">
        <f>$G$14*$AC$28</f>
        <v>47.023800000000001</v>
      </c>
      <c r="AZ150" s="152">
        <f t="shared" si="147"/>
        <v>1.486628956779739E-2</v>
      </c>
      <c r="BA150" s="142">
        <f t="shared" si="148"/>
        <v>0.15978729768644362</v>
      </c>
      <c r="BB150" s="163">
        <f t="shared" si="149"/>
        <v>1.4137087352228198E-6</v>
      </c>
      <c r="BC150" s="153">
        <f t="shared" si="150"/>
        <v>8.4880634876476858E-6</v>
      </c>
      <c r="BD150" s="144">
        <f t="shared" si="151"/>
        <v>166552.56375969964</v>
      </c>
    </row>
    <row r="151" spans="1:56" ht="21.75" thickBot="1" x14ac:dyDescent="0.3">
      <c r="A151" s="224"/>
      <c r="B151" s="224"/>
      <c r="C151" s="240"/>
      <c r="D151" s="240"/>
      <c r="E151" s="240"/>
      <c r="F151" s="240"/>
      <c r="G151" s="240"/>
      <c r="H151" s="240"/>
      <c r="I151" s="240"/>
      <c r="J151" s="240"/>
      <c r="K151" s="240"/>
      <c r="L151" s="240"/>
      <c r="M151" s="240"/>
      <c r="N151" s="224"/>
      <c r="Q151" s="224"/>
      <c r="R151" s="209"/>
      <c r="S151" s="209"/>
      <c r="T151" s="209"/>
      <c r="U151" s="209"/>
      <c r="V151" s="209"/>
      <c r="W151" s="209"/>
      <c r="X151" s="209"/>
      <c r="Y151" s="86">
        <v>3</v>
      </c>
      <c r="Z151" s="86">
        <f t="shared" si="162"/>
        <v>16</v>
      </c>
      <c r="AA151" s="132">
        <f t="shared" si="163"/>
        <v>2559.2425148554435</v>
      </c>
      <c r="AB151" s="191">
        <f t="shared" si="152"/>
        <v>3.9411432827191139E-9</v>
      </c>
      <c r="AC151" s="153">
        <f t="shared" si="153"/>
        <v>6.5681391066181393E-6</v>
      </c>
      <c r="AD151" s="88">
        <f t="shared" si="154"/>
        <v>1.358149665030406E-7</v>
      </c>
      <c r="AE151" s="96">
        <f>$G$12*$AA$145*$AC$28</f>
        <v>7.6</v>
      </c>
      <c r="AF151" s="96">
        <f>$G$13*$AA$145*$AC$28</f>
        <v>8.5499999999999989</v>
      </c>
      <c r="AG151" s="134">
        <f>(($G$15/2)*(1-$AA$145)*$AC$28)</f>
        <v>0.62500000000000056</v>
      </c>
      <c r="AH151" s="144">
        <f>$G$14*$AC$28</f>
        <v>47.023800000000001</v>
      </c>
      <c r="AI151" s="152">
        <f t="shared" si="155"/>
        <v>2.1221088516100114E-3</v>
      </c>
      <c r="AJ151" s="142">
        <f t="shared" si="156"/>
        <v>0.15966339554614201</v>
      </c>
      <c r="AK151" s="163">
        <f t="shared" si="157"/>
        <v>5.3371030102149554E-7</v>
      </c>
      <c r="AL151" s="153">
        <f t="shared" si="158"/>
        <v>8.6648318849341872E-6</v>
      </c>
      <c r="AM151" s="144">
        <f t="shared" si="159"/>
        <v>61594.997815188341</v>
      </c>
      <c r="AO151" s="188"/>
      <c r="AP151" s="86">
        <v>4</v>
      </c>
      <c r="AQ151" s="86">
        <f t="shared" si="160"/>
        <v>18</v>
      </c>
      <c r="AR151" s="132">
        <f t="shared" si="161"/>
        <v>2603.4177381529535</v>
      </c>
      <c r="AS151" s="191">
        <f t="shared" si="145"/>
        <v>1.63685055672707E-8</v>
      </c>
      <c r="AT151" s="153">
        <f t="shared" si="146"/>
        <v>6.5681391066181393E-6</v>
      </c>
      <c r="AU151" s="88">
        <f>AT151/($AR$144*$G$11*((AX151/2)+3.76))</f>
        <v>1.3592036176271897E-7</v>
      </c>
      <c r="AV151" s="96">
        <f>$G$12*$AR$144*$AC$28</f>
        <v>5.2</v>
      </c>
      <c r="AW151" s="96">
        <f>$G$13*$AR$144*$AC$28</f>
        <v>5.8500000000000005</v>
      </c>
      <c r="AX151" s="134">
        <f>(($G$15/2)*(1-$AR$144)*AC$28)</f>
        <v>4.375</v>
      </c>
      <c r="AY151" s="144">
        <f>$G$14*$AC$28</f>
        <v>47.023800000000001</v>
      </c>
      <c r="AZ151" s="152">
        <f t="shared" si="147"/>
        <v>1.486628956779739E-2</v>
      </c>
      <c r="BA151" s="142">
        <f t="shared" si="148"/>
        <v>0.15978729768644362</v>
      </c>
      <c r="BB151" s="163">
        <f t="shared" si="149"/>
        <v>1.4137087352228198E-6</v>
      </c>
      <c r="BC151" s="153">
        <f t="shared" si="150"/>
        <v>8.4880634876476858E-6</v>
      </c>
      <c r="BD151" s="144">
        <f t="shared" si="151"/>
        <v>166552.56375969964</v>
      </c>
    </row>
    <row r="152" spans="1:56" ht="21" x14ac:dyDescent="0.25">
      <c r="A152" s="224"/>
      <c r="B152" s="224"/>
      <c r="C152" s="240"/>
      <c r="D152" s="240"/>
      <c r="E152" s="240"/>
      <c r="F152" s="240"/>
      <c r="G152" s="240"/>
      <c r="H152" s="240"/>
      <c r="I152" s="240"/>
      <c r="J152" s="240"/>
      <c r="K152" s="240"/>
      <c r="L152" s="240"/>
      <c r="M152" s="240"/>
      <c r="N152" s="224"/>
      <c r="Q152" s="224"/>
      <c r="R152" s="260"/>
      <c r="S152" s="260"/>
      <c r="T152" s="260"/>
      <c r="U152" s="260"/>
      <c r="V152" s="260"/>
      <c r="W152" s="260"/>
      <c r="X152" s="260"/>
      <c r="Y152" s="86">
        <v>4</v>
      </c>
      <c r="Z152" s="86">
        <f t="shared" si="162"/>
        <v>18</v>
      </c>
      <c r="AA152" s="132">
        <f t="shared" si="163"/>
        <v>2603.4177381529535</v>
      </c>
      <c r="AB152" s="191">
        <f t="shared" si="152"/>
        <v>6.1795190309856525E-9</v>
      </c>
      <c r="AC152" s="153">
        <f t="shared" si="153"/>
        <v>6.5681391066181393E-6</v>
      </c>
      <c r="AD152" s="88">
        <f t="shared" si="154"/>
        <v>1.358149665030406E-7</v>
      </c>
      <c r="AE152" s="96">
        <f>$G$12*$AA$145*$AC$28</f>
        <v>7.6</v>
      </c>
      <c r="AF152" s="96">
        <f>$G$13*$AA$145*$AC$28</f>
        <v>8.5499999999999989</v>
      </c>
      <c r="AG152" s="134">
        <f>(($G$15/2)*(1-$AA$145)*$AC$28)</f>
        <v>0.62500000000000056</v>
      </c>
      <c r="AH152" s="144">
        <f>$G$14*$AC$28</f>
        <v>47.023800000000001</v>
      </c>
      <c r="AI152" s="152">
        <f t="shared" si="155"/>
        <v>2.1221088516100114E-3</v>
      </c>
      <c r="AJ152" s="142">
        <f t="shared" si="156"/>
        <v>0.15966339554614201</v>
      </c>
      <c r="AK152" s="163">
        <f t="shared" si="157"/>
        <v>5.3371030102149554E-7</v>
      </c>
      <c r="AL152" s="153">
        <f t="shared" si="158"/>
        <v>8.6648318849341872E-6</v>
      </c>
      <c r="AM152" s="144">
        <f t="shared" si="159"/>
        <v>61594.997815188341</v>
      </c>
      <c r="AP152" s="86">
        <v>5</v>
      </c>
      <c r="AQ152" s="86">
        <f t="shared" si="160"/>
        <v>20</v>
      </c>
      <c r="AR152" s="132">
        <f t="shared" si="161"/>
        <v>2643.5795511532228</v>
      </c>
      <c r="AS152" s="191">
        <f t="shared" si="145"/>
        <v>2.431810152608481E-8</v>
      </c>
      <c r="AT152" s="153">
        <f t="shared" si="146"/>
        <v>6.5681391066181393E-6</v>
      </c>
      <c r="AU152" s="88">
        <f>AT152/($AR$144*$G$11*((AX152/2)+3.76))</f>
        <v>1.3592036176271897E-7</v>
      </c>
      <c r="AV152" s="96">
        <f>$G$12*$AR$144*$AC$28</f>
        <v>5.2</v>
      </c>
      <c r="AW152" s="96">
        <f>$G$13*$AR$144*$AC$28</f>
        <v>5.8500000000000005</v>
      </c>
      <c r="AX152" s="134">
        <f>(($G$15/2)*(1-$AR$144)*AC$28)</f>
        <v>4.375</v>
      </c>
      <c r="AY152" s="144">
        <f>$G$14*$AC$28</f>
        <v>47.023800000000001</v>
      </c>
      <c r="AZ152" s="152">
        <f t="shared" si="147"/>
        <v>1.486628956779739E-2</v>
      </c>
      <c r="BA152" s="142">
        <f t="shared" si="148"/>
        <v>0.15978729768644362</v>
      </c>
      <c r="BB152" s="163">
        <f t="shared" si="149"/>
        <v>1.4137087352228198E-6</v>
      </c>
      <c r="BC152" s="153">
        <f t="shared" si="150"/>
        <v>8.4880634876476858E-6</v>
      </c>
      <c r="BD152" s="144">
        <f t="shared" si="151"/>
        <v>166552.56375969964</v>
      </c>
    </row>
    <row r="153" spans="1:56" x14ac:dyDescent="0.25">
      <c r="A153" s="224"/>
      <c r="B153" s="224"/>
      <c r="C153" s="224"/>
      <c r="D153" s="224"/>
      <c r="E153" s="224"/>
      <c r="F153" s="224"/>
      <c r="G153" s="224"/>
      <c r="H153" s="224"/>
      <c r="I153" s="224"/>
      <c r="J153" s="224"/>
      <c r="K153" s="224"/>
      <c r="L153" s="224"/>
      <c r="M153" s="224"/>
      <c r="N153" s="224"/>
      <c r="Q153" s="224"/>
      <c r="R153" s="260"/>
      <c r="S153" s="260"/>
      <c r="T153" s="260"/>
      <c r="U153" s="230"/>
      <c r="V153" s="230"/>
      <c r="W153" s="260"/>
      <c r="X153" s="260"/>
      <c r="Y153" s="86">
        <v>5</v>
      </c>
      <c r="Z153" s="86">
        <f t="shared" si="162"/>
        <v>20</v>
      </c>
      <c r="AA153" s="132">
        <f t="shared" si="163"/>
        <v>2643.5795511532228</v>
      </c>
      <c r="AB153" s="191">
        <f t="shared" si="152"/>
        <v>9.1806897435010727E-9</v>
      </c>
      <c r="AC153" s="153">
        <f t="shared" si="153"/>
        <v>6.5681391066181393E-6</v>
      </c>
      <c r="AD153" s="88">
        <f t="shared" si="154"/>
        <v>1.358149665030406E-7</v>
      </c>
      <c r="AE153" s="96">
        <f>$G$12*$AA$145*$AC$28</f>
        <v>7.6</v>
      </c>
      <c r="AF153" s="96">
        <f>$G$13*$AA$145*$AC$28</f>
        <v>8.5499999999999989</v>
      </c>
      <c r="AG153" s="134">
        <f>(($G$15/2)*(1-$AA$145)*$AC$28)</f>
        <v>0.62500000000000056</v>
      </c>
      <c r="AH153" s="144">
        <f>$G$14*$AC$28</f>
        <v>47.023800000000001</v>
      </c>
      <c r="AI153" s="152">
        <f t="shared" si="155"/>
        <v>2.1221088516100114E-3</v>
      </c>
      <c r="AJ153" s="142">
        <f t="shared" si="156"/>
        <v>0.15966339554614201</v>
      </c>
      <c r="AK153" s="163">
        <f t="shared" si="157"/>
        <v>5.3371030102149554E-7</v>
      </c>
      <c r="AL153" s="153">
        <f t="shared" si="158"/>
        <v>8.6648318849341872E-6</v>
      </c>
      <c r="AM153" s="144">
        <f t="shared" si="159"/>
        <v>61594.997815188341</v>
      </c>
      <c r="AP153" s="86">
        <v>6</v>
      </c>
      <c r="AQ153" s="86">
        <f t="shared" si="160"/>
        <v>22</v>
      </c>
      <c r="AR153" s="132">
        <f t="shared" si="161"/>
        <v>2680.4437978364645</v>
      </c>
      <c r="AS153" s="191">
        <f t="shared" si="145"/>
        <v>3.4609847766443636E-8</v>
      </c>
      <c r="AT153" s="153">
        <f t="shared" si="146"/>
        <v>6.5681391066181393E-6</v>
      </c>
      <c r="AU153" s="88">
        <f>AT153/($AR$144*$G$11*((AX153/2)+3.76))</f>
        <v>1.3592036176271897E-7</v>
      </c>
      <c r="AV153" s="96">
        <f>$G$12*$AR$144*$AC$28</f>
        <v>5.2</v>
      </c>
      <c r="AW153" s="96">
        <f>$G$13*$AR$144*$AC$28</f>
        <v>5.8500000000000005</v>
      </c>
      <c r="AX153" s="134">
        <f>(($G$15/2)*(1-$AR$144)*AC$28)</f>
        <v>4.375</v>
      </c>
      <c r="AY153" s="144">
        <f>$G$14*$AC$28</f>
        <v>47.023800000000001</v>
      </c>
      <c r="AZ153" s="152">
        <f t="shared" si="147"/>
        <v>1.486628956779739E-2</v>
      </c>
      <c r="BA153" s="142">
        <f t="shared" si="148"/>
        <v>0.15978729768644362</v>
      </c>
      <c r="BB153" s="163">
        <f t="shared" si="149"/>
        <v>1.4137087352228198E-6</v>
      </c>
      <c r="BC153" s="153">
        <f t="shared" si="150"/>
        <v>8.4880634876476858E-6</v>
      </c>
      <c r="BD153" s="144">
        <f t="shared" si="151"/>
        <v>166552.56375969964</v>
      </c>
    </row>
    <row r="154" spans="1:56" x14ac:dyDescent="0.25">
      <c r="A154" s="224"/>
      <c r="B154" s="224"/>
      <c r="C154" s="224"/>
      <c r="D154" s="230"/>
      <c r="E154" s="230"/>
      <c r="F154" s="224"/>
      <c r="G154" s="224"/>
      <c r="H154" s="224"/>
      <c r="I154" s="231"/>
      <c r="J154" s="102"/>
      <c r="K154" s="229"/>
      <c r="L154" s="231"/>
      <c r="M154" s="230"/>
      <c r="N154" s="230"/>
      <c r="O154" s="102"/>
      <c r="Q154" s="224"/>
      <c r="R154" s="260"/>
      <c r="S154" s="260"/>
      <c r="T154" s="229"/>
      <c r="U154" s="230"/>
      <c r="V154" s="230"/>
      <c r="W154" s="260"/>
      <c r="X154" s="260"/>
      <c r="Y154" s="86">
        <v>6</v>
      </c>
      <c r="Z154" s="86">
        <f t="shared" si="162"/>
        <v>22</v>
      </c>
      <c r="AA154" s="132">
        <f t="shared" si="163"/>
        <v>2680.4437978364645</v>
      </c>
      <c r="AB154" s="191">
        <f t="shared" si="152"/>
        <v>1.3066080593203228E-8</v>
      </c>
      <c r="AC154" s="153">
        <f t="shared" si="153"/>
        <v>6.5681391066181393E-6</v>
      </c>
      <c r="AD154" s="88">
        <f t="shared" si="154"/>
        <v>1.358149665030406E-7</v>
      </c>
      <c r="AE154" s="96">
        <f>$G$12*$AA$145*$AC$28</f>
        <v>7.6</v>
      </c>
      <c r="AF154" s="96">
        <f>$G$13*$AA$145*$AC$28</f>
        <v>8.5499999999999989</v>
      </c>
      <c r="AG154" s="134">
        <f>(($G$15/2)*(1-$AA$145)*$AC$28)</f>
        <v>0.62500000000000056</v>
      </c>
      <c r="AH154" s="144">
        <f>$G$14*$AC$28</f>
        <v>47.023800000000001</v>
      </c>
      <c r="AI154" s="152">
        <f t="shared" si="155"/>
        <v>2.1221088516100114E-3</v>
      </c>
      <c r="AJ154" s="142">
        <f t="shared" si="156"/>
        <v>0.15966339554614201</v>
      </c>
      <c r="AK154" s="163">
        <f t="shared" si="157"/>
        <v>5.3371030102149554E-7</v>
      </c>
      <c r="AL154" s="153">
        <f t="shared" si="158"/>
        <v>8.6648318849341872E-6</v>
      </c>
      <c r="AM154" s="144">
        <f t="shared" si="159"/>
        <v>61594.997815188341</v>
      </c>
      <c r="AP154" s="86">
        <v>7</v>
      </c>
      <c r="AQ154" s="86">
        <f t="shared" si="160"/>
        <v>24</v>
      </c>
      <c r="AR154" s="132">
        <f t="shared" si="161"/>
        <v>2714.5469106716873</v>
      </c>
      <c r="AS154" s="191">
        <f t="shared" si="145"/>
        <v>4.7564497213798929E-8</v>
      </c>
      <c r="AT154" s="153">
        <f t="shared" si="146"/>
        <v>6.5681391066181393E-6</v>
      </c>
      <c r="AU154" s="88">
        <f>AT154/($AR$144*$G$11*((AX154/2)+3.76))</f>
        <v>1.3592036176271897E-7</v>
      </c>
      <c r="AV154" s="96">
        <f>$G$12*$AR$144*$AC$28</f>
        <v>5.2</v>
      </c>
      <c r="AW154" s="96">
        <f>$G$13*$AR$144*$AC$28</f>
        <v>5.8500000000000005</v>
      </c>
      <c r="AX154" s="134">
        <f>(($G$15/2)*(1-$AR$144)*AC$28)</f>
        <v>4.375</v>
      </c>
      <c r="AY154" s="144">
        <f>$G$14*$AC$28</f>
        <v>47.023800000000001</v>
      </c>
      <c r="AZ154" s="152">
        <f t="shared" si="147"/>
        <v>1.486628956779739E-2</v>
      </c>
      <c r="BA154" s="142">
        <f t="shared" si="148"/>
        <v>0.15978729768644362</v>
      </c>
      <c r="BB154" s="163">
        <f t="shared" si="149"/>
        <v>1.4137087352228198E-6</v>
      </c>
      <c r="BC154" s="153">
        <f t="shared" si="150"/>
        <v>8.4880634876476858E-6</v>
      </c>
      <c r="BD154" s="144">
        <f t="shared" si="151"/>
        <v>166552.56375969964</v>
      </c>
    </row>
    <row r="155" spans="1:56" x14ac:dyDescent="0.25">
      <c r="A155" s="224"/>
      <c r="B155" s="224"/>
      <c r="C155" s="229"/>
      <c r="D155" s="230"/>
      <c r="E155" s="230"/>
      <c r="F155" s="224"/>
      <c r="G155" s="224"/>
      <c r="H155" s="224"/>
      <c r="I155" s="231"/>
      <c r="J155" s="102"/>
      <c r="K155" s="229"/>
      <c r="L155" s="231"/>
      <c r="M155" s="230"/>
      <c r="N155" s="230"/>
      <c r="O155" s="102"/>
      <c r="Q155" s="224"/>
      <c r="R155" s="260"/>
      <c r="S155" s="260"/>
      <c r="T155" s="229"/>
      <c r="U155" s="230"/>
      <c r="V155" s="230"/>
      <c r="W155" s="260"/>
      <c r="X155" s="260"/>
      <c r="Y155" s="86">
        <v>7</v>
      </c>
      <c r="Z155" s="86">
        <f t="shared" si="162"/>
        <v>24</v>
      </c>
      <c r="AA155" s="132">
        <f t="shared" si="163"/>
        <v>2714.5469106716873</v>
      </c>
      <c r="AB155" s="191">
        <f t="shared" si="152"/>
        <v>1.7956783808025052E-8</v>
      </c>
      <c r="AC155" s="153">
        <f t="shared" si="153"/>
        <v>6.5681391066181393E-6</v>
      </c>
      <c r="AD155" s="88">
        <f t="shared" si="154"/>
        <v>1.358149665030406E-7</v>
      </c>
      <c r="AE155" s="96">
        <f>$G$12*$AA$145*$AC$28</f>
        <v>7.6</v>
      </c>
      <c r="AF155" s="96">
        <f>$G$13*$AA$145*$AC$28</f>
        <v>8.5499999999999989</v>
      </c>
      <c r="AG155" s="134">
        <f>(($G$15/2)*(1-$AA$145)*$AC$28)</f>
        <v>0.62500000000000056</v>
      </c>
      <c r="AH155" s="144">
        <f>$G$14*$AC$28</f>
        <v>47.023800000000001</v>
      </c>
      <c r="AI155" s="152">
        <f t="shared" si="155"/>
        <v>2.1221088516100114E-3</v>
      </c>
      <c r="AJ155" s="142">
        <f t="shared" si="156"/>
        <v>0.15966339554614201</v>
      </c>
      <c r="AK155" s="163">
        <f t="shared" si="157"/>
        <v>5.3371030102149554E-7</v>
      </c>
      <c r="AL155" s="153">
        <f t="shared" si="158"/>
        <v>8.6648318849341872E-6</v>
      </c>
      <c r="AM155" s="144">
        <f t="shared" si="159"/>
        <v>61594.997815188341</v>
      </c>
      <c r="AP155" s="86">
        <v>8</v>
      </c>
      <c r="AQ155" s="86">
        <f t="shared" si="160"/>
        <v>26</v>
      </c>
      <c r="AR155" s="132">
        <f t="shared" si="161"/>
        <v>2746.3017618750005</v>
      </c>
      <c r="AS155" s="191">
        <f t="shared" si="145"/>
        <v>6.3500147052225798E-8</v>
      </c>
      <c r="AT155" s="153">
        <f t="shared" si="146"/>
        <v>6.5681391066181393E-6</v>
      </c>
      <c r="AU155" s="88">
        <f>AT155/($AR$144*$G$11*((AX155/2)+3.76))</f>
        <v>1.3592036176271897E-7</v>
      </c>
      <c r="AV155" s="96">
        <f>$G$12*$AR$144*$AC$28</f>
        <v>5.2</v>
      </c>
      <c r="AW155" s="96">
        <f>$G$13*$AR$144*$AC$28</f>
        <v>5.8500000000000005</v>
      </c>
      <c r="AX155" s="134">
        <f>(($G$15/2)*(1-$AR$144)*AC$28)</f>
        <v>4.375</v>
      </c>
      <c r="AY155" s="144">
        <f>$G$14*$AC$28</f>
        <v>47.023800000000001</v>
      </c>
      <c r="AZ155" s="152">
        <f t="shared" si="147"/>
        <v>1.486628956779739E-2</v>
      </c>
      <c r="BA155" s="142">
        <f t="shared" si="148"/>
        <v>0.15978729768644362</v>
      </c>
      <c r="BB155" s="163">
        <f t="shared" si="149"/>
        <v>1.4137087352228198E-6</v>
      </c>
      <c r="BC155" s="153">
        <f t="shared" si="150"/>
        <v>8.4880634876476858E-6</v>
      </c>
      <c r="BD155" s="144">
        <f t="shared" si="151"/>
        <v>166552.56375969964</v>
      </c>
    </row>
    <row r="156" spans="1:56" x14ac:dyDescent="0.25">
      <c r="A156" s="224"/>
      <c r="B156" s="224"/>
      <c r="C156" s="229"/>
      <c r="D156" s="230"/>
      <c r="E156" s="230"/>
      <c r="F156" s="224"/>
      <c r="G156" s="224"/>
      <c r="H156" s="224"/>
      <c r="I156" s="231"/>
      <c r="J156" s="102"/>
      <c r="K156" s="229"/>
      <c r="L156" s="231"/>
      <c r="M156" s="230"/>
      <c r="N156" s="230"/>
      <c r="O156" s="102"/>
      <c r="Q156" s="224"/>
      <c r="R156" s="260"/>
      <c r="S156" s="260"/>
      <c r="T156" s="229"/>
      <c r="U156" s="230"/>
      <c r="V156" s="230"/>
      <c r="W156" s="260"/>
      <c r="X156" s="260"/>
      <c r="Y156" s="86">
        <v>8</v>
      </c>
      <c r="Z156" s="86">
        <f t="shared" si="162"/>
        <v>26</v>
      </c>
      <c r="AA156" s="132">
        <f t="shared" si="163"/>
        <v>2746.3017618750005</v>
      </c>
      <c r="AB156" s="191">
        <f t="shared" si="152"/>
        <v>2.3972889007303919E-8</v>
      </c>
      <c r="AC156" s="153">
        <f t="shared" si="153"/>
        <v>6.5681391066181393E-6</v>
      </c>
      <c r="AD156" s="88">
        <f t="shared" si="154"/>
        <v>1.358149665030406E-7</v>
      </c>
      <c r="AE156" s="96">
        <f>$G$12*$AA$145*$AC$28</f>
        <v>7.6</v>
      </c>
      <c r="AF156" s="96">
        <f>$G$13*$AA$145*$AC$28</f>
        <v>8.5499999999999989</v>
      </c>
      <c r="AG156" s="134">
        <f>(($G$15/2)*(1-$AA$145)*$AC$28)</f>
        <v>0.62500000000000056</v>
      </c>
      <c r="AH156" s="144">
        <f>$G$14*$AC$28</f>
        <v>47.023800000000001</v>
      </c>
      <c r="AI156" s="152">
        <f t="shared" si="155"/>
        <v>2.1221088516100114E-3</v>
      </c>
      <c r="AJ156" s="142">
        <f t="shared" si="156"/>
        <v>0.15966339554614201</v>
      </c>
      <c r="AK156" s="163">
        <f t="shared" si="157"/>
        <v>5.3371030102149554E-7</v>
      </c>
      <c r="AL156" s="153">
        <f t="shared" si="158"/>
        <v>8.6648318849341872E-6</v>
      </c>
      <c r="AM156" s="144">
        <f t="shared" si="159"/>
        <v>61594.997815188341</v>
      </c>
      <c r="AP156" s="86">
        <v>9</v>
      </c>
      <c r="AQ156" s="86">
        <f t="shared" si="160"/>
        <v>28</v>
      </c>
      <c r="AR156" s="132">
        <f t="shared" si="161"/>
        <v>2776.0332431054658</v>
      </c>
      <c r="AS156" s="191">
        <f t="shared" si="145"/>
        <v>8.273094717939031E-8</v>
      </c>
      <c r="AT156" s="153">
        <f t="shared" si="146"/>
        <v>6.5681391066181393E-6</v>
      </c>
      <c r="AU156" s="88">
        <f>AT156/($AR$144*$G$11*((AX156/2)+3.76))</f>
        <v>1.3592036176271897E-7</v>
      </c>
      <c r="AV156" s="96">
        <f>$G$12*$AR$144*$AC$28</f>
        <v>5.2</v>
      </c>
      <c r="AW156" s="96">
        <f>$G$13*$AR$144*$AC$28</f>
        <v>5.8500000000000005</v>
      </c>
      <c r="AX156" s="134">
        <f>(($G$15/2)*(1-$AR$144)*AC$28)</f>
        <v>4.375</v>
      </c>
      <c r="AY156" s="144">
        <f>$G$14*$AC$28</f>
        <v>47.023800000000001</v>
      </c>
      <c r="AZ156" s="152">
        <f t="shared" si="147"/>
        <v>1.486628956779739E-2</v>
      </c>
      <c r="BA156" s="142">
        <f t="shared" si="148"/>
        <v>0.15978729768644362</v>
      </c>
      <c r="BB156" s="163">
        <f t="shared" si="149"/>
        <v>1.4137087352228198E-6</v>
      </c>
      <c r="BC156" s="153">
        <f t="shared" si="150"/>
        <v>8.4880634876476858E-6</v>
      </c>
      <c r="BD156" s="144">
        <f t="shared" si="151"/>
        <v>166552.56375969964</v>
      </c>
    </row>
    <row r="157" spans="1:56" x14ac:dyDescent="0.25">
      <c r="A157" s="224"/>
      <c r="B157" s="224"/>
      <c r="C157" s="229"/>
      <c r="D157" s="230"/>
      <c r="E157" s="230"/>
      <c r="F157" s="224"/>
      <c r="G157" s="224"/>
      <c r="H157" s="224"/>
      <c r="I157" s="231"/>
      <c r="J157" s="102"/>
      <c r="K157" s="229"/>
      <c r="L157" s="231"/>
      <c r="M157" s="230"/>
      <c r="N157" s="230"/>
      <c r="O157" s="102"/>
      <c r="Q157" s="224"/>
      <c r="R157" s="260"/>
      <c r="S157" s="260"/>
      <c r="T157" s="229"/>
      <c r="U157" s="230"/>
      <c r="V157" s="230"/>
      <c r="W157" s="260"/>
      <c r="X157" s="260"/>
      <c r="Y157" s="86">
        <v>9</v>
      </c>
      <c r="Z157" s="86">
        <f t="shared" si="162"/>
        <v>28</v>
      </c>
      <c r="AA157" s="132">
        <f t="shared" si="163"/>
        <v>2776.0332431054658</v>
      </c>
      <c r="AB157" s="191">
        <f t="shared" si="152"/>
        <v>3.1232995611324789E-8</v>
      </c>
      <c r="AC157" s="153">
        <f t="shared" si="153"/>
        <v>6.5681391066181393E-6</v>
      </c>
      <c r="AD157" s="88">
        <f t="shared" si="154"/>
        <v>1.358149665030406E-7</v>
      </c>
      <c r="AE157" s="96">
        <f>$G$12*$AA$145*$AC$28</f>
        <v>7.6</v>
      </c>
      <c r="AF157" s="96">
        <f>$G$13*$AA$145*$AC$28</f>
        <v>8.5499999999999989</v>
      </c>
      <c r="AG157" s="134">
        <f>(($G$15/2)*(1-$AA$145)*$AC$28)</f>
        <v>0.62500000000000056</v>
      </c>
      <c r="AH157" s="144">
        <f>$G$14*$AC$28</f>
        <v>47.023800000000001</v>
      </c>
      <c r="AI157" s="152">
        <f t="shared" si="155"/>
        <v>2.1221088516100114E-3</v>
      </c>
      <c r="AJ157" s="142">
        <f t="shared" si="156"/>
        <v>0.15966339554614201</v>
      </c>
      <c r="AK157" s="163">
        <f t="shared" si="157"/>
        <v>5.3371030102149554E-7</v>
      </c>
      <c r="AL157" s="153">
        <f t="shared" si="158"/>
        <v>8.6648318849341872E-6</v>
      </c>
      <c r="AM157" s="144">
        <f t="shared" si="159"/>
        <v>61594.997815188341</v>
      </c>
      <c r="AP157" s="86">
        <v>10</v>
      </c>
      <c r="AQ157" s="86">
        <f t="shared" si="160"/>
        <v>30</v>
      </c>
      <c r="AR157" s="132">
        <f t="shared" si="161"/>
        <v>2804.0018333718417</v>
      </c>
      <c r="AS157" s="191">
        <f t="shared" si="145"/>
        <v>1.0556616598903855E-7</v>
      </c>
      <c r="AT157" s="153">
        <f t="shared" si="146"/>
        <v>6.5681391066181393E-6</v>
      </c>
      <c r="AU157" s="88">
        <f>AT157/($AR$144*$G$11*((AX157/2)+3.76))</f>
        <v>1.3592036176271897E-7</v>
      </c>
      <c r="AV157" s="96">
        <f>$G$12*$AR$144*$AC$28</f>
        <v>5.2</v>
      </c>
      <c r="AW157" s="96">
        <f>$G$13*$AR$144*$AC$28</f>
        <v>5.8500000000000005</v>
      </c>
      <c r="AX157" s="134">
        <f>(($G$15/2)*(1-$AR$144)*AC$28)</f>
        <v>4.375</v>
      </c>
      <c r="AY157" s="144">
        <f>$G$14*$AC$28</f>
        <v>47.023800000000001</v>
      </c>
      <c r="AZ157" s="152">
        <f t="shared" si="147"/>
        <v>1.486628956779739E-2</v>
      </c>
      <c r="BA157" s="142">
        <f t="shared" si="148"/>
        <v>0.15978729768644362</v>
      </c>
      <c r="BB157" s="163">
        <f t="shared" si="149"/>
        <v>1.4137087352228198E-6</v>
      </c>
      <c r="BC157" s="153">
        <f t="shared" si="150"/>
        <v>8.4880634876476858E-6</v>
      </c>
      <c r="BD157" s="144">
        <f t="shared" si="151"/>
        <v>166552.56375969964</v>
      </c>
    </row>
    <row r="158" spans="1:56" x14ac:dyDescent="0.25">
      <c r="A158" s="224"/>
      <c r="B158" s="224"/>
      <c r="C158" s="229"/>
      <c r="D158" s="230"/>
      <c r="E158" s="230"/>
      <c r="F158" s="224"/>
      <c r="G158" s="224"/>
      <c r="H158" s="224"/>
      <c r="I158" s="231"/>
      <c r="J158" s="102"/>
      <c r="K158" s="229"/>
      <c r="L158" s="231"/>
      <c r="M158" s="230"/>
      <c r="N158" s="230"/>
      <c r="O158" s="102"/>
      <c r="Q158" s="224"/>
      <c r="R158" s="260"/>
      <c r="S158" s="260"/>
      <c r="T158" s="229"/>
      <c r="U158" s="230"/>
      <c r="V158" s="230"/>
      <c r="W158" s="260"/>
      <c r="X158" s="260"/>
      <c r="Y158" s="86">
        <v>10</v>
      </c>
      <c r="Z158" s="86">
        <f t="shared" si="162"/>
        <v>30</v>
      </c>
      <c r="AA158" s="132">
        <f t="shared" si="163"/>
        <v>2804.0018333718417</v>
      </c>
      <c r="AB158" s="191">
        <f t="shared" si="152"/>
        <v>3.9853860150913394E-8</v>
      </c>
      <c r="AC158" s="153">
        <f t="shared" si="153"/>
        <v>6.5681391066181393E-6</v>
      </c>
      <c r="AD158" s="88">
        <f t="shared" si="154"/>
        <v>1.358149665030406E-7</v>
      </c>
      <c r="AE158" s="96">
        <f>$G$12*$AA$145*$AC$28</f>
        <v>7.6</v>
      </c>
      <c r="AF158" s="96">
        <f>$G$13*$AA$145*$AC$28</f>
        <v>8.5499999999999989</v>
      </c>
      <c r="AG158" s="134">
        <f>(($G$15/2)*(1-$AA$145)*$AC$28)</f>
        <v>0.62500000000000056</v>
      </c>
      <c r="AH158" s="144">
        <f>$G$14*$AC$28</f>
        <v>47.023800000000001</v>
      </c>
      <c r="AI158" s="152">
        <f t="shared" si="155"/>
        <v>2.1221088516100114E-3</v>
      </c>
      <c r="AJ158" s="142">
        <f t="shared" si="156"/>
        <v>0.15966339554614201</v>
      </c>
      <c r="AK158" s="163">
        <f t="shared" si="157"/>
        <v>5.3371030102149554E-7</v>
      </c>
      <c r="AL158" s="153">
        <f t="shared" si="158"/>
        <v>8.6648318849341872E-6</v>
      </c>
      <c r="AM158" s="144">
        <f t="shared" si="159"/>
        <v>61594.997815188341</v>
      </c>
      <c r="AP158" s="86">
        <v>11</v>
      </c>
      <c r="AQ158" s="86">
        <f t="shared" si="160"/>
        <v>32</v>
      </c>
      <c r="AR158" s="132">
        <f t="shared" si="161"/>
        <v>2830.4197295149102</v>
      </c>
      <c r="AS158" s="191">
        <f t="shared" si="145"/>
        <v>1.3230952331473406E-7</v>
      </c>
      <c r="AT158" s="153">
        <f t="shared" si="146"/>
        <v>6.5681391066181393E-6</v>
      </c>
      <c r="AU158" s="88">
        <f>AT158/($AR$144*$G$11*((AX158/2)+3.76))</f>
        <v>1.3592036176271897E-7</v>
      </c>
      <c r="AV158" s="96">
        <f>$G$12*$AR$144*$AC$28</f>
        <v>5.2</v>
      </c>
      <c r="AW158" s="96">
        <f>$G$13*$AR$144*$AC$28</f>
        <v>5.8500000000000005</v>
      </c>
      <c r="AX158" s="134">
        <f>(($G$15/2)*(1-$AR$144)*AC$28)</f>
        <v>4.375</v>
      </c>
      <c r="AY158" s="144">
        <f>$G$14*$AC$28</f>
        <v>47.023800000000001</v>
      </c>
      <c r="AZ158" s="152">
        <f t="shared" si="147"/>
        <v>1.486628956779739E-2</v>
      </c>
      <c r="BA158" s="142">
        <f t="shared" si="148"/>
        <v>0.15978729768644362</v>
      </c>
      <c r="BB158" s="163">
        <f t="shared" si="149"/>
        <v>1.4137087352228198E-6</v>
      </c>
      <c r="BC158" s="153">
        <f t="shared" si="150"/>
        <v>8.4880634876476858E-6</v>
      </c>
      <c r="BD158" s="144">
        <f t="shared" si="151"/>
        <v>166552.56375969964</v>
      </c>
    </row>
    <row r="159" spans="1:56" x14ac:dyDescent="0.25">
      <c r="A159" s="224"/>
      <c r="B159" s="224"/>
      <c r="C159" s="229"/>
      <c r="D159" s="230"/>
      <c r="E159" s="230"/>
      <c r="F159" s="224"/>
      <c r="G159" s="224"/>
      <c r="H159" s="224"/>
      <c r="I159" s="231"/>
      <c r="J159" s="102"/>
      <c r="K159" s="229"/>
      <c r="L159" s="231"/>
      <c r="M159" s="230"/>
      <c r="N159" s="230"/>
      <c r="O159" s="102"/>
      <c r="Q159" s="224"/>
      <c r="R159" s="260"/>
      <c r="S159" s="260"/>
      <c r="T159" s="229"/>
      <c r="U159" s="230"/>
      <c r="V159" s="230"/>
      <c r="W159" s="260"/>
      <c r="X159" s="260"/>
      <c r="Y159" s="86">
        <v>11</v>
      </c>
      <c r="Z159" s="86">
        <f t="shared" si="162"/>
        <v>32</v>
      </c>
      <c r="AA159" s="132">
        <f t="shared" si="163"/>
        <v>2830.4197295149102</v>
      </c>
      <c r="AB159" s="191">
        <f t="shared" si="152"/>
        <v>4.9950144437062853E-8</v>
      </c>
      <c r="AC159" s="153">
        <f t="shared" si="153"/>
        <v>6.5681391066181393E-6</v>
      </c>
      <c r="AD159" s="88">
        <f t="shared" si="154"/>
        <v>1.358149665030406E-7</v>
      </c>
      <c r="AE159" s="96">
        <f>$G$12*$AA$145*$AC$28</f>
        <v>7.6</v>
      </c>
      <c r="AF159" s="96">
        <f>$G$13*$AA$145*$AC$28</f>
        <v>8.5499999999999989</v>
      </c>
      <c r="AG159" s="134">
        <f>(($G$15/2)*(1-$AA$145)*$AC$28)</f>
        <v>0.62500000000000056</v>
      </c>
      <c r="AH159" s="144">
        <f>$G$14*$AC$28</f>
        <v>47.023800000000001</v>
      </c>
      <c r="AI159" s="152">
        <f t="shared" si="155"/>
        <v>2.1221088516100114E-3</v>
      </c>
      <c r="AJ159" s="142">
        <f t="shared" si="156"/>
        <v>0.15966339554614201</v>
      </c>
      <c r="AK159" s="163">
        <f t="shared" si="157"/>
        <v>5.3371030102149554E-7</v>
      </c>
      <c r="AL159" s="153">
        <f t="shared" si="158"/>
        <v>8.6648318849341872E-6</v>
      </c>
      <c r="AM159" s="144">
        <f t="shared" si="159"/>
        <v>61594.997815188341</v>
      </c>
      <c r="AP159" s="86">
        <v>12</v>
      </c>
      <c r="AQ159" s="86">
        <f t="shared" si="160"/>
        <v>34</v>
      </c>
      <c r="AR159" s="132">
        <f t="shared" si="161"/>
        <v>2855.4621979565291</v>
      </c>
      <c r="AS159" s="191">
        <f t="shared" si="145"/>
        <v>1.6325872463055028E-7</v>
      </c>
      <c r="AT159" s="153">
        <f t="shared" si="146"/>
        <v>6.5681391066181393E-6</v>
      </c>
      <c r="AU159" s="88">
        <f>AT159/($AR$144*$G$11*((AX159/2)+3.76))</f>
        <v>1.3592036176271897E-7</v>
      </c>
      <c r="AV159" s="96">
        <f>$G$12*$AR$144*$AC$28</f>
        <v>5.2</v>
      </c>
      <c r="AW159" s="96">
        <f>$G$13*$AR$144*$AC$28</f>
        <v>5.8500000000000005</v>
      </c>
      <c r="AX159" s="134">
        <f>(($G$15/2)*(1-$AR$144)*AC$28)</f>
        <v>4.375</v>
      </c>
      <c r="AY159" s="144">
        <f>$G$14*$AC$28</f>
        <v>47.023800000000001</v>
      </c>
      <c r="AZ159" s="152">
        <f t="shared" si="147"/>
        <v>1.486628956779739E-2</v>
      </c>
      <c r="BA159" s="142">
        <f t="shared" si="148"/>
        <v>0.15978729768644362</v>
      </c>
      <c r="BB159" s="163">
        <f t="shared" si="149"/>
        <v>1.4137087352228198E-6</v>
      </c>
      <c r="BC159" s="153">
        <f t="shared" si="150"/>
        <v>8.4880634876476858E-6</v>
      </c>
      <c r="BD159" s="144">
        <f t="shared" si="151"/>
        <v>166552.56375969964</v>
      </c>
    </row>
    <row r="160" spans="1:56" x14ac:dyDescent="0.25">
      <c r="A160" s="224"/>
      <c r="B160" s="224"/>
      <c r="C160" s="229"/>
      <c r="D160" s="230"/>
      <c r="E160" s="230"/>
      <c r="F160" s="224"/>
      <c r="G160" s="224"/>
      <c r="H160" s="224"/>
      <c r="I160" s="231"/>
      <c r="J160" s="102"/>
      <c r="K160" s="229"/>
      <c r="L160" s="231"/>
      <c r="M160" s="230"/>
      <c r="N160" s="230"/>
      <c r="O160" s="102"/>
      <c r="Q160" s="224"/>
      <c r="R160" s="260"/>
      <c r="S160" s="260"/>
      <c r="T160" s="229"/>
      <c r="U160" s="230"/>
      <c r="V160" s="230"/>
      <c r="W160" s="260"/>
      <c r="X160" s="260"/>
      <c r="Y160" s="86">
        <v>12</v>
      </c>
      <c r="Z160" s="86">
        <f t="shared" si="162"/>
        <v>34</v>
      </c>
      <c r="AA160" s="132">
        <f t="shared" si="163"/>
        <v>2855.4621979565291</v>
      </c>
      <c r="AB160" s="191">
        <f t="shared" si="152"/>
        <v>6.1634239710079381E-8</v>
      </c>
      <c r="AC160" s="153">
        <f t="shared" si="153"/>
        <v>6.5681391066181393E-6</v>
      </c>
      <c r="AD160" s="88">
        <f t="shared" si="154"/>
        <v>1.358149665030406E-7</v>
      </c>
      <c r="AE160" s="96">
        <f>$G$12*$AA$145*$AC$28</f>
        <v>7.6</v>
      </c>
      <c r="AF160" s="96">
        <f>$G$13*$AA$145*$AC$28</f>
        <v>8.5499999999999989</v>
      </c>
      <c r="AG160" s="134">
        <f>(($G$15/2)*(1-$AA$145)*$AC$28)</f>
        <v>0.62500000000000056</v>
      </c>
      <c r="AH160" s="144">
        <f>$G$14*$AC$28</f>
        <v>47.023800000000001</v>
      </c>
      <c r="AI160" s="152">
        <f t="shared" si="155"/>
        <v>2.1221088516100114E-3</v>
      </c>
      <c r="AJ160" s="142">
        <f t="shared" si="156"/>
        <v>0.15966339554614201</v>
      </c>
      <c r="AK160" s="163">
        <f t="shared" si="157"/>
        <v>5.3371030102149554E-7</v>
      </c>
      <c r="AL160" s="153">
        <f t="shared" si="158"/>
        <v>8.6648318849341872E-6</v>
      </c>
      <c r="AM160" s="144">
        <f t="shared" si="159"/>
        <v>61594.997815188341</v>
      </c>
      <c r="AP160" s="86">
        <v>13</v>
      </c>
      <c r="AQ160" s="86">
        <f t="shared" si="160"/>
        <v>36</v>
      </c>
      <c r="AR160" s="132">
        <f t="shared" si="161"/>
        <v>2879.2757573634708</v>
      </c>
      <c r="AS160" s="191">
        <f t="shared" si="145"/>
        <v>1.9870514777338111E-7</v>
      </c>
      <c r="AT160" s="153">
        <f t="shared" si="146"/>
        <v>6.5681391066181393E-6</v>
      </c>
      <c r="AU160" s="88">
        <f>AT160/($AR$144*$G$11*((AX160/2)+3.76))</f>
        <v>1.3592036176271897E-7</v>
      </c>
      <c r="AV160" s="96">
        <f>$G$12*$AR$144*$AC$28</f>
        <v>5.2</v>
      </c>
      <c r="AW160" s="96">
        <f>$G$13*$AR$144*$AC$28</f>
        <v>5.8500000000000005</v>
      </c>
      <c r="AX160" s="134">
        <f>(($G$15/2)*(1-$AR$144)*AC$28)</f>
        <v>4.375</v>
      </c>
      <c r="AY160" s="144">
        <f>$G$14*$AC$28</f>
        <v>47.023800000000001</v>
      </c>
      <c r="AZ160" s="152">
        <f t="shared" si="147"/>
        <v>1.486628956779739E-2</v>
      </c>
      <c r="BA160" s="142">
        <f t="shared" si="148"/>
        <v>0.15978729768644362</v>
      </c>
      <c r="BB160" s="163">
        <f t="shared" si="149"/>
        <v>1.4137087352228198E-6</v>
      </c>
      <c r="BC160" s="153">
        <f t="shared" si="150"/>
        <v>8.4880634876476858E-6</v>
      </c>
      <c r="BD160" s="144">
        <f t="shared" si="151"/>
        <v>166552.56375969964</v>
      </c>
    </row>
    <row r="161" spans="1:56" x14ac:dyDescent="0.25">
      <c r="A161" s="224"/>
      <c r="B161" s="224"/>
      <c r="C161" s="229"/>
      <c r="D161" s="230"/>
      <c r="E161" s="230"/>
      <c r="F161" s="224"/>
      <c r="G161" s="224"/>
      <c r="H161" s="224"/>
      <c r="I161" s="231"/>
      <c r="J161" s="102"/>
      <c r="K161" s="229"/>
      <c r="L161" s="231"/>
      <c r="M161" s="230"/>
      <c r="N161" s="230"/>
      <c r="O161" s="102"/>
      <c r="Q161" s="224"/>
      <c r="R161" s="260"/>
      <c r="S161" s="260"/>
      <c r="T161" s="229"/>
      <c r="U161" s="230"/>
      <c r="V161" s="230"/>
      <c r="W161" s="260"/>
      <c r="X161" s="260"/>
      <c r="Y161" s="86">
        <v>13</v>
      </c>
      <c r="Z161" s="86">
        <f t="shared" si="162"/>
        <v>36</v>
      </c>
      <c r="AA161" s="132">
        <f t="shared" si="163"/>
        <v>2879.2757573634708</v>
      </c>
      <c r="AB161" s="191">
        <f t="shared" si="152"/>
        <v>7.5016148369442521E-8</v>
      </c>
      <c r="AC161" s="153">
        <f t="shared" si="153"/>
        <v>6.5681391066181393E-6</v>
      </c>
      <c r="AD161" s="88">
        <f t="shared" si="154"/>
        <v>1.358149665030406E-7</v>
      </c>
      <c r="AE161" s="96">
        <f>$G$12*$AA$145*$AC$28</f>
        <v>7.6</v>
      </c>
      <c r="AF161" s="96">
        <f>$G$13*$AA$145*$AC$28</f>
        <v>8.5499999999999989</v>
      </c>
      <c r="AG161" s="134">
        <f>(($G$15/2)*(1-$AA$145)*$AC$28)</f>
        <v>0.62500000000000056</v>
      </c>
      <c r="AH161" s="144">
        <f>$G$14*$AC$28</f>
        <v>47.023800000000001</v>
      </c>
      <c r="AI161" s="152">
        <f t="shared" si="155"/>
        <v>2.1221088516100114E-3</v>
      </c>
      <c r="AJ161" s="142">
        <f t="shared" si="156"/>
        <v>0.15966339554614201</v>
      </c>
      <c r="AK161" s="163">
        <f t="shared" si="157"/>
        <v>5.3371030102149554E-7</v>
      </c>
      <c r="AL161" s="153">
        <f t="shared" si="158"/>
        <v>8.6648318849341872E-6</v>
      </c>
      <c r="AM161" s="144">
        <f t="shared" si="159"/>
        <v>61594.997815188341</v>
      </c>
      <c r="AP161" s="86">
        <v>14</v>
      </c>
      <c r="AQ161" s="86">
        <f t="shared" si="160"/>
        <v>38</v>
      </c>
      <c r="AR161" s="132">
        <f t="shared" si="161"/>
        <v>2901.9842014469746</v>
      </c>
      <c r="AS161" s="191">
        <f t="shared" si="145"/>
        <v>2.389336457685937E-7</v>
      </c>
      <c r="AT161" s="153">
        <f t="shared" si="146"/>
        <v>6.5681391066181393E-6</v>
      </c>
      <c r="AU161" s="88">
        <f>AT161/($AR$144*$G$11*((AX161/2)+3.76))</f>
        <v>1.3592036176271897E-7</v>
      </c>
      <c r="AV161" s="96">
        <f>$G$12*$AR$144*$AC$28</f>
        <v>5.2</v>
      </c>
      <c r="AW161" s="96">
        <f>$G$13*$AR$144*$AC$28</f>
        <v>5.8500000000000005</v>
      </c>
      <c r="AX161" s="134">
        <f>(($G$15/2)*(1-$AR$144)*AC$28)</f>
        <v>4.375</v>
      </c>
      <c r="AY161" s="144">
        <f>$G$14*$AC$28</f>
        <v>47.023800000000001</v>
      </c>
      <c r="AZ161" s="152">
        <f t="shared" si="147"/>
        <v>1.486628956779739E-2</v>
      </c>
      <c r="BA161" s="142">
        <f t="shared" si="148"/>
        <v>0.15978729768644362</v>
      </c>
      <c r="BB161" s="163">
        <f t="shared" si="149"/>
        <v>1.4137087352228198E-6</v>
      </c>
      <c r="BC161" s="153">
        <f t="shared" si="150"/>
        <v>8.4880634876476858E-6</v>
      </c>
      <c r="BD161" s="144">
        <f t="shared" si="151"/>
        <v>166552.56375969964</v>
      </c>
    </row>
    <row r="162" spans="1:56" x14ac:dyDescent="0.25">
      <c r="A162" s="224"/>
      <c r="B162" s="224"/>
      <c r="C162" s="229"/>
      <c r="D162" s="230"/>
      <c r="E162" s="230"/>
      <c r="F162" s="224"/>
      <c r="G162" s="224"/>
      <c r="H162" s="224"/>
      <c r="I162" s="231"/>
      <c r="J162" s="102"/>
      <c r="K162" s="229"/>
      <c r="L162" s="231"/>
      <c r="M162" s="230"/>
      <c r="N162" s="230"/>
      <c r="O162" s="102"/>
      <c r="Q162" s="224"/>
      <c r="R162" s="260"/>
      <c r="S162" s="260"/>
      <c r="T162" s="229"/>
      <c r="U162" s="230"/>
      <c r="V162" s="230"/>
      <c r="W162" s="260"/>
      <c r="X162" s="260"/>
      <c r="Y162" s="86">
        <v>14</v>
      </c>
      <c r="Z162" s="86">
        <f t="shared" si="162"/>
        <v>38</v>
      </c>
      <c r="AA162" s="132">
        <f t="shared" si="163"/>
        <v>2901.9842014469746</v>
      </c>
      <c r="AB162" s="191">
        <f t="shared" si="152"/>
        <v>9.0203409535572003E-8</v>
      </c>
      <c r="AC162" s="153">
        <f t="shared" si="153"/>
        <v>6.5681391066181393E-6</v>
      </c>
      <c r="AD162" s="88">
        <f t="shared" si="154"/>
        <v>1.358149665030406E-7</v>
      </c>
      <c r="AE162" s="96">
        <f>$G$12*$AA$145*$AC$28</f>
        <v>7.6</v>
      </c>
      <c r="AF162" s="96">
        <f>$G$13*$AA$145*$AC$28</f>
        <v>8.5499999999999989</v>
      </c>
      <c r="AG162" s="134">
        <f>(($G$15/2)*(1-$AA$145)*$AC$28)</f>
        <v>0.62500000000000056</v>
      </c>
      <c r="AH162" s="144">
        <f>$G$14*$AC$28</f>
        <v>47.023800000000001</v>
      </c>
      <c r="AI162" s="152">
        <f t="shared" si="155"/>
        <v>2.1221088516100114E-3</v>
      </c>
      <c r="AJ162" s="142">
        <f t="shared" si="156"/>
        <v>0.15966339554614201</v>
      </c>
      <c r="AK162" s="163">
        <f t="shared" si="157"/>
        <v>5.3371030102149554E-7</v>
      </c>
      <c r="AL162" s="153">
        <f t="shared" si="158"/>
        <v>8.6648318849341872E-6</v>
      </c>
      <c r="AM162" s="144">
        <f t="shared" si="159"/>
        <v>61594.997815188341</v>
      </c>
      <c r="AP162" s="86">
        <v>15</v>
      </c>
      <c r="AQ162" s="86">
        <f t="shared" si="160"/>
        <v>40</v>
      </c>
      <c r="AR162" s="132">
        <f t="shared" si="161"/>
        <v>2923.6931141513533</v>
      </c>
      <c r="AS162" s="191">
        <f t="shared" si="145"/>
        <v>2.8422243828962597E-7</v>
      </c>
      <c r="AT162" s="153">
        <f t="shared" si="146"/>
        <v>6.5681391066181393E-6</v>
      </c>
      <c r="AU162" s="88">
        <f>AT162/($AR$144*$G$11*((AX162/2)+3.76))</f>
        <v>1.3592036176271897E-7</v>
      </c>
      <c r="AV162" s="96">
        <f>$G$12*$AR$144*$AC$28</f>
        <v>5.2</v>
      </c>
      <c r="AW162" s="96">
        <f>$G$13*$AR$144*$AC$28</f>
        <v>5.8500000000000005</v>
      </c>
      <c r="AX162" s="134">
        <f>(($G$15/2)*(1-$AR$144)*AC$28)</f>
        <v>4.375</v>
      </c>
      <c r="AY162" s="144">
        <f>$G$14*$AC$28</f>
        <v>47.023800000000001</v>
      </c>
      <c r="AZ162" s="152">
        <f t="shared" si="147"/>
        <v>1.486628956779739E-2</v>
      </c>
      <c r="BA162" s="142">
        <f t="shared" si="148"/>
        <v>0.15978729768644362</v>
      </c>
      <c r="BB162" s="163">
        <f t="shared" si="149"/>
        <v>1.4137087352228198E-6</v>
      </c>
      <c r="BC162" s="153">
        <f t="shared" si="150"/>
        <v>8.4880634876476858E-6</v>
      </c>
      <c r="BD162" s="144">
        <f t="shared" si="151"/>
        <v>166552.56375969964</v>
      </c>
    </row>
    <row r="163" spans="1:56" ht="15.75" thickBot="1" x14ac:dyDescent="0.3">
      <c r="A163" s="224"/>
      <c r="B163" s="224"/>
      <c r="C163" s="229"/>
      <c r="D163" s="230"/>
      <c r="E163" s="230"/>
      <c r="F163" s="224"/>
      <c r="G163" s="224"/>
      <c r="H163" s="224"/>
      <c r="I163" s="231"/>
      <c r="J163" s="102"/>
      <c r="K163" s="229"/>
      <c r="L163" s="231"/>
      <c r="M163" s="230"/>
      <c r="N163" s="230"/>
      <c r="O163" s="102"/>
      <c r="Q163" s="224"/>
      <c r="R163" s="260"/>
      <c r="S163" s="260"/>
      <c r="T163" s="229"/>
      <c r="U163" s="230"/>
      <c r="V163" s="230"/>
      <c r="W163" s="260"/>
      <c r="X163" s="260"/>
      <c r="Y163" s="86">
        <v>15</v>
      </c>
      <c r="Z163" s="86">
        <f t="shared" si="162"/>
        <v>40</v>
      </c>
      <c r="AA163" s="132">
        <f t="shared" si="163"/>
        <v>2923.6931141513533</v>
      </c>
      <c r="AB163" s="191">
        <f t="shared" si="152"/>
        <v>1.0730105807311921E-7</v>
      </c>
      <c r="AC163" s="153">
        <f t="shared" si="153"/>
        <v>6.5681391066181393E-6</v>
      </c>
      <c r="AD163" s="88">
        <f t="shared" si="154"/>
        <v>1.358149665030406E-7</v>
      </c>
      <c r="AE163" s="96">
        <f>$G$12*$AA$145*$AC$28</f>
        <v>7.6</v>
      </c>
      <c r="AF163" s="96">
        <f>$G$13*$AA$145*$AC$28</f>
        <v>8.5499999999999989</v>
      </c>
      <c r="AG163" s="134">
        <f>(($G$15/2)*(1-$AA$145)*$AC$28)</f>
        <v>0.62500000000000056</v>
      </c>
      <c r="AH163" s="144">
        <f>$G$14*$AC$28</f>
        <v>47.023800000000001</v>
      </c>
      <c r="AI163" s="152">
        <f t="shared" si="155"/>
        <v>2.1221088516100114E-3</v>
      </c>
      <c r="AJ163" s="142">
        <f t="shared" si="156"/>
        <v>0.15966339554614201</v>
      </c>
      <c r="AK163" s="163">
        <f t="shared" si="157"/>
        <v>5.3371030102149554E-7</v>
      </c>
      <c r="AL163" s="153">
        <f t="shared" si="158"/>
        <v>8.6648318849341872E-6</v>
      </c>
      <c r="AM163" s="144">
        <f t="shared" si="159"/>
        <v>61594.997815188341</v>
      </c>
      <c r="AP163" s="249"/>
      <c r="AQ163" s="249"/>
      <c r="AR163" s="132"/>
      <c r="AS163" s="97"/>
      <c r="AT163" s="86"/>
      <c r="AU163" s="88"/>
      <c r="AV163" s="96"/>
      <c r="AW163" s="96"/>
      <c r="AX163" s="134"/>
      <c r="AY163" s="145"/>
      <c r="AZ163" s="152"/>
      <c r="BA163" s="143"/>
      <c r="BB163" s="143"/>
      <c r="BC163" s="162"/>
      <c r="BD163" s="144"/>
    </row>
    <row r="164" spans="1:56" ht="15.75" thickBot="1" x14ac:dyDescent="0.3">
      <c r="A164" s="224"/>
      <c r="B164" s="224"/>
      <c r="C164" s="229"/>
      <c r="D164" s="230"/>
      <c r="E164" s="230"/>
      <c r="F164" s="224"/>
      <c r="G164" s="224"/>
      <c r="H164" s="224"/>
      <c r="I164" s="231"/>
      <c r="J164" s="102"/>
      <c r="K164" s="229"/>
      <c r="L164" s="231"/>
      <c r="M164" s="230"/>
      <c r="N164" s="230"/>
      <c r="O164" s="102"/>
      <c r="Q164" s="224"/>
      <c r="R164" s="260"/>
      <c r="S164" s="260"/>
      <c r="T164" s="229"/>
      <c r="U164" s="230"/>
      <c r="V164" s="230"/>
      <c r="W164" s="260"/>
      <c r="X164" s="260"/>
      <c r="Y164" s="249"/>
      <c r="Z164" s="249"/>
      <c r="AA164" s="132"/>
      <c r="AB164" s="97"/>
      <c r="AC164" s="86"/>
      <c r="AD164" s="88"/>
      <c r="AE164" s="96"/>
      <c r="AF164" s="96"/>
      <c r="AG164" s="134"/>
      <c r="AH164" s="145"/>
      <c r="AI164" s="152"/>
      <c r="AJ164" s="143"/>
      <c r="AK164" s="143"/>
      <c r="AL164" s="162"/>
      <c r="AM164" s="144"/>
    </row>
    <row r="165" spans="1:56" ht="15.75" thickBot="1" x14ac:dyDescent="0.3">
      <c r="A165" s="224"/>
      <c r="B165" s="224"/>
      <c r="C165" s="229"/>
      <c r="D165" s="230"/>
      <c r="E165" s="230"/>
      <c r="F165" s="224"/>
      <c r="G165" s="224"/>
      <c r="H165" s="224"/>
      <c r="I165" s="231"/>
      <c r="J165" s="102"/>
      <c r="K165" s="229"/>
      <c r="L165" s="231"/>
      <c r="M165" s="230"/>
      <c r="N165" s="230"/>
      <c r="O165" s="102"/>
      <c r="Q165" s="224"/>
      <c r="R165" s="260"/>
      <c r="S165" s="260"/>
      <c r="T165" s="229"/>
      <c r="U165" s="230"/>
      <c r="V165" s="230"/>
      <c r="W165" s="260"/>
      <c r="X165" s="260"/>
    </row>
    <row r="166" spans="1:56" ht="15" customHeight="1" x14ac:dyDescent="0.25">
      <c r="A166" s="224"/>
      <c r="B166" s="224"/>
      <c r="C166" s="229"/>
      <c r="D166" s="230"/>
      <c r="E166" s="230"/>
      <c r="F166" s="224"/>
      <c r="G166" s="224"/>
      <c r="H166" s="224"/>
      <c r="I166" s="231"/>
      <c r="J166" s="102"/>
      <c r="K166" s="229"/>
      <c r="L166" s="231"/>
      <c r="M166" s="230"/>
      <c r="N166" s="230"/>
      <c r="O166" s="102"/>
      <c r="Q166" s="224"/>
      <c r="R166" s="260"/>
      <c r="S166" s="260"/>
      <c r="T166" s="229"/>
      <c r="U166" s="230"/>
      <c r="V166" s="230"/>
      <c r="W166" s="260"/>
      <c r="X166" s="260"/>
      <c r="AP166" s="396" t="s">
        <v>29</v>
      </c>
      <c r="AQ166" s="397"/>
      <c r="AR166" s="400">
        <v>0.6</v>
      </c>
      <c r="AS166" s="401"/>
      <c r="AT166" s="401"/>
      <c r="AU166" s="401"/>
      <c r="AV166" s="401"/>
      <c r="AW166" s="401"/>
      <c r="AX166" s="401"/>
      <c r="AY166" s="401"/>
      <c r="AZ166" s="401"/>
      <c r="BA166" s="402"/>
      <c r="BB166" s="179"/>
    </row>
    <row r="167" spans="1:56" ht="15.75" customHeight="1" thickBot="1" x14ac:dyDescent="0.3">
      <c r="A167" s="224"/>
      <c r="B167" s="224"/>
      <c r="C167" s="229"/>
      <c r="D167" s="230"/>
      <c r="E167" s="230"/>
      <c r="F167" s="224"/>
      <c r="G167" s="224"/>
      <c r="H167" s="224"/>
      <c r="I167" s="231"/>
      <c r="J167" s="102"/>
      <c r="K167" s="229"/>
      <c r="L167" s="231"/>
      <c r="M167" s="230"/>
      <c r="N167" s="230"/>
      <c r="O167" s="102"/>
      <c r="Q167" s="224"/>
      <c r="R167" s="260"/>
      <c r="S167" s="260"/>
      <c r="T167" s="229"/>
      <c r="U167" s="230"/>
      <c r="V167" s="230"/>
      <c r="W167" s="260"/>
      <c r="X167" s="260"/>
      <c r="AP167" s="398"/>
      <c r="AQ167" s="399"/>
      <c r="AR167" s="403"/>
      <c r="AS167" s="404"/>
      <c r="AT167" s="404"/>
      <c r="AU167" s="404"/>
      <c r="AV167" s="404"/>
      <c r="AW167" s="404"/>
      <c r="AX167" s="404"/>
      <c r="AY167" s="404"/>
      <c r="AZ167" s="404"/>
      <c r="BA167" s="405"/>
      <c r="BB167" s="179"/>
    </row>
    <row r="168" spans="1:56" ht="18.75" thickBot="1" x14ac:dyDescent="0.3">
      <c r="A168" s="224"/>
      <c r="B168" s="224"/>
      <c r="C168" s="229"/>
      <c r="D168" s="230"/>
      <c r="E168" s="230"/>
      <c r="F168" s="224"/>
      <c r="G168" s="224"/>
      <c r="H168" s="224"/>
      <c r="I168" s="231"/>
      <c r="J168" s="102"/>
      <c r="K168" s="229"/>
      <c r="L168" s="231"/>
      <c r="M168" s="230"/>
      <c r="N168" s="230"/>
      <c r="O168" s="102"/>
      <c r="Q168" s="224"/>
      <c r="R168" s="260"/>
      <c r="S168" s="260"/>
      <c r="T168" s="229"/>
      <c r="U168" s="230"/>
      <c r="V168" s="230"/>
      <c r="W168" s="260"/>
      <c r="X168" s="260"/>
      <c r="AP168" s="2" t="s">
        <v>73</v>
      </c>
      <c r="AQ168" s="2" t="s">
        <v>69</v>
      </c>
      <c r="AR168" s="245" t="s">
        <v>177</v>
      </c>
      <c r="AS168" s="2" t="s">
        <v>178</v>
      </c>
      <c r="AT168" s="251" t="s">
        <v>237</v>
      </c>
      <c r="AU168" s="2" t="s">
        <v>151</v>
      </c>
      <c r="AV168" s="251" t="s">
        <v>155</v>
      </c>
      <c r="AW168" s="252" t="s">
        <v>156</v>
      </c>
      <c r="AX168" s="251" t="s">
        <v>157</v>
      </c>
      <c r="AY168" s="251" t="s">
        <v>158</v>
      </c>
      <c r="AZ168" s="251" t="s">
        <v>180</v>
      </c>
      <c r="BA168" s="2" t="s">
        <v>181</v>
      </c>
      <c r="BB168" s="2" t="s">
        <v>185</v>
      </c>
      <c r="BC168" s="2" t="s">
        <v>182</v>
      </c>
      <c r="BD168" s="251" t="s">
        <v>183</v>
      </c>
    </row>
    <row r="169" spans="1:56" x14ac:dyDescent="0.25">
      <c r="A169" s="224"/>
      <c r="B169" s="224"/>
      <c r="C169" s="229"/>
      <c r="D169" s="230"/>
      <c r="E169" s="230"/>
      <c r="F169" s="224"/>
      <c r="G169" s="224"/>
      <c r="H169" s="224"/>
      <c r="I169" s="231"/>
      <c r="J169" s="102"/>
      <c r="K169" s="229"/>
      <c r="L169" s="231"/>
      <c r="M169" s="230"/>
      <c r="N169" s="230"/>
      <c r="O169" s="102"/>
      <c r="Q169" s="224"/>
      <c r="R169" s="260"/>
      <c r="S169" s="260"/>
      <c r="T169" s="229"/>
      <c r="U169" s="230"/>
      <c r="V169" s="260"/>
      <c r="W169" s="260"/>
      <c r="X169" s="260"/>
      <c r="AP169" s="86">
        <v>0</v>
      </c>
      <c r="AQ169" s="86">
        <v>10</v>
      </c>
      <c r="AR169" s="248">
        <v>2390.3031441465077</v>
      </c>
      <c r="AS169" s="191">
        <f>((4.7*10^13*BA169*(AZ169^0.5)*EXP($C$11/AR169))/($C$14*6))*$C$5*10^-6</f>
        <v>1.7899619596481005E-9</v>
      </c>
      <c r="AT169" s="153">
        <f>(((10^5*($C$4*$C$6)*10^-6)/($C$8*$C$7)))</f>
        <v>6.5681391066181393E-6</v>
      </c>
      <c r="AU169" s="88">
        <f>AT169/($AR$166*$G$11*((AX169/2)+3.76))</f>
        <v>1.3989646659463557E-7</v>
      </c>
      <c r="AV169" s="96">
        <f>$G$12*$AR$166*$AC$28</f>
        <v>4.8</v>
      </c>
      <c r="AW169" s="96">
        <f>$G$13*$AR$166*$AC$28</f>
        <v>5.3999999999999995</v>
      </c>
      <c r="AX169" s="134">
        <f>(($G$15/2)*(1-$AR$166)*$AC$28)</f>
        <v>5</v>
      </c>
      <c r="AY169" s="144">
        <f>$G$14*$AC$28</f>
        <v>47.023800000000001</v>
      </c>
      <c r="AZ169" s="152">
        <f>((AX169*AU169)/($C$5*10^-6))</f>
        <v>1.7487058324329448E-2</v>
      </c>
      <c r="BA169" s="151">
        <f>((AY169*AU169)/($C$5*10^-6))</f>
        <v>0.16446158664632063</v>
      </c>
      <c r="BB169" s="163">
        <f>SUM($AS$169:$AS$184)</f>
        <v>1.5781171903779199E-6</v>
      </c>
      <c r="BC169" s="161">
        <f>AU169*(AV169+AW169+AX169+AY169)</f>
        <v>8.7048897580912845E-6</v>
      </c>
      <c r="BD169" s="144">
        <f>(BB169/BC169)*10^6</f>
        <v>181290.88756248105</v>
      </c>
    </row>
    <row r="170" spans="1:56" x14ac:dyDescent="0.25">
      <c r="A170" s="224"/>
      <c r="B170" s="224"/>
      <c r="C170" s="229"/>
      <c r="D170" s="230"/>
      <c r="E170" s="224"/>
      <c r="F170" s="224"/>
      <c r="G170" s="224"/>
      <c r="H170" s="224"/>
      <c r="I170" s="231"/>
      <c r="J170" s="102"/>
      <c r="K170" s="229"/>
      <c r="L170" s="231"/>
      <c r="M170" s="231"/>
      <c r="N170" s="230"/>
      <c r="O170" s="102"/>
      <c r="Q170" s="224"/>
      <c r="R170" s="260"/>
      <c r="S170" s="260"/>
      <c r="T170" s="260"/>
      <c r="U170" s="260"/>
      <c r="V170" s="260"/>
      <c r="W170" s="260"/>
      <c r="X170" s="260"/>
      <c r="AP170" s="86">
        <v>1</v>
      </c>
      <c r="AQ170" s="86">
        <f>AQ169+2</f>
        <v>12</v>
      </c>
      <c r="AR170" s="132">
        <f>(AR169*((AQ170/AQ169)^(($C$13-1)/$C$13)))</f>
        <v>2454.4712538274748</v>
      </c>
      <c r="AS170" s="191">
        <f t="shared" ref="AS170:AS184" si="164">((4.7*10^13*BA170*(AZ170^0.5)*EXP($C$11/AR170))/($C$14*6))*$C$5*10^-6</f>
        <v>3.7589696586710045E-9</v>
      </c>
      <c r="AT170" s="153">
        <f t="shared" ref="AT170:AT184" si="165">(((10^5*($C$4*$C$6)*10^-6)/($C$8*$C$7)))</f>
        <v>6.5681391066181393E-6</v>
      </c>
      <c r="AU170" s="88">
        <f>AT170/($AR$166*$G$11*((AX170/2)+3.76))</f>
        <v>1.3989646659463557E-7</v>
      </c>
      <c r="AV170" s="96">
        <f>$G$12*$AR$166*$AC$28</f>
        <v>4.8</v>
      </c>
      <c r="AW170" s="96">
        <f>$G$13*$AR$166*$AC$28</f>
        <v>5.3999999999999995</v>
      </c>
      <c r="AX170" s="134">
        <f>(($G$15/2)*(1-$AR$166)*$AC$28)</f>
        <v>5</v>
      </c>
      <c r="AY170" s="144">
        <f>$G$14*$AC$28</f>
        <v>47.023800000000001</v>
      </c>
      <c r="AZ170" s="152">
        <f t="shared" ref="AZ170:AZ184" si="166">((AX170*AU170)/($C$5*10^-6))</f>
        <v>1.7487058324329448E-2</v>
      </c>
      <c r="BA170" s="142">
        <f t="shared" ref="BA170:BA185" si="167">((AY170*AU170)/($C$5*10^-6))</f>
        <v>0.16446158664632063</v>
      </c>
      <c r="BB170" s="163">
        <f t="shared" ref="BB170:BB184" si="168">SUM($AS$169:$AS$184)</f>
        <v>1.5781171903779199E-6</v>
      </c>
      <c r="BC170" s="153">
        <f t="shared" ref="BC170:BC184" si="169">AU170*(AV170+AW170+AX170+AY170)</f>
        <v>8.7048897580912845E-6</v>
      </c>
      <c r="BD170" s="144">
        <f t="shared" ref="BD170:BD184" si="170">(BB170/BC170)*10^6</f>
        <v>181290.88756248105</v>
      </c>
    </row>
    <row r="171" spans="1:56" x14ac:dyDescent="0.25">
      <c r="A171" s="224"/>
      <c r="B171" s="224"/>
      <c r="C171" s="224"/>
      <c r="D171" s="224"/>
      <c r="E171" s="224"/>
      <c r="F171" s="224"/>
      <c r="G171" s="224"/>
      <c r="H171" s="224"/>
      <c r="I171" s="224"/>
      <c r="J171" s="224"/>
      <c r="K171" s="224"/>
      <c r="L171" s="224"/>
      <c r="M171" s="224"/>
      <c r="N171" s="224"/>
      <c r="Q171" s="224"/>
      <c r="R171" s="260"/>
      <c r="S171" s="260"/>
      <c r="T171" s="260"/>
      <c r="U171" s="260"/>
      <c r="V171" s="260"/>
      <c r="W171" s="260"/>
      <c r="X171" s="260"/>
      <c r="AP171" s="86">
        <v>2</v>
      </c>
      <c r="AQ171" s="86">
        <f t="shared" ref="AQ171:AQ184" si="171">AQ170+2</f>
        <v>14</v>
      </c>
      <c r="AR171" s="132">
        <f t="shared" ref="AR171:AR184" si="172">(AR170*((AQ171/AQ170)^(($C$13-1)/$C$13)))</f>
        <v>2510.0666958766406</v>
      </c>
      <c r="AS171" s="191">
        <f t="shared" si="164"/>
        <v>6.9330622351416805E-9</v>
      </c>
      <c r="AT171" s="153">
        <f t="shared" si="165"/>
        <v>6.5681391066181393E-6</v>
      </c>
      <c r="AU171" s="88">
        <f>AT171/($AR$166*$G$11*((AX171/2)+3.76))</f>
        <v>1.3989646659463557E-7</v>
      </c>
      <c r="AV171" s="96">
        <f>$G$12*$AR$166*$AC$28</f>
        <v>4.8</v>
      </c>
      <c r="AW171" s="96">
        <f>$G$13*$AR$166*$AC$28</f>
        <v>5.3999999999999995</v>
      </c>
      <c r="AX171" s="134">
        <f>(($G$15/2)*(1-$AR$166)*$AC$28)</f>
        <v>5</v>
      </c>
      <c r="AY171" s="144">
        <f>$G$14*$AC$28</f>
        <v>47.023800000000001</v>
      </c>
      <c r="AZ171" s="152">
        <f t="shared" si="166"/>
        <v>1.7487058324329448E-2</v>
      </c>
      <c r="BA171" s="142">
        <f t="shared" si="167"/>
        <v>0.16446158664632063</v>
      </c>
      <c r="BB171" s="163">
        <f t="shared" si="168"/>
        <v>1.5781171903779199E-6</v>
      </c>
      <c r="BC171" s="153">
        <f t="shared" si="169"/>
        <v>8.7048897580912845E-6</v>
      </c>
      <c r="BD171" s="144">
        <f t="shared" si="170"/>
        <v>181290.88756248105</v>
      </c>
    </row>
    <row r="172" spans="1:56" ht="15" customHeight="1" x14ac:dyDescent="0.25">
      <c r="A172" s="224"/>
      <c r="B172" s="224"/>
      <c r="C172" s="224"/>
      <c r="D172" s="224"/>
      <c r="E172" s="224"/>
      <c r="F172" s="224"/>
      <c r="G172" s="224"/>
      <c r="H172" s="224"/>
      <c r="I172" s="224"/>
      <c r="J172" s="224"/>
      <c r="K172" s="224"/>
      <c r="L172" s="224"/>
      <c r="M172" s="224"/>
      <c r="N172" s="224"/>
      <c r="Q172" s="224"/>
      <c r="R172" s="208"/>
      <c r="S172" s="208"/>
      <c r="T172" s="456"/>
      <c r="U172" s="456"/>
      <c r="V172" s="456"/>
      <c r="W172" s="456"/>
      <c r="X172" s="456"/>
      <c r="AP172" s="86">
        <v>3</v>
      </c>
      <c r="AQ172" s="86">
        <f t="shared" si="171"/>
        <v>16</v>
      </c>
      <c r="AR172" s="132">
        <f t="shared" si="172"/>
        <v>2559.2425148554435</v>
      </c>
      <c r="AS172" s="191">
        <f t="shared" si="164"/>
        <v>1.1653486830397531E-8</v>
      </c>
      <c r="AT172" s="153">
        <f t="shared" si="165"/>
        <v>6.5681391066181393E-6</v>
      </c>
      <c r="AU172" s="88">
        <f>AT172/($AR$166*$G$11*((AX172/2)+3.76))</f>
        <v>1.3989646659463557E-7</v>
      </c>
      <c r="AV172" s="96">
        <f>$G$12*$AR$166*$AC$28</f>
        <v>4.8</v>
      </c>
      <c r="AW172" s="96">
        <f>$G$13*$AR$166*$AC$28</f>
        <v>5.3999999999999995</v>
      </c>
      <c r="AX172" s="134">
        <f>(($G$15/2)*(1-$AR$166)*$AC$28)</f>
        <v>5</v>
      </c>
      <c r="AY172" s="144">
        <f>$G$14*$AC$28</f>
        <v>47.023800000000001</v>
      </c>
      <c r="AZ172" s="152">
        <f t="shared" si="166"/>
        <v>1.7487058324329448E-2</v>
      </c>
      <c r="BA172" s="142">
        <f t="shared" si="167"/>
        <v>0.16446158664632063</v>
      </c>
      <c r="BB172" s="163">
        <f t="shared" si="168"/>
        <v>1.5781171903779199E-6</v>
      </c>
      <c r="BC172" s="153">
        <f t="shared" si="169"/>
        <v>8.7048897580912845E-6</v>
      </c>
      <c r="BD172" s="144">
        <f t="shared" si="170"/>
        <v>181290.88756248105</v>
      </c>
    </row>
    <row r="173" spans="1:56" ht="21" x14ac:dyDescent="0.25">
      <c r="A173" s="237"/>
      <c r="B173" s="237"/>
      <c r="C173" s="240"/>
      <c r="D173" s="240"/>
      <c r="E173" s="240"/>
      <c r="F173" s="240"/>
      <c r="G173" s="240"/>
      <c r="H173" s="240"/>
      <c r="I173" s="240"/>
      <c r="J173" s="240"/>
      <c r="K173" s="240"/>
      <c r="L173" s="240"/>
      <c r="M173" s="240"/>
      <c r="N173" s="224"/>
      <c r="Q173" s="224"/>
      <c r="R173" s="208"/>
      <c r="S173" s="208"/>
      <c r="T173" s="456"/>
      <c r="U173" s="456"/>
      <c r="V173" s="456"/>
      <c r="W173" s="456"/>
      <c r="X173" s="456"/>
      <c r="AP173" s="86">
        <v>4</v>
      </c>
      <c r="AQ173" s="86">
        <f t="shared" si="171"/>
        <v>18</v>
      </c>
      <c r="AR173" s="132">
        <f t="shared" si="172"/>
        <v>2603.4177381529535</v>
      </c>
      <c r="AS173" s="191">
        <f t="shared" si="164"/>
        <v>1.8272094790752773E-8</v>
      </c>
      <c r="AT173" s="153">
        <f t="shared" si="165"/>
        <v>6.5681391066181393E-6</v>
      </c>
      <c r="AU173" s="88">
        <f>AT173/($AR$166*$G$11*((AX173/2)+3.76))</f>
        <v>1.3989646659463557E-7</v>
      </c>
      <c r="AV173" s="96">
        <f>$G$12*$AR$166*$AC$28</f>
        <v>4.8</v>
      </c>
      <c r="AW173" s="96">
        <f>$G$13*$AR$166*$AC$28</f>
        <v>5.3999999999999995</v>
      </c>
      <c r="AX173" s="134">
        <f>(($G$15/2)*(1-$AR$166)*$AC$28)</f>
        <v>5</v>
      </c>
      <c r="AY173" s="144">
        <f>$G$14*$AC$28</f>
        <v>47.023800000000001</v>
      </c>
      <c r="AZ173" s="152">
        <f t="shared" si="166"/>
        <v>1.7487058324329448E-2</v>
      </c>
      <c r="BA173" s="142">
        <f t="shared" si="167"/>
        <v>0.16446158664632063</v>
      </c>
      <c r="BB173" s="163">
        <f t="shared" si="168"/>
        <v>1.5781171903779199E-6</v>
      </c>
      <c r="BC173" s="153">
        <f t="shared" si="169"/>
        <v>8.7048897580912845E-6</v>
      </c>
      <c r="BD173" s="144">
        <f t="shared" si="170"/>
        <v>181290.88756248105</v>
      </c>
    </row>
    <row r="174" spans="1:56" ht="21" x14ac:dyDescent="0.25">
      <c r="A174" s="237"/>
      <c r="B174" s="237"/>
      <c r="C174" s="240"/>
      <c r="D174" s="240"/>
      <c r="E174" s="240"/>
      <c r="F174" s="240"/>
      <c r="G174" s="240"/>
      <c r="H174" s="240"/>
      <c r="I174" s="240"/>
      <c r="J174" s="240"/>
      <c r="K174" s="240"/>
      <c r="L174" s="240"/>
      <c r="M174" s="240"/>
      <c r="N174" s="224"/>
      <c r="Q174" s="224"/>
      <c r="R174" s="260"/>
      <c r="S174" s="260"/>
      <c r="T174" s="260"/>
      <c r="U174" s="260"/>
      <c r="V174" s="260"/>
      <c r="W174" s="260"/>
      <c r="X174" s="260"/>
      <c r="AP174" s="86">
        <v>5</v>
      </c>
      <c r="AQ174" s="86">
        <f t="shared" si="171"/>
        <v>20</v>
      </c>
      <c r="AR174" s="132">
        <f t="shared" si="172"/>
        <v>2643.5795511532228</v>
      </c>
      <c r="AS174" s="191">
        <f t="shared" si="164"/>
        <v>2.7146195747047755E-8</v>
      </c>
      <c r="AT174" s="153">
        <f t="shared" si="165"/>
        <v>6.5681391066181393E-6</v>
      </c>
      <c r="AU174" s="88">
        <f>AT174/($AR$166*$G$11*((AX174/2)+3.76))</f>
        <v>1.3989646659463557E-7</v>
      </c>
      <c r="AV174" s="96">
        <f>$G$12*$AR$166*$AC$28</f>
        <v>4.8</v>
      </c>
      <c r="AW174" s="96">
        <f>$G$13*$AR$166*$AC$28</f>
        <v>5.3999999999999995</v>
      </c>
      <c r="AX174" s="134">
        <f>(($G$15/2)*(1-$AR$166)*$AC$28)</f>
        <v>5</v>
      </c>
      <c r="AY174" s="144">
        <f>$G$14*$AC$28</f>
        <v>47.023800000000001</v>
      </c>
      <c r="AZ174" s="152">
        <f t="shared" si="166"/>
        <v>1.7487058324329448E-2</v>
      </c>
      <c r="BA174" s="142">
        <f t="shared" si="167"/>
        <v>0.16446158664632063</v>
      </c>
      <c r="BB174" s="163">
        <f t="shared" si="168"/>
        <v>1.5781171903779199E-6</v>
      </c>
      <c r="BC174" s="153">
        <f t="shared" si="169"/>
        <v>8.7048897580912845E-6</v>
      </c>
      <c r="BD174" s="144">
        <f t="shared" si="170"/>
        <v>181290.88756248105</v>
      </c>
    </row>
    <row r="175" spans="1:56" x14ac:dyDescent="0.25">
      <c r="A175" s="224"/>
      <c r="B175" s="224"/>
      <c r="C175" s="224"/>
      <c r="D175" s="224"/>
      <c r="E175" s="224"/>
      <c r="F175" s="224"/>
      <c r="G175" s="224"/>
      <c r="H175" s="224"/>
      <c r="I175" s="224"/>
      <c r="J175" s="224"/>
      <c r="K175" s="224"/>
      <c r="L175" s="224"/>
      <c r="M175" s="224"/>
      <c r="N175" s="224"/>
      <c r="Q175" s="224"/>
      <c r="R175" s="260"/>
      <c r="S175" s="260"/>
      <c r="T175" s="260"/>
      <c r="U175" s="230"/>
      <c r="V175" s="230"/>
      <c r="W175" s="260"/>
      <c r="X175" s="260"/>
      <c r="AP175" s="86">
        <v>6</v>
      </c>
      <c r="AQ175" s="86">
        <f t="shared" si="171"/>
        <v>22</v>
      </c>
      <c r="AR175" s="132">
        <f t="shared" si="172"/>
        <v>2680.4437978364645</v>
      </c>
      <c r="AS175" s="191">
        <f t="shared" si="164"/>
        <v>3.8634829336312291E-8</v>
      </c>
      <c r="AT175" s="153">
        <f t="shared" si="165"/>
        <v>6.5681391066181393E-6</v>
      </c>
      <c r="AU175" s="88">
        <f>AT175/($AR$166*$G$11*((AX175/2)+3.76))</f>
        <v>1.3989646659463557E-7</v>
      </c>
      <c r="AV175" s="96">
        <f>$G$12*$AR$166*$AC$28</f>
        <v>4.8</v>
      </c>
      <c r="AW175" s="96">
        <f>$G$13*$AR$166*$AC$28</f>
        <v>5.3999999999999995</v>
      </c>
      <c r="AX175" s="134">
        <f>(($G$15/2)*(1-$AR$166)*$AC$28)</f>
        <v>5</v>
      </c>
      <c r="AY175" s="144">
        <f>$G$14*$AC$28</f>
        <v>47.023800000000001</v>
      </c>
      <c r="AZ175" s="152">
        <f t="shared" si="166"/>
        <v>1.7487058324329448E-2</v>
      </c>
      <c r="BA175" s="142">
        <f t="shared" si="167"/>
        <v>0.16446158664632063</v>
      </c>
      <c r="BB175" s="163">
        <f t="shared" si="168"/>
        <v>1.5781171903779199E-6</v>
      </c>
      <c r="BC175" s="153">
        <f t="shared" si="169"/>
        <v>8.7048897580912845E-6</v>
      </c>
      <c r="BD175" s="144">
        <f t="shared" si="170"/>
        <v>181290.88756248105</v>
      </c>
    </row>
    <row r="176" spans="1:56" x14ac:dyDescent="0.25">
      <c r="A176" s="224"/>
      <c r="B176" s="224"/>
      <c r="C176" s="224"/>
      <c r="D176" s="230"/>
      <c r="E176" s="230"/>
      <c r="F176" s="224"/>
      <c r="G176" s="224"/>
      <c r="H176" s="224"/>
      <c r="I176" s="231"/>
      <c r="J176" s="102"/>
      <c r="K176" s="229"/>
      <c r="L176" s="231"/>
      <c r="M176" s="230"/>
      <c r="N176" s="230"/>
      <c r="O176" s="102"/>
      <c r="Q176" s="224"/>
      <c r="R176" s="260"/>
      <c r="S176" s="260"/>
      <c r="T176" s="229"/>
      <c r="U176" s="230"/>
      <c r="V176" s="230"/>
      <c r="W176" s="260"/>
      <c r="X176" s="260"/>
      <c r="AP176" s="86">
        <v>7</v>
      </c>
      <c r="AQ176" s="86">
        <f t="shared" si="171"/>
        <v>24</v>
      </c>
      <c r="AR176" s="132">
        <f t="shared" si="172"/>
        <v>2714.5469106716873</v>
      </c>
      <c r="AS176" s="191">
        <f t="shared" si="164"/>
        <v>5.3096050717227766E-8</v>
      </c>
      <c r="AT176" s="153">
        <f t="shared" si="165"/>
        <v>6.5681391066181393E-6</v>
      </c>
      <c r="AU176" s="88">
        <f>AT176/($AR$166*$G$11*((AX176/2)+3.76))</f>
        <v>1.3989646659463557E-7</v>
      </c>
      <c r="AV176" s="96">
        <f>$G$12*$AR$166*$AC$28</f>
        <v>4.8</v>
      </c>
      <c r="AW176" s="96">
        <f>$G$13*$AR$166*$AC$28</f>
        <v>5.3999999999999995</v>
      </c>
      <c r="AX176" s="134">
        <f>(($G$15/2)*(1-$AR$166)*$AC$28)</f>
        <v>5</v>
      </c>
      <c r="AY176" s="144">
        <f>$G$14*$AC$28</f>
        <v>47.023800000000001</v>
      </c>
      <c r="AZ176" s="152">
        <f t="shared" si="166"/>
        <v>1.7487058324329448E-2</v>
      </c>
      <c r="BA176" s="142">
        <f t="shared" si="167"/>
        <v>0.16446158664632063</v>
      </c>
      <c r="BB176" s="163">
        <f t="shared" si="168"/>
        <v>1.5781171903779199E-6</v>
      </c>
      <c r="BC176" s="153">
        <f t="shared" si="169"/>
        <v>8.7048897580912845E-6</v>
      </c>
      <c r="BD176" s="144">
        <f t="shared" si="170"/>
        <v>181290.88756248105</v>
      </c>
    </row>
    <row r="177" spans="1:56" x14ac:dyDescent="0.25">
      <c r="A177" s="224"/>
      <c r="B177" s="224"/>
      <c r="C177" s="229"/>
      <c r="D177" s="230"/>
      <c r="E177" s="230"/>
      <c r="F177" s="224"/>
      <c r="G177" s="224"/>
      <c r="H177" s="224"/>
      <c r="I177" s="231"/>
      <c r="J177" s="102"/>
      <c r="K177" s="229"/>
      <c r="L177" s="231"/>
      <c r="M177" s="230"/>
      <c r="N177" s="230"/>
      <c r="O177" s="102"/>
      <c r="Q177" s="224"/>
      <c r="R177" s="224"/>
      <c r="S177" s="224"/>
      <c r="T177" s="229"/>
      <c r="U177" s="230"/>
      <c r="V177" s="230"/>
      <c r="W177" s="224"/>
      <c r="X177" s="224"/>
      <c r="AP177" s="86">
        <v>8</v>
      </c>
      <c r="AQ177" s="86">
        <f t="shared" si="171"/>
        <v>26</v>
      </c>
      <c r="AR177" s="132">
        <f t="shared" si="172"/>
        <v>2746.3017618750005</v>
      </c>
      <c r="AS177" s="191">
        <f t="shared" si="164"/>
        <v>7.0884950455405338E-8</v>
      </c>
      <c r="AT177" s="153">
        <f t="shared" si="165"/>
        <v>6.5681391066181393E-6</v>
      </c>
      <c r="AU177" s="88">
        <f>AT177/($AR$166*$G$11*((AX177/2)+3.76))</f>
        <v>1.3989646659463557E-7</v>
      </c>
      <c r="AV177" s="96">
        <f>$G$12*$AR$166*$AC$28</f>
        <v>4.8</v>
      </c>
      <c r="AW177" s="96">
        <f>$G$13*$AR$166*$AC$28</f>
        <v>5.3999999999999995</v>
      </c>
      <c r="AX177" s="134">
        <f>(($G$15/2)*(1-$AR$166)*$AC$28)</f>
        <v>5</v>
      </c>
      <c r="AY177" s="144">
        <f>$G$14*$AC$28</f>
        <v>47.023800000000001</v>
      </c>
      <c r="AZ177" s="152">
        <f t="shared" si="166"/>
        <v>1.7487058324329448E-2</v>
      </c>
      <c r="BA177" s="142">
        <f t="shared" si="167"/>
        <v>0.16446158664632063</v>
      </c>
      <c r="BB177" s="163">
        <f t="shared" si="168"/>
        <v>1.5781171903779199E-6</v>
      </c>
      <c r="BC177" s="153">
        <f t="shared" si="169"/>
        <v>8.7048897580912845E-6</v>
      </c>
      <c r="BD177" s="144">
        <f t="shared" si="170"/>
        <v>181290.88756248105</v>
      </c>
    </row>
    <row r="178" spans="1:56" x14ac:dyDescent="0.25">
      <c r="A178" s="224"/>
      <c r="B178" s="224"/>
      <c r="C178" s="229"/>
      <c r="D178" s="230"/>
      <c r="E178" s="230"/>
      <c r="F178" s="224"/>
      <c r="G178" s="224"/>
      <c r="H178" s="224"/>
      <c r="I178" s="231"/>
      <c r="J178" s="102"/>
      <c r="K178" s="229"/>
      <c r="L178" s="231"/>
      <c r="M178" s="230"/>
      <c r="N178" s="230"/>
      <c r="O178" s="102"/>
      <c r="Q178" s="224"/>
      <c r="R178" s="224"/>
      <c r="S178" s="224"/>
      <c r="T178" s="229"/>
      <c r="U178" s="230"/>
      <c r="V178" s="230"/>
      <c r="W178" s="224"/>
      <c r="X178" s="224"/>
      <c r="AP178" s="86">
        <v>9</v>
      </c>
      <c r="AQ178" s="86">
        <f t="shared" si="171"/>
        <v>28</v>
      </c>
      <c r="AR178" s="132">
        <f t="shared" si="172"/>
        <v>2776.0332431054658</v>
      </c>
      <c r="AS178" s="191">
        <f t="shared" si="164"/>
        <v>9.2352212777029784E-8</v>
      </c>
      <c r="AT178" s="153">
        <f t="shared" si="165"/>
        <v>6.5681391066181393E-6</v>
      </c>
      <c r="AU178" s="88">
        <f>AT178/($AR$166*$G$11*((AX178/2)+3.76))</f>
        <v>1.3989646659463557E-7</v>
      </c>
      <c r="AV178" s="96">
        <f>$G$12*$AR$166*$AC$28</f>
        <v>4.8</v>
      </c>
      <c r="AW178" s="96">
        <f>$G$13*$AR$166*$AC$28</f>
        <v>5.3999999999999995</v>
      </c>
      <c r="AX178" s="134">
        <f>(($G$15/2)*(1-$AR$166)*$AC$28)</f>
        <v>5</v>
      </c>
      <c r="AY178" s="144">
        <f>$G$14*$AC$28</f>
        <v>47.023800000000001</v>
      </c>
      <c r="AZ178" s="152">
        <f t="shared" si="166"/>
        <v>1.7487058324329448E-2</v>
      </c>
      <c r="BA178" s="142">
        <f t="shared" si="167"/>
        <v>0.16446158664632063</v>
      </c>
      <c r="BB178" s="163">
        <f t="shared" si="168"/>
        <v>1.5781171903779199E-6</v>
      </c>
      <c r="BC178" s="153">
        <f t="shared" si="169"/>
        <v>8.7048897580912845E-6</v>
      </c>
      <c r="BD178" s="144">
        <f t="shared" si="170"/>
        <v>181290.88756248105</v>
      </c>
    </row>
    <row r="179" spans="1:56" x14ac:dyDescent="0.25">
      <c r="A179" s="224"/>
      <c r="B179" s="224"/>
      <c r="C179" s="229"/>
      <c r="D179" s="230"/>
      <c r="E179" s="230"/>
      <c r="F179" s="224"/>
      <c r="G179" s="224"/>
      <c r="H179" s="224"/>
      <c r="I179" s="231"/>
      <c r="J179" s="102"/>
      <c r="K179" s="229"/>
      <c r="L179" s="231"/>
      <c r="M179" s="230"/>
      <c r="N179" s="230"/>
      <c r="O179" s="102"/>
      <c r="Q179" s="224"/>
      <c r="R179" s="224"/>
      <c r="S179" s="224"/>
      <c r="T179" s="229"/>
      <c r="U179" s="230"/>
      <c r="V179" s="230"/>
      <c r="W179" s="224"/>
      <c r="X179" s="224"/>
      <c r="AP179" s="86">
        <v>10</v>
      </c>
      <c r="AQ179" s="86">
        <f t="shared" si="171"/>
        <v>30</v>
      </c>
      <c r="AR179" s="132">
        <f t="shared" si="172"/>
        <v>2804.0018333718417</v>
      </c>
      <c r="AS179" s="191">
        <f t="shared" si="164"/>
        <v>1.178430727057316E-7</v>
      </c>
      <c r="AT179" s="153">
        <f t="shared" si="165"/>
        <v>6.5681391066181393E-6</v>
      </c>
      <c r="AU179" s="88">
        <f>AT179/($AR$166*$G$11*((AX179/2)+3.76))</f>
        <v>1.3989646659463557E-7</v>
      </c>
      <c r="AV179" s="96">
        <f>$G$12*$AR$166*$AC$28</f>
        <v>4.8</v>
      </c>
      <c r="AW179" s="96">
        <f>$G$13*$AR$166*$AC$28</f>
        <v>5.3999999999999995</v>
      </c>
      <c r="AX179" s="134">
        <f>(($G$15/2)*(1-$AR$166)*$AC$28)</f>
        <v>5</v>
      </c>
      <c r="AY179" s="144">
        <f>$G$14*$AC$28</f>
        <v>47.023800000000001</v>
      </c>
      <c r="AZ179" s="152">
        <f t="shared" si="166"/>
        <v>1.7487058324329448E-2</v>
      </c>
      <c r="BA179" s="142">
        <f t="shared" si="167"/>
        <v>0.16446158664632063</v>
      </c>
      <c r="BB179" s="163">
        <f t="shared" si="168"/>
        <v>1.5781171903779199E-6</v>
      </c>
      <c r="BC179" s="153">
        <f t="shared" si="169"/>
        <v>8.7048897580912845E-6</v>
      </c>
      <c r="BD179" s="144">
        <f t="shared" si="170"/>
        <v>181290.88756248105</v>
      </c>
    </row>
    <row r="180" spans="1:56" x14ac:dyDescent="0.25">
      <c r="A180" s="224"/>
      <c r="B180" s="224"/>
      <c r="C180" s="229"/>
      <c r="D180" s="230"/>
      <c r="E180" s="230"/>
      <c r="F180" s="224"/>
      <c r="G180" s="224"/>
      <c r="H180" s="224"/>
      <c r="I180" s="231"/>
      <c r="J180" s="102"/>
      <c r="K180" s="229"/>
      <c r="L180" s="231"/>
      <c r="M180" s="230"/>
      <c r="N180" s="230"/>
      <c r="O180" s="102"/>
      <c r="Q180" s="224"/>
      <c r="R180" s="224"/>
      <c r="S180" s="224"/>
      <c r="T180" s="229"/>
      <c r="U180" s="230"/>
      <c r="V180" s="230"/>
      <c r="W180" s="224"/>
      <c r="X180" s="224"/>
      <c r="AP180" s="86">
        <v>11</v>
      </c>
      <c r="AQ180" s="86">
        <f t="shared" si="171"/>
        <v>32</v>
      </c>
      <c r="AR180" s="132">
        <f t="shared" si="172"/>
        <v>2830.4197295149102</v>
      </c>
      <c r="AS180" s="191">
        <f t="shared" si="164"/>
        <v>1.4769657143045114E-7</v>
      </c>
      <c r="AT180" s="153">
        <f t="shared" si="165"/>
        <v>6.5681391066181393E-6</v>
      </c>
      <c r="AU180" s="88">
        <f>AT180/($AR$166*$G$11*((AX180/2)+3.76))</f>
        <v>1.3989646659463557E-7</v>
      </c>
      <c r="AV180" s="96">
        <f>$G$12*$AR$166*$AC$28</f>
        <v>4.8</v>
      </c>
      <c r="AW180" s="96">
        <f>$G$13*$AR$166*$AC$28</f>
        <v>5.3999999999999995</v>
      </c>
      <c r="AX180" s="134">
        <f>(($G$15/2)*(1-$AR$166)*$AC$28)</f>
        <v>5</v>
      </c>
      <c r="AY180" s="144">
        <f>$G$14*$AC$28</f>
        <v>47.023800000000001</v>
      </c>
      <c r="AZ180" s="152">
        <f t="shared" si="166"/>
        <v>1.7487058324329448E-2</v>
      </c>
      <c r="BA180" s="142">
        <f t="shared" si="167"/>
        <v>0.16446158664632063</v>
      </c>
      <c r="BB180" s="163">
        <f t="shared" si="168"/>
        <v>1.5781171903779199E-6</v>
      </c>
      <c r="BC180" s="153">
        <f t="shared" si="169"/>
        <v>8.7048897580912845E-6</v>
      </c>
      <c r="BD180" s="144">
        <f t="shared" si="170"/>
        <v>181290.88756248105</v>
      </c>
    </row>
    <row r="181" spans="1:56" x14ac:dyDescent="0.25">
      <c r="A181" s="224"/>
      <c r="B181" s="224"/>
      <c r="C181" s="229"/>
      <c r="D181" s="230"/>
      <c r="E181" s="230"/>
      <c r="F181" s="224"/>
      <c r="G181" s="224"/>
      <c r="H181" s="224"/>
      <c r="I181" s="231"/>
      <c r="J181" s="102"/>
      <c r="K181" s="229"/>
      <c r="L181" s="231"/>
      <c r="M181" s="230"/>
      <c r="N181" s="230"/>
      <c r="O181" s="102"/>
      <c r="Q181" s="224"/>
      <c r="R181" s="224"/>
      <c r="S181" s="224"/>
      <c r="T181" s="229"/>
      <c r="U181" s="230"/>
      <c r="V181" s="230"/>
      <c r="W181" s="224"/>
      <c r="X181" s="224"/>
      <c r="AP181" s="86">
        <v>12</v>
      </c>
      <c r="AQ181" s="86">
        <f t="shared" si="171"/>
        <v>34</v>
      </c>
      <c r="AR181" s="132">
        <f t="shared" si="172"/>
        <v>2855.4621979565291</v>
      </c>
      <c r="AS181" s="191">
        <f t="shared" si="164"/>
        <v>1.8224503633560607E-7</v>
      </c>
      <c r="AT181" s="153">
        <f t="shared" si="165"/>
        <v>6.5681391066181393E-6</v>
      </c>
      <c r="AU181" s="88">
        <f>AT181/($AR$166*$G$11*((AX181/2)+3.76))</f>
        <v>1.3989646659463557E-7</v>
      </c>
      <c r="AV181" s="96">
        <f>$G$12*$AR$166*$AC$28</f>
        <v>4.8</v>
      </c>
      <c r="AW181" s="96">
        <f>$G$13*$AR$166*$AC$28</f>
        <v>5.3999999999999995</v>
      </c>
      <c r="AX181" s="134">
        <f>(($G$15/2)*(1-$AR$166)*$AC$28)</f>
        <v>5</v>
      </c>
      <c r="AY181" s="144">
        <f>$G$14*$AC$28</f>
        <v>47.023800000000001</v>
      </c>
      <c r="AZ181" s="152">
        <f t="shared" si="166"/>
        <v>1.7487058324329448E-2</v>
      </c>
      <c r="BA181" s="142">
        <f t="shared" si="167"/>
        <v>0.16446158664632063</v>
      </c>
      <c r="BB181" s="163">
        <f t="shared" si="168"/>
        <v>1.5781171903779199E-6</v>
      </c>
      <c r="BC181" s="153">
        <f t="shared" si="169"/>
        <v>8.7048897580912845E-6</v>
      </c>
      <c r="BD181" s="144">
        <f t="shared" si="170"/>
        <v>181290.88756248105</v>
      </c>
    </row>
    <row r="182" spans="1:56" x14ac:dyDescent="0.25">
      <c r="A182" s="224"/>
      <c r="B182" s="224"/>
      <c r="C182" s="229"/>
      <c r="D182" s="230"/>
      <c r="E182" s="230"/>
      <c r="F182" s="224"/>
      <c r="G182" s="224"/>
      <c r="H182" s="224"/>
      <c r="I182" s="231"/>
      <c r="J182" s="102"/>
      <c r="K182" s="229"/>
      <c r="L182" s="231"/>
      <c r="M182" s="230"/>
      <c r="N182" s="230"/>
      <c r="O182" s="102"/>
      <c r="Q182" s="224"/>
      <c r="R182" s="224"/>
      <c r="S182" s="224"/>
      <c r="T182" s="229"/>
      <c r="U182" s="230"/>
      <c r="V182" s="230"/>
      <c r="W182" s="224"/>
      <c r="X182" s="224"/>
      <c r="AP182" s="86">
        <v>13</v>
      </c>
      <c r="AQ182" s="86">
        <f t="shared" si="171"/>
        <v>36</v>
      </c>
      <c r="AR182" s="132">
        <f t="shared" si="172"/>
        <v>2879.2757573634708</v>
      </c>
      <c r="AS182" s="191">
        <f t="shared" si="164"/>
        <v>2.2181373129050732E-7</v>
      </c>
      <c r="AT182" s="153">
        <f t="shared" si="165"/>
        <v>6.5681391066181393E-6</v>
      </c>
      <c r="AU182" s="88">
        <f>AT182/($AR$166*$G$11*((AX182/2)+3.76))</f>
        <v>1.3989646659463557E-7</v>
      </c>
      <c r="AV182" s="96">
        <f>$G$12*$AR$166*$AC$28</f>
        <v>4.8</v>
      </c>
      <c r="AW182" s="96">
        <f>$G$13*$AR$166*$AC$28</f>
        <v>5.3999999999999995</v>
      </c>
      <c r="AX182" s="134">
        <f>(($G$15/2)*(1-$AR$166)*$AC$28)</f>
        <v>5</v>
      </c>
      <c r="AY182" s="144">
        <f>$G$14*$AC$28</f>
        <v>47.023800000000001</v>
      </c>
      <c r="AZ182" s="152">
        <f t="shared" si="166"/>
        <v>1.7487058324329448E-2</v>
      </c>
      <c r="BA182" s="142">
        <f t="shared" si="167"/>
        <v>0.16446158664632063</v>
      </c>
      <c r="BB182" s="163">
        <f t="shared" si="168"/>
        <v>1.5781171903779199E-6</v>
      </c>
      <c r="BC182" s="153">
        <f t="shared" si="169"/>
        <v>8.7048897580912845E-6</v>
      </c>
      <c r="BD182" s="144">
        <f t="shared" si="170"/>
        <v>181290.88756248105</v>
      </c>
    </row>
    <row r="183" spans="1:56" x14ac:dyDescent="0.25">
      <c r="A183" s="224"/>
      <c r="B183" s="224"/>
      <c r="C183" s="229"/>
      <c r="D183" s="230"/>
      <c r="E183" s="230"/>
      <c r="F183" s="224"/>
      <c r="G183" s="224"/>
      <c r="H183" s="224"/>
      <c r="I183" s="231"/>
      <c r="J183" s="102"/>
      <c r="K183" s="229"/>
      <c r="L183" s="231"/>
      <c r="M183" s="230"/>
      <c r="N183" s="230"/>
      <c r="O183" s="102"/>
      <c r="Q183" s="224"/>
      <c r="R183" s="224"/>
      <c r="S183" s="224"/>
      <c r="T183" s="229"/>
      <c r="U183" s="230"/>
      <c r="V183" s="230"/>
      <c r="W183" s="224"/>
      <c r="X183" s="224"/>
      <c r="AP183" s="86">
        <v>14</v>
      </c>
      <c r="AQ183" s="86">
        <f t="shared" si="171"/>
        <v>38</v>
      </c>
      <c r="AR183" s="132">
        <f t="shared" si="172"/>
        <v>2901.9842014469746</v>
      </c>
      <c r="AS183" s="191">
        <f t="shared" si="164"/>
        <v>2.6672063654445454E-7</v>
      </c>
      <c r="AT183" s="153">
        <f t="shared" si="165"/>
        <v>6.5681391066181393E-6</v>
      </c>
      <c r="AU183" s="88">
        <f>AT183/($AR$166*$G$11*((AX183/2)+3.76))</f>
        <v>1.3989646659463557E-7</v>
      </c>
      <c r="AV183" s="96">
        <f>$G$12*$AR$166*$AC$28</f>
        <v>4.8</v>
      </c>
      <c r="AW183" s="96">
        <f>$G$13*$AR$166*$AC$28</f>
        <v>5.3999999999999995</v>
      </c>
      <c r="AX183" s="134">
        <f>(($G$15/2)*(1-$AR$166)*$AC$28)</f>
        <v>5</v>
      </c>
      <c r="AY183" s="144">
        <f>$G$14*$AC$28</f>
        <v>47.023800000000001</v>
      </c>
      <c r="AZ183" s="152">
        <f t="shared" si="166"/>
        <v>1.7487058324329448E-2</v>
      </c>
      <c r="BA183" s="142">
        <f t="shared" si="167"/>
        <v>0.16446158664632063</v>
      </c>
      <c r="BB183" s="163">
        <f t="shared" si="168"/>
        <v>1.5781171903779199E-6</v>
      </c>
      <c r="BC183" s="153">
        <f t="shared" si="169"/>
        <v>8.7048897580912845E-6</v>
      </c>
      <c r="BD183" s="144">
        <f t="shared" si="170"/>
        <v>181290.88756248105</v>
      </c>
    </row>
    <row r="184" spans="1:56" x14ac:dyDescent="0.25">
      <c r="A184" s="224"/>
      <c r="B184" s="224"/>
      <c r="C184" s="229"/>
      <c r="D184" s="230"/>
      <c r="E184" s="230"/>
      <c r="F184" s="224"/>
      <c r="G184" s="224"/>
      <c r="H184" s="224"/>
      <c r="I184" s="231"/>
      <c r="J184" s="102"/>
      <c r="K184" s="229"/>
      <c r="L184" s="231"/>
      <c r="M184" s="230"/>
      <c r="N184" s="230"/>
      <c r="O184" s="102"/>
      <c r="Q184" s="224"/>
      <c r="R184" s="224"/>
      <c r="S184" s="224"/>
      <c r="T184" s="229"/>
      <c r="U184" s="230"/>
      <c r="V184" s="230"/>
      <c r="W184" s="224"/>
      <c r="X184" s="224"/>
      <c r="AP184" s="86">
        <v>15</v>
      </c>
      <c r="AQ184" s="86">
        <f t="shared" si="171"/>
        <v>40</v>
      </c>
      <c r="AR184" s="132">
        <f t="shared" si="172"/>
        <v>2923.6931141513533</v>
      </c>
      <c r="AS184" s="191">
        <f t="shared" si="164"/>
        <v>3.1727632756353505E-7</v>
      </c>
      <c r="AT184" s="153">
        <f t="shared" si="165"/>
        <v>6.5681391066181393E-6</v>
      </c>
      <c r="AU184" s="88">
        <f>AT184/($AR$166*$G$11*((AX184/2)+3.76))</f>
        <v>1.3989646659463557E-7</v>
      </c>
      <c r="AV184" s="96">
        <f>$G$12*$AR$166*$AC$28</f>
        <v>4.8</v>
      </c>
      <c r="AW184" s="96">
        <f>$G$13*$AR$166*$AC$28</f>
        <v>5.3999999999999995</v>
      </c>
      <c r="AX184" s="134">
        <f>(($G$15/2)*(1-$AR$166)*$AC$28)</f>
        <v>5</v>
      </c>
      <c r="AY184" s="144">
        <f>$G$14*$AC$28</f>
        <v>47.023800000000001</v>
      </c>
      <c r="AZ184" s="152">
        <f t="shared" si="166"/>
        <v>1.7487058324329448E-2</v>
      </c>
      <c r="BA184" s="142">
        <f t="shared" si="167"/>
        <v>0.16446158664632063</v>
      </c>
      <c r="BB184" s="163">
        <f t="shared" si="168"/>
        <v>1.5781171903779199E-6</v>
      </c>
      <c r="BC184" s="153">
        <f t="shared" si="169"/>
        <v>8.7048897580912845E-6</v>
      </c>
      <c r="BD184" s="144">
        <f t="shared" si="170"/>
        <v>181290.88756248105</v>
      </c>
    </row>
    <row r="185" spans="1:56" ht="15.75" thickBot="1" x14ac:dyDescent="0.3">
      <c r="A185" s="224"/>
      <c r="B185" s="224"/>
      <c r="C185" s="229"/>
      <c r="D185" s="230"/>
      <c r="E185" s="230"/>
      <c r="F185" s="224"/>
      <c r="G185" s="224"/>
      <c r="H185" s="224"/>
      <c r="I185" s="231"/>
      <c r="J185" s="102"/>
      <c r="K185" s="229"/>
      <c r="L185" s="231"/>
      <c r="M185" s="230"/>
      <c r="N185" s="230"/>
      <c r="O185" s="102"/>
      <c r="Q185" s="224"/>
      <c r="R185" s="224"/>
      <c r="S185" s="224"/>
      <c r="T185" s="229"/>
      <c r="U185" s="230"/>
      <c r="V185" s="230"/>
      <c r="W185" s="224"/>
      <c r="X185" s="224"/>
      <c r="AP185" s="249"/>
      <c r="AQ185" s="249"/>
      <c r="AR185" s="132"/>
      <c r="AS185" s="97"/>
      <c r="AT185" s="86"/>
      <c r="AU185" s="88"/>
      <c r="AV185" s="96"/>
      <c r="AW185" s="96"/>
      <c r="AX185" s="134"/>
      <c r="AY185" s="145"/>
      <c r="AZ185" s="152"/>
      <c r="BA185" s="143"/>
      <c r="BB185" s="143"/>
      <c r="BC185" s="162"/>
      <c r="BD185" s="144"/>
    </row>
    <row r="186" spans="1:56" x14ac:dyDescent="0.25">
      <c r="A186" s="224"/>
      <c r="B186" s="224"/>
      <c r="C186" s="229"/>
      <c r="D186" s="230"/>
      <c r="E186" s="230"/>
      <c r="F186" s="224"/>
      <c r="G186" s="224"/>
      <c r="H186" s="224"/>
      <c r="I186" s="231"/>
      <c r="J186" s="102"/>
      <c r="K186" s="229"/>
      <c r="L186" s="231"/>
      <c r="M186" s="230"/>
      <c r="N186" s="230"/>
      <c r="O186" s="102"/>
      <c r="Q186" s="224"/>
      <c r="R186" s="224"/>
      <c r="S186" s="224"/>
      <c r="T186" s="229"/>
      <c r="U186" s="230"/>
      <c r="V186" s="230"/>
      <c r="W186" s="224"/>
      <c r="X186" s="224"/>
      <c r="Y186" s="224"/>
      <c r="Z186" s="231"/>
      <c r="AA186" s="102"/>
      <c r="AB186" s="229"/>
      <c r="AC186" s="231"/>
      <c r="AD186" s="230"/>
      <c r="AE186" s="230"/>
      <c r="AF186" s="102"/>
    </row>
    <row r="187" spans="1:56" x14ac:dyDescent="0.25">
      <c r="A187" s="224"/>
      <c r="B187" s="224"/>
      <c r="C187" s="229"/>
      <c r="D187" s="230"/>
      <c r="E187" s="230"/>
      <c r="F187" s="224"/>
      <c r="G187" s="224"/>
      <c r="H187" s="224"/>
      <c r="I187" s="231"/>
      <c r="J187" s="102"/>
      <c r="K187" s="229"/>
      <c r="L187" s="231"/>
      <c r="M187" s="230"/>
      <c r="N187" s="230"/>
      <c r="O187" s="102"/>
      <c r="Q187" s="224"/>
      <c r="R187" s="224"/>
      <c r="S187" s="224"/>
      <c r="T187" s="229"/>
      <c r="U187" s="230"/>
      <c r="V187" s="230"/>
      <c r="W187" s="224"/>
      <c r="X187" s="224"/>
      <c r="Y187" s="224"/>
      <c r="Z187" s="231"/>
      <c r="AA187" s="102"/>
      <c r="AB187" s="229"/>
      <c r="AC187" s="231"/>
      <c r="AD187" s="230"/>
      <c r="AE187" s="230"/>
      <c r="AF187" s="102"/>
    </row>
    <row r="188" spans="1:56" x14ac:dyDescent="0.25">
      <c r="A188" s="224"/>
      <c r="B188" s="224"/>
      <c r="C188" s="229"/>
      <c r="D188" s="230"/>
      <c r="E188" s="230"/>
      <c r="F188" s="224"/>
      <c r="G188" s="224"/>
      <c r="H188" s="224"/>
      <c r="I188" s="231"/>
      <c r="J188" s="102"/>
      <c r="K188" s="229"/>
      <c r="L188" s="231"/>
      <c r="M188" s="230"/>
      <c r="N188" s="230"/>
      <c r="O188" s="102"/>
      <c r="Q188" s="224"/>
      <c r="R188" s="224"/>
      <c r="S188" s="224"/>
      <c r="T188" s="229"/>
      <c r="U188" s="230"/>
      <c r="V188" s="230"/>
      <c r="W188" s="224"/>
      <c r="X188" s="224"/>
      <c r="Y188" s="224"/>
      <c r="Z188" s="231"/>
      <c r="AA188" s="102"/>
      <c r="AB188" s="229"/>
      <c r="AC188" s="231"/>
      <c r="AD188" s="230"/>
      <c r="AE188" s="230"/>
      <c r="AF188" s="102"/>
    </row>
    <row r="189" spans="1:56" x14ac:dyDescent="0.25">
      <c r="A189" s="224"/>
      <c r="B189" s="224"/>
      <c r="C189" s="229"/>
      <c r="D189" s="230"/>
      <c r="E189" s="230"/>
      <c r="F189" s="224"/>
      <c r="G189" s="224"/>
      <c r="H189" s="224"/>
      <c r="I189" s="231"/>
      <c r="J189" s="102"/>
      <c r="K189" s="229"/>
      <c r="L189" s="231"/>
      <c r="M189" s="230"/>
      <c r="N189" s="230"/>
      <c r="O189" s="102"/>
      <c r="Q189" s="224"/>
      <c r="R189" s="224"/>
      <c r="S189" s="224"/>
      <c r="T189" s="229"/>
      <c r="U189" s="230"/>
      <c r="V189" s="230"/>
      <c r="W189" s="224"/>
      <c r="X189" s="224"/>
      <c r="Y189" s="224"/>
      <c r="Z189" s="231"/>
      <c r="AA189" s="102"/>
      <c r="AB189" s="229"/>
      <c r="AC189" s="231"/>
      <c r="AD189" s="230"/>
      <c r="AE189" s="230"/>
      <c r="AF189" s="102"/>
    </row>
    <row r="190" spans="1:56" x14ac:dyDescent="0.25">
      <c r="A190" s="224"/>
      <c r="B190" s="224"/>
      <c r="C190" s="229"/>
      <c r="D190" s="230"/>
      <c r="E190" s="230"/>
      <c r="F190" s="224"/>
      <c r="G190" s="224"/>
      <c r="H190" s="224"/>
      <c r="I190" s="231"/>
      <c r="J190" s="102"/>
      <c r="K190" s="229"/>
      <c r="L190" s="231"/>
      <c r="M190" s="230"/>
      <c r="N190" s="230"/>
      <c r="O190" s="102"/>
      <c r="Q190" s="224"/>
      <c r="R190" s="224"/>
      <c r="S190" s="224"/>
      <c r="T190" s="229"/>
      <c r="U190" s="230"/>
      <c r="V190" s="230"/>
      <c r="W190" s="224"/>
      <c r="X190" s="224"/>
      <c r="Y190" s="224"/>
      <c r="Z190" s="231"/>
      <c r="AA190" s="102"/>
      <c r="AB190" s="229"/>
      <c r="AC190" s="231"/>
      <c r="AD190" s="230"/>
      <c r="AE190" s="230"/>
      <c r="AF190" s="102"/>
    </row>
    <row r="191" spans="1:56" x14ac:dyDescent="0.25">
      <c r="A191" s="224"/>
      <c r="B191" s="224"/>
      <c r="C191" s="229"/>
      <c r="D191" s="230"/>
      <c r="E191" s="230"/>
      <c r="F191" s="224"/>
      <c r="G191" s="224"/>
      <c r="H191" s="224"/>
      <c r="I191" s="231"/>
      <c r="J191" s="102"/>
      <c r="K191" s="229"/>
      <c r="L191" s="231"/>
      <c r="M191" s="230"/>
      <c r="N191" s="230"/>
      <c r="O191" s="102"/>
      <c r="Q191" s="224"/>
      <c r="R191" s="224"/>
      <c r="S191" s="224"/>
      <c r="T191" s="229"/>
      <c r="U191" s="230"/>
      <c r="V191" s="224"/>
      <c r="W191" s="224"/>
      <c r="X191" s="224"/>
      <c r="Y191" s="224"/>
      <c r="Z191" s="231"/>
      <c r="AA191" s="102"/>
      <c r="AB191" s="229"/>
      <c r="AC191" s="231"/>
      <c r="AD191" s="231"/>
      <c r="AE191" s="230"/>
      <c r="AF191" s="102"/>
    </row>
    <row r="192" spans="1:56" x14ac:dyDescent="0.25">
      <c r="A192" s="224"/>
      <c r="B192" s="224"/>
      <c r="C192" s="229"/>
      <c r="D192" s="230"/>
      <c r="E192" s="224"/>
      <c r="F192" s="224"/>
      <c r="G192" s="224"/>
      <c r="H192" s="224"/>
      <c r="I192" s="231"/>
      <c r="J192" s="102"/>
      <c r="K192" s="229"/>
      <c r="L192" s="231"/>
      <c r="M192" s="231"/>
      <c r="N192" s="230"/>
      <c r="O192" s="102"/>
      <c r="Q192" s="224"/>
      <c r="R192" s="224"/>
      <c r="S192" s="224"/>
      <c r="T192" s="224"/>
      <c r="U192" s="224"/>
      <c r="V192" s="224"/>
      <c r="W192" s="224"/>
      <c r="X192" s="224"/>
      <c r="Y192" s="224"/>
      <c r="Z192" s="224"/>
      <c r="AA192" s="224"/>
      <c r="AB192" s="224"/>
      <c r="AC192" s="224"/>
      <c r="AD192" s="224"/>
      <c r="AE192" s="224"/>
      <c r="AF192" s="224"/>
    </row>
    <row r="193" spans="1:32" x14ac:dyDescent="0.25">
      <c r="A193" s="224"/>
      <c r="B193" s="224"/>
      <c r="C193" s="224"/>
      <c r="D193" s="224"/>
      <c r="E193" s="224"/>
      <c r="F193" s="224"/>
      <c r="G193" s="224"/>
      <c r="H193" s="224"/>
      <c r="I193" s="224"/>
      <c r="J193" s="224"/>
      <c r="K193" s="224"/>
      <c r="L193" s="224"/>
      <c r="M193" s="224"/>
      <c r="N193" s="224"/>
      <c r="Q193" s="224"/>
      <c r="R193" s="224"/>
      <c r="S193" s="224"/>
      <c r="T193" s="224"/>
      <c r="U193" s="224"/>
      <c r="V193" s="224"/>
      <c r="W193" s="224"/>
      <c r="X193" s="224"/>
      <c r="Y193" s="224"/>
      <c r="Z193" s="224"/>
      <c r="AA193" s="224"/>
      <c r="AB193" s="224"/>
      <c r="AC193" s="224"/>
      <c r="AD193" s="224"/>
      <c r="AE193" s="224"/>
      <c r="AF193" s="224"/>
    </row>
    <row r="194" spans="1:32" x14ac:dyDescent="0.25">
      <c r="C194" s="224"/>
      <c r="D194" s="224"/>
      <c r="E194" s="224"/>
      <c r="F194" s="224"/>
      <c r="G194" s="224"/>
      <c r="H194" s="224"/>
      <c r="I194" s="224"/>
      <c r="J194" s="224"/>
      <c r="K194" s="224"/>
      <c r="L194" s="224"/>
      <c r="M194" s="224"/>
      <c r="N194" s="224"/>
      <c r="Q194" s="224"/>
      <c r="R194" s="372"/>
      <c r="S194" s="372"/>
      <c r="T194" s="417"/>
      <c r="U194" s="417"/>
      <c r="V194" s="417"/>
      <c r="W194" s="417"/>
      <c r="X194" s="417"/>
      <c r="Y194" s="417"/>
      <c r="Z194" s="417"/>
      <c r="AA194" s="417"/>
      <c r="AB194" s="417"/>
      <c r="AC194" s="417"/>
      <c r="AD194" s="417"/>
      <c r="AE194" s="417"/>
      <c r="AF194" s="224"/>
    </row>
    <row r="195" spans="1:32" x14ac:dyDescent="0.25">
      <c r="C195" s="224"/>
      <c r="D195" s="224"/>
      <c r="E195" s="224"/>
      <c r="F195" s="224"/>
      <c r="G195" s="224"/>
      <c r="H195" s="224"/>
      <c r="I195" s="224"/>
      <c r="J195" s="224"/>
      <c r="K195" s="224"/>
      <c r="L195" s="224"/>
      <c r="M195" s="224"/>
      <c r="N195" s="224"/>
      <c r="Q195" s="224"/>
      <c r="R195" s="372"/>
      <c r="S195" s="372"/>
      <c r="T195" s="417"/>
      <c r="U195" s="417"/>
      <c r="V195" s="417"/>
      <c r="W195" s="417"/>
      <c r="X195" s="417"/>
      <c r="Y195" s="417"/>
      <c r="Z195" s="417"/>
      <c r="AA195" s="417"/>
      <c r="AB195" s="417"/>
      <c r="AC195" s="417"/>
      <c r="AD195" s="417"/>
      <c r="AE195" s="417"/>
      <c r="AF195" s="224"/>
    </row>
    <row r="196" spans="1:32" x14ac:dyDescent="0.25">
      <c r="C196" s="224"/>
      <c r="D196" s="224"/>
      <c r="E196" s="224"/>
      <c r="F196" s="224"/>
      <c r="G196" s="224"/>
      <c r="H196" s="224"/>
      <c r="I196" s="224"/>
      <c r="J196" s="224"/>
      <c r="K196" s="224"/>
      <c r="L196" s="224"/>
      <c r="M196" s="224"/>
      <c r="N196" s="224"/>
      <c r="Q196" s="224"/>
      <c r="R196" s="224"/>
      <c r="S196" s="224"/>
      <c r="T196" s="224"/>
      <c r="U196" s="224"/>
      <c r="V196" s="224"/>
      <c r="W196" s="224"/>
      <c r="X196" s="224"/>
      <c r="Y196" s="224"/>
      <c r="Z196" s="224"/>
      <c r="AA196" s="224"/>
      <c r="AB196" s="224"/>
      <c r="AC196" s="224"/>
      <c r="AD196" s="224"/>
      <c r="AE196" s="224"/>
      <c r="AF196" s="224"/>
    </row>
    <row r="197" spans="1:32" x14ac:dyDescent="0.25">
      <c r="C197" s="224"/>
      <c r="D197" s="224"/>
      <c r="E197" s="224"/>
      <c r="F197" s="224"/>
      <c r="G197" s="224"/>
      <c r="H197" s="224"/>
      <c r="I197" s="224"/>
      <c r="J197" s="224"/>
      <c r="K197" s="224"/>
      <c r="L197" s="224"/>
      <c r="M197" s="224"/>
      <c r="N197" s="224"/>
      <c r="Q197" s="224"/>
      <c r="R197" s="224"/>
      <c r="S197" s="224"/>
      <c r="T197" s="224"/>
      <c r="U197" s="230"/>
      <c r="V197" s="230"/>
      <c r="W197" s="224"/>
      <c r="X197" s="224"/>
      <c r="Y197" s="224"/>
      <c r="Z197" s="231"/>
      <c r="AA197" s="102"/>
      <c r="AB197" s="229"/>
      <c r="AC197" s="231"/>
      <c r="AD197" s="230"/>
      <c r="AE197" s="230"/>
      <c r="AF197" s="102"/>
    </row>
    <row r="198" spans="1:32" x14ac:dyDescent="0.25">
      <c r="C198" s="224"/>
      <c r="D198" s="224"/>
      <c r="E198" s="224"/>
      <c r="F198" s="224"/>
      <c r="G198" s="224"/>
      <c r="H198" s="224"/>
      <c r="I198" s="224"/>
      <c r="J198" s="224"/>
      <c r="K198" s="224"/>
      <c r="L198" s="224"/>
      <c r="M198" s="224"/>
      <c r="N198" s="224"/>
      <c r="Q198" s="224"/>
      <c r="R198" s="224"/>
      <c r="S198" s="224"/>
      <c r="T198" s="229"/>
      <c r="U198" s="230"/>
      <c r="V198" s="230"/>
      <c r="W198" s="224"/>
      <c r="X198" s="224"/>
      <c r="Y198" s="224"/>
      <c r="Z198" s="231"/>
      <c r="AA198" s="102"/>
      <c r="AB198" s="229"/>
      <c r="AC198" s="231"/>
      <c r="AD198" s="230"/>
      <c r="AE198" s="230"/>
      <c r="AF198" s="102"/>
    </row>
    <row r="199" spans="1:32" x14ac:dyDescent="0.25">
      <c r="C199" s="224"/>
      <c r="D199" s="224"/>
      <c r="E199" s="224"/>
      <c r="F199" s="224"/>
      <c r="G199" s="224"/>
      <c r="H199" s="224"/>
      <c r="I199" s="224"/>
      <c r="J199" s="224"/>
      <c r="K199" s="224"/>
      <c r="L199" s="224"/>
      <c r="M199" s="224"/>
      <c r="N199" s="224"/>
      <c r="Q199" s="224"/>
      <c r="R199" s="224"/>
      <c r="S199" s="224"/>
      <c r="T199" s="229"/>
      <c r="U199" s="230"/>
      <c r="V199" s="230"/>
      <c r="W199" s="224"/>
      <c r="X199" s="224"/>
      <c r="Y199" s="224"/>
      <c r="Z199" s="231"/>
      <c r="AA199" s="102"/>
      <c r="AB199" s="229"/>
      <c r="AC199" s="231"/>
      <c r="AD199" s="230"/>
      <c r="AE199" s="230"/>
      <c r="AF199" s="102"/>
    </row>
    <row r="200" spans="1:32" x14ac:dyDescent="0.25">
      <c r="C200" s="224"/>
      <c r="D200" s="224"/>
      <c r="E200" s="224"/>
      <c r="F200" s="224"/>
      <c r="G200" s="224"/>
      <c r="H200" s="224"/>
      <c r="I200" s="224"/>
      <c r="J200" s="224"/>
      <c r="K200" s="224"/>
      <c r="L200" s="224"/>
      <c r="M200" s="224"/>
      <c r="N200" s="224"/>
      <c r="Q200" s="224"/>
      <c r="R200" s="224"/>
      <c r="S200" s="224"/>
      <c r="T200" s="229"/>
      <c r="U200" s="230"/>
      <c r="V200" s="230"/>
      <c r="W200" s="224"/>
      <c r="X200" s="224"/>
      <c r="Y200" s="224"/>
      <c r="Z200" s="231"/>
      <c r="AA200" s="102"/>
      <c r="AB200" s="229"/>
      <c r="AC200" s="231"/>
      <c r="AD200" s="230"/>
      <c r="AE200" s="230"/>
      <c r="AF200" s="102"/>
    </row>
    <row r="201" spans="1:32" x14ac:dyDescent="0.25">
      <c r="C201" s="224"/>
      <c r="D201" s="224"/>
      <c r="E201" s="224"/>
      <c r="F201" s="224"/>
      <c r="G201" s="224"/>
      <c r="H201" s="224"/>
      <c r="I201" s="224"/>
      <c r="J201" s="224"/>
      <c r="K201" s="224"/>
      <c r="L201" s="224"/>
      <c r="M201" s="224"/>
      <c r="N201" s="224"/>
      <c r="Q201" s="224"/>
      <c r="R201" s="224"/>
      <c r="S201" s="224"/>
      <c r="T201" s="229"/>
      <c r="U201" s="230"/>
      <c r="V201" s="230"/>
      <c r="W201" s="224"/>
      <c r="X201" s="224"/>
      <c r="Y201" s="224"/>
      <c r="Z201" s="231"/>
      <c r="AA201" s="102"/>
      <c r="AB201" s="229"/>
      <c r="AC201" s="231"/>
      <c r="AD201" s="230"/>
      <c r="AE201" s="230"/>
      <c r="AF201" s="102"/>
    </row>
    <row r="202" spans="1:32" x14ac:dyDescent="0.25">
      <c r="C202" s="224"/>
      <c r="D202" s="224"/>
      <c r="E202" s="224"/>
      <c r="F202" s="224"/>
      <c r="G202" s="224"/>
      <c r="H202" s="224"/>
      <c r="I202" s="224"/>
      <c r="J202" s="224"/>
      <c r="K202" s="224"/>
      <c r="L202" s="224"/>
      <c r="M202" s="224"/>
      <c r="N202" s="224"/>
      <c r="Q202" s="224"/>
      <c r="R202" s="224"/>
      <c r="S202" s="224"/>
      <c r="T202" s="229"/>
      <c r="U202" s="230"/>
      <c r="V202" s="230"/>
      <c r="W202" s="224"/>
      <c r="X202" s="224"/>
      <c r="Y202" s="224"/>
      <c r="Z202" s="231"/>
      <c r="AA202" s="102"/>
      <c r="AB202" s="229"/>
      <c r="AC202" s="231"/>
      <c r="AD202" s="230"/>
      <c r="AE202" s="230"/>
      <c r="AF202" s="102"/>
    </row>
    <row r="203" spans="1:32" x14ac:dyDescent="0.25">
      <c r="C203" s="224"/>
      <c r="D203" s="224"/>
      <c r="E203" s="224"/>
      <c r="F203" s="224"/>
      <c r="G203" s="224"/>
      <c r="H203" s="224"/>
      <c r="I203" s="224"/>
      <c r="J203" s="224"/>
      <c r="K203" s="224"/>
      <c r="L203" s="224"/>
      <c r="M203" s="224"/>
      <c r="N203" s="224"/>
      <c r="Q203" s="224"/>
      <c r="R203" s="224"/>
      <c r="S203" s="224"/>
      <c r="T203" s="229"/>
      <c r="U203" s="230"/>
      <c r="V203" s="230"/>
      <c r="W203" s="224"/>
      <c r="X203" s="224"/>
      <c r="Y203" s="224"/>
      <c r="Z203" s="231"/>
      <c r="AA203" s="102"/>
      <c r="AB203" s="229"/>
      <c r="AC203" s="231"/>
      <c r="AD203" s="230"/>
      <c r="AE203" s="230"/>
      <c r="AF203" s="102"/>
    </row>
    <row r="204" spans="1:32" x14ac:dyDescent="0.25">
      <c r="C204" s="224"/>
      <c r="D204" s="224"/>
      <c r="E204" s="224"/>
      <c r="F204" s="224"/>
      <c r="G204" s="224"/>
      <c r="H204" s="224"/>
      <c r="I204" s="224"/>
      <c r="J204" s="224"/>
      <c r="K204" s="224"/>
      <c r="L204" s="224"/>
      <c r="M204" s="224"/>
      <c r="N204" s="224"/>
      <c r="Q204" s="224"/>
      <c r="R204" s="224"/>
      <c r="S204" s="224"/>
      <c r="T204" s="229"/>
      <c r="U204" s="230"/>
      <c r="V204" s="230"/>
      <c r="W204" s="224"/>
      <c r="X204" s="224"/>
      <c r="Y204" s="224"/>
      <c r="Z204" s="231"/>
      <c r="AA204" s="102"/>
      <c r="AB204" s="229"/>
      <c r="AC204" s="231"/>
      <c r="AD204" s="230"/>
      <c r="AE204" s="230"/>
      <c r="AF204" s="102"/>
    </row>
    <row r="205" spans="1:32" x14ac:dyDescent="0.25">
      <c r="C205" s="224"/>
      <c r="D205" s="224"/>
      <c r="E205" s="224"/>
      <c r="F205" s="224"/>
      <c r="G205" s="224"/>
      <c r="H205" s="224"/>
      <c r="I205" s="224"/>
      <c r="J205" s="224"/>
      <c r="K205" s="224"/>
      <c r="L205" s="224"/>
      <c r="M205" s="224"/>
      <c r="N205" s="224"/>
      <c r="Q205" s="224"/>
      <c r="R205" s="224"/>
      <c r="S205" s="224"/>
      <c r="T205" s="229"/>
      <c r="U205" s="230"/>
      <c r="V205" s="230"/>
      <c r="W205" s="224"/>
      <c r="X205" s="224"/>
      <c r="Y205" s="224"/>
      <c r="Z205" s="231"/>
      <c r="AA205" s="102"/>
      <c r="AB205" s="229"/>
      <c r="AC205" s="231"/>
      <c r="AD205" s="230"/>
      <c r="AE205" s="230"/>
      <c r="AF205" s="102"/>
    </row>
    <row r="206" spans="1:32" x14ac:dyDescent="0.25">
      <c r="C206" s="224"/>
      <c r="D206" s="224"/>
      <c r="E206" s="224"/>
      <c r="F206" s="224"/>
      <c r="G206" s="224"/>
      <c r="H206" s="224"/>
      <c r="I206" s="224"/>
      <c r="J206" s="224"/>
      <c r="K206" s="224"/>
      <c r="L206" s="224"/>
      <c r="M206" s="224"/>
      <c r="N206" s="224"/>
      <c r="Q206" s="224"/>
      <c r="R206" s="224"/>
      <c r="S206" s="224"/>
      <c r="T206" s="229"/>
      <c r="U206" s="230"/>
      <c r="V206" s="230"/>
      <c r="W206" s="224"/>
      <c r="X206" s="224"/>
      <c r="Y206" s="224"/>
      <c r="Z206" s="231"/>
      <c r="AA206" s="102"/>
      <c r="AB206" s="229"/>
      <c r="AC206" s="231"/>
      <c r="AD206" s="230"/>
      <c r="AE206" s="230"/>
      <c r="AF206" s="102"/>
    </row>
    <row r="207" spans="1:32" x14ac:dyDescent="0.25">
      <c r="C207" s="224"/>
      <c r="D207" s="224"/>
      <c r="E207" s="224"/>
      <c r="F207" s="224"/>
      <c r="G207" s="224"/>
      <c r="H207" s="224"/>
      <c r="I207" s="224"/>
      <c r="J207" s="224"/>
      <c r="K207" s="224"/>
      <c r="L207" s="224"/>
      <c r="M207" s="224"/>
      <c r="N207" s="224"/>
      <c r="Q207" s="224"/>
      <c r="R207" s="224"/>
      <c r="S207" s="224"/>
      <c r="T207" s="229"/>
      <c r="U207" s="230"/>
      <c r="V207" s="230"/>
      <c r="W207" s="224"/>
      <c r="X207" s="224"/>
      <c r="Y207" s="224"/>
      <c r="Z207" s="231"/>
      <c r="AA207" s="102"/>
      <c r="AB207" s="229"/>
      <c r="AC207" s="231"/>
      <c r="AD207" s="230"/>
      <c r="AE207" s="230"/>
      <c r="AF207" s="102"/>
    </row>
    <row r="208" spans="1:32" x14ac:dyDescent="0.25">
      <c r="C208" s="224"/>
      <c r="D208" s="224"/>
      <c r="E208" s="224"/>
      <c r="F208" s="224"/>
      <c r="G208" s="224"/>
      <c r="H208" s="224"/>
      <c r="I208" s="224"/>
      <c r="J208" s="224"/>
      <c r="K208" s="224"/>
      <c r="L208" s="224"/>
      <c r="M208" s="224"/>
      <c r="N208" s="224"/>
      <c r="Q208" s="224"/>
      <c r="R208" s="224"/>
      <c r="S208" s="224"/>
      <c r="T208" s="229"/>
      <c r="U208" s="230"/>
      <c r="V208" s="230"/>
      <c r="W208" s="224"/>
      <c r="X208" s="224"/>
      <c r="Y208" s="224"/>
      <c r="Z208" s="231"/>
      <c r="AA208" s="102"/>
      <c r="AB208" s="229"/>
      <c r="AC208" s="231"/>
      <c r="AD208" s="230"/>
      <c r="AE208" s="230"/>
      <c r="AF208" s="102"/>
    </row>
    <row r="209" spans="3:32" x14ac:dyDescent="0.25">
      <c r="C209" s="224"/>
      <c r="D209" s="224"/>
      <c r="E209" s="224"/>
      <c r="F209" s="224"/>
      <c r="G209" s="224"/>
      <c r="H209" s="224"/>
      <c r="I209" s="224"/>
      <c r="J209" s="224"/>
      <c r="K209" s="224"/>
      <c r="L209" s="224"/>
      <c r="M209" s="224"/>
      <c r="N209" s="224"/>
      <c r="Q209" s="224"/>
      <c r="R209" s="224"/>
      <c r="S209" s="224"/>
      <c r="T209" s="229"/>
      <c r="U209" s="230"/>
      <c r="V209" s="230"/>
      <c r="W209" s="224"/>
      <c r="X209" s="224"/>
      <c r="Y209" s="224"/>
      <c r="Z209" s="231"/>
      <c r="AA209" s="102"/>
      <c r="AB209" s="229"/>
      <c r="AC209" s="231"/>
      <c r="AD209" s="230"/>
      <c r="AE209" s="230"/>
      <c r="AF209" s="102"/>
    </row>
    <row r="210" spans="3:32" x14ac:dyDescent="0.25">
      <c r="C210" s="224"/>
      <c r="D210" s="224"/>
      <c r="E210" s="224"/>
      <c r="F210" s="224"/>
      <c r="G210" s="224"/>
      <c r="H210" s="224"/>
      <c r="I210" s="224"/>
      <c r="J210" s="224"/>
      <c r="K210" s="224"/>
      <c r="L210" s="224"/>
      <c r="M210" s="224"/>
      <c r="N210" s="224"/>
      <c r="Q210" s="224"/>
      <c r="R210" s="224"/>
      <c r="S210" s="224"/>
      <c r="T210" s="229"/>
      <c r="U210" s="230"/>
      <c r="V210" s="230"/>
      <c r="W210" s="224"/>
      <c r="X210" s="224"/>
      <c r="Y210" s="224"/>
      <c r="Z210" s="231"/>
      <c r="AA210" s="102"/>
      <c r="AB210" s="229"/>
      <c r="AC210" s="231"/>
      <c r="AD210" s="230"/>
      <c r="AE210" s="230"/>
      <c r="AF210" s="102"/>
    </row>
    <row r="211" spans="3:32" x14ac:dyDescent="0.25">
      <c r="C211" s="224"/>
      <c r="D211" s="224"/>
      <c r="E211" s="224"/>
      <c r="F211" s="224"/>
      <c r="G211" s="224"/>
      <c r="H211" s="224"/>
      <c r="I211" s="224"/>
      <c r="J211" s="224"/>
      <c r="K211" s="224"/>
      <c r="L211" s="224"/>
      <c r="M211" s="224"/>
      <c r="N211" s="224"/>
      <c r="Q211" s="224"/>
      <c r="R211" s="224"/>
      <c r="S211" s="224"/>
      <c r="T211" s="229"/>
      <c r="U211" s="230"/>
      <c r="V211" s="230"/>
      <c r="W211" s="224"/>
      <c r="X211" s="224"/>
      <c r="Y211" s="224"/>
      <c r="Z211" s="231"/>
      <c r="AA211" s="102"/>
      <c r="AB211" s="229"/>
      <c r="AC211" s="231"/>
      <c r="AD211" s="230"/>
      <c r="AE211" s="230"/>
      <c r="AF211" s="102"/>
    </row>
    <row r="212" spans="3:32" x14ac:dyDescent="0.25">
      <c r="C212" s="224"/>
      <c r="D212" s="224"/>
      <c r="E212" s="224"/>
      <c r="F212" s="224"/>
      <c r="G212" s="224"/>
      <c r="H212" s="224"/>
      <c r="I212" s="224"/>
      <c r="J212" s="224"/>
      <c r="K212" s="224"/>
      <c r="L212" s="224"/>
      <c r="M212" s="224"/>
      <c r="N212" s="224"/>
      <c r="Q212" s="224"/>
      <c r="R212" s="224"/>
      <c r="S212" s="224"/>
      <c r="T212" s="229"/>
      <c r="U212" s="230"/>
      <c r="V212" s="230"/>
      <c r="W212" s="224"/>
      <c r="X212" s="224"/>
      <c r="Y212" s="224"/>
      <c r="Z212" s="231"/>
      <c r="AA212" s="102"/>
      <c r="AB212" s="229"/>
      <c r="AC212" s="231"/>
      <c r="AD212" s="230"/>
      <c r="AE212" s="230"/>
      <c r="AF212" s="102"/>
    </row>
    <row r="213" spans="3:32" x14ac:dyDescent="0.25">
      <c r="C213" s="224"/>
      <c r="D213" s="224"/>
      <c r="E213" s="224"/>
      <c r="F213" s="224"/>
      <c r="G213" s="224"/>
      <c r="H213" s="224"/>
      <c r="I213" s="224"/>
      <c r="J213" s="224"/>
      <c r="K213" s="224"/>
      <c r="L213" s="224"/>
      <c r="M213" s="224"/>
      <c r="N213" s="224"/>
      <c r="Q213" s="224"/>
      <c r="R213" s="224"/>
      <c r="S213" s="224"/>
      <c r="T213" s="229"/>
      <c r="U213" s="230"/>
      <c r="V213" s="224"/>
      <c r="W213" s="224"/>
      <c r="X213" s="224"/>
      <c r="Y213" s="224"/>
      <c r="Z213" s="231"/>
      <c r="AA213" s="102"/>
      <c r="AB213" s="229"/>
      <c r="AC213" s="231"/>
      <c r="AD213" s="231"/>
      <c r="AE213" s="230"/>
      <c r="AF213" s="102"/>
    </row>
    <row r="281" spans="18:30" ht="15.75" thickBot="1" x14ac:dyDescent="0.3">
      <c r="R281" s="219">
        <v>16</v>
      </c>
      <c r="S281" s="218">
        <f>S212+2</f>
        <v>2</v>
      </c>
      <c r="T281" s="133">
        <f>(T212*(($B83/$B82)^(($C$13-1)/$C$13)))</f>
        <v>0</v>
      </c>
      <c r="U281" s="149"/>
      <c r="V281" s="219">
        <f>(((S281*10^5*($C$4*$C$6)*10^-6)/($C$8*$C$7)))</f>
        <v>1.3136278213236279E-5</v>
      </c>
      <c r="W281" s="219" t="e">
        <f>V281/($T$194*$G$11*((Z281/2)+3.76))</f>
        <v>#DIV/0!</v>
      </c>
      <c r="X281" s="219">
        <f>$T$194*$G$12</f>
        <v>0</v>
      </c>
      <c r="Y281" s="219">
        <f>$T$194*$G$13</f>
        <v>0</v>
      </c>
      <c r="Z281" s="143">
        <f>(($G$15/2)*(1-$T$194))</f>
        <v>12.5</v>
      </c>
      <c r="AA281" s="149">
        <f>$G$14</f>
        <v>47.023800000000001</v>
      </c>
      <c r="AB281" s="133" t="e">
        <f>((Z281*W281)/($C$5*10^-6))</f>
        <v>#DIV/0!</v>
      </c>
      <c r="AC281" s="125" t="e">
        <f>((AA281*W281)/($C$5*10^-6))</f>
        <v>#DIV/0!</v>
      </c>
      <c r="AD281" s="134"/>
    </row>
  </sheetData>
  <mergeCells count="95">
    <mergeCell ref="AE3:AE4"/>
    <mergeCell ref="AF3:AF4"/>
    <mergeCell ref="P3:AC4"/>
    <mergeCell ref="AG3:AT4"/>
    <mergeCell ref="N3:N4"/>
    <mergeCell ref="O3:O4"/>
    <mergeCell ref="AP166:AQ167"/>
    <mergeCell ref="AR144:BA145"/>
    <mergeCell ref="AR166:BA167"/>
    <mergeCell ref="R78:U79"/>
    <mergeCell ref="AR122:BA123"/>
    <mergeCell ref="Y123:Z124"/>
    <mergeCell ref="AA123:AJ124"/>
    <mergeCell ref="AP144:AQ145"/>
    <mergeCell ref="Y145:Z146"/>
    <mergeCell ref="AA145:AJ146"/>
    <mergeCell ref="AR79:BA80"/>
    <mergeCell ref="Y80:Z81"/>
    <mergeCell ref="AA80:AJ81"/>
    <mergeCell ref="AP101:AQ102"/>
    <mergeCell ref="AR101:BA102"/>
    <mergeCell ref="Y102:Z103"/>
    <mergeCell ref="AA102:AJ103"/>
    <mergeCell ref="AR36:BA37"/>
    <mergeCell ref="AP57:AQ58"/>
    <mergeCell ref="AR57:BA58"/>
    <mergeCell ref="Y58:Z59"/>
    <mergeCell ref="AA58:AJ59"/>
    <mergeCell ref="Y36:Z37"/>
    <mergeCell ref="AA36:AJ37"/>
    <mergeCell ref="AP36:AQ37"/>
    <mergeCell ref="AP79:AQ80"/>
    <mergeCell ref="AP122:AQ123"/>
    <mergeCell ref="R54:U55"/>
    <mergeCell ref="AB28:AB29"/>
    <mergeCell ref="AC28:AC29"/>
    <mergeCell ref="B50:C51"/>
    <mergeCell ref="D74:P75"/>
    <mergeCell ref="D98:P99"/>
    <mergeCell ref="D123:P124"/>
    <mergeCell ref="B125:C126"/>
    <mergeCell ref="D125:P126"/>
    <mergeCell ref="B100:C101"/>
    <mergeCell ref="D100:P101"/>
    <mergeCell ref="K1:K2"/>
    <mergeCell ref="L1:L2"/>
    <mergeCell ref="F21:F22"/>
    <mergeCell ref="G21:G22"/>
    <mergeCell ref="G29:G30"/>
    <mergeCell ref="B52:C53"/>
    <mergeCell ref="B76:C77"/>
    <mergeCell ref="B26:C27"/>
    <mergeCell ref="B28:B29"/>
    <mergeCell ref="C28:C29"/>
    <mergeCell ref="B30:B31"/>
    <mergeCell ref="C30:C31"/>
    <mergeCell ref="J19:J20"/>
    <mergeCell ref="F24:F25"/>
    <mergeCell ref="G24:G25"/>
    <mergeCell ref="D52:P53"/>
    <mergeCell ref="D76:P77"/>
    <mergeCell ref="D26:D27"/>
    <mergeCell ref="F27:F28"/>
    <mergeCell ref="G27:G28"/>
    <mergeCell ref="J16:L16"/>
    <mergeCell ref="D28:D29"/>
    <mergeCell ref="J17:L17"/>
    <mergeCell ref="F29:F30"/>
    <mergeCell ref="D30:D31"/>
    <mergeCell ref="I19:I20"/>
    <mergeCell ref="I24:J25"/>
    <mergeCell ref="F37:F38"/>
    <mergeCell ref="G37:G38"/>
    <mergeCell ref="I26:J27"/>
    <mergeCell ref="D50:P51"/>
    <mergeCell ref="F1:J2"/>
    <mergeCell ref="K26:K27"/>
    <mergeCell ref="F40:F41"/>
    <mergeCell ref="G40:G41"/>
    <mergeCell ref="F42:F43"/>
    <mergeCell ref="G42:G43"/>
    <mergeCell ref="F32:F33"/>
    <mergeCell ref="G32:G33"/>
    <mergeCell ref="I22:L23"/>
    <mergeCell ref="F3:J3"/>
    <mergeCell ref="F10:G10"/>
    <mergeCell ref="F17:G18"/>
    <mergeCell ref="F19:F20"/>
    <mergeCell ref="G19:G20"/>
    <mergeCell ref="F35:F36"/>
    <mergeCell ref="G35:G36"/>
    <mergeCell ref="R194:S195"/>
    <mergeCell ref="T194:AE195"/>
    <mergeCell ref="R106:U107"/>
    <mergeCell ref="R131:U132"/>
  </mergeCells>
  <dataValidations count="3">
    <dataValidation type="list" allowBlank="1" showInputMessage="1" showErrorMessage="1" sqref="J19:J20">
      <formula1>$O$6:$O$18</formula1>
    </dataValidation>
    <dataValidation type="list" allowBlank="1" showInputMessage="1" showErrorMessage="1" sqref="N6:N18 AE6:AE18">
      <formula1>$C$55:$C$70</formula1>
    </dataValidation>
    <dataValidation type="list" allowBlank="1" showInputMessage="1" showErrorMessage="1" sqref="AC28:AC29 O3:O4 AF3:AF4">
      <formula1>$J$30:$J$34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Fuel listing</vt:lpstr>
      <vt:lpstr>CO2</vt:lpstr>
      <vt:lpstr>H2O</vt:lpstr>
      <vt:lpstr>O2</vt:lpstr>
      <vt:lpstr>N2</vt:lpstr>
      <vt:lpstr>Molar Enthalpy</vt:lpstr>
      <vt:lpstr>Fuels</vt:lpstr>
      <vt:lpstr>50% - 50%</vt:lpstr>
      <vt:lpstr>Task 2 &amp; Goal seek</vt:lpstr>
      <vt:lpstr> NOx PPM</vt:lpstr>
      <vt:lpstr>EGR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Sykes (P147408)</dc:creator>
  <cp:lastModifiedBy>Thomas Sykes (P147408)</cp:lastModifiedBy>
  <dcterms:created xsi:type="dcterms:W3CDTF">2019-11-15T12:11:46Z</dcterms:created>
  <dcterms:modified xsi:type="dcterms:W3CDTF">2020-01-06T00:29:06Z</dcterms:modified>
</cp:coreProperties>
</file>