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44749\Documents\Uni\lvl 4\mdfinal\"/>
    </mc:Choice>
  </mc:AlternateContent>
  <xr:revisionPtr revIDLastSave="0" documentId="8_{9A69FAC5-CB77-4B5B-8230-3401238963A9}" xr6:coauthVersionLast="47" xr6:coauthVersionMax="47" xr10:uidLastSave="{00000000-0000-0000-0000-000000000000}"/>
  <bookViews>
    <workbookView xWindow="-108" yWindow="-108" windowWidth="23256" windowHeight="12456" xr2:uid="{57C2F3E5-1CA4-4758-A7A5-0D8CE759B96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D24" i="1" l="1"/>
  <c r="AH22" i="1"/>
  <c r="Z21" i="1"/>
  <c r="Z24" i="1" s="1"/>
  <c r="AH20" i="1"/>
  <c r="AD19" i="1"/>
  <c r="AH19" i="1" s="1"/>
  <c r="AH24" i="1" s="1"/>
  <c r="AC10" i="1"/>
  <c r="AC11" i="1" s="1"/>
  <c r="AH27" i="1" l="1"/>
  <c r="AH29" i="1" s="1"/>
  <c r="AH30" i="1" s="1"/>
  <c r="U11" i="1" l="1"/>
  <c r="N19" i="1"/>
  <c r="U19" i="1" s="1"/>
  <c r="N16" i="1"/>
  <c r="R20" i="1" s="1"/>
  <c r="N14" i="1"/>
  <c r="U12" i="1"/>
  <c r="U13" i="1" s="1"/>
  <c r="N20" i="1" s="1"/>
  <c r="G18" i="1"/>
  <c r="C18" i="1"/>
  <c r="I18" i="1" s="1"/>
  <c r="C15" i="1"/>
  <c r="C13" i="1"/>
  <c r="J10" i="1"/>
  <c r="J11" i="1" s="1"/>
  <c r="J12" i="1" s="1"/>
  <c r="C19" i="1" s="1"/>
  <c r="U20" i="1" l="1"/>
  <c r="T20" i="1"/>
  <c r="R19" i="1"/>
  <c r="T19" i="1"/>
  <c r="J19" i="1"/>
  <c r="I19" i="1"/>
  <c r="G19" i="1"/>
  <c r="J18" i="1"/>
</calcChain>
</file>

<file path=xl/sharedStrings.xml><?xml version="1.0" encoding="utf-8"?>
<sst xmlns="http://schemas.openxmlformats.org/spreadsheetml/2006/main" count="80" uniqueCount="54">
  <si>
    <t>level</t>
  </si>
  <si>
    <t>level w rider</t>
  </si>
  <si>
    <t>lifted</t>
  </si>
  <si>
    <t>lifted w rider</t>
  </si>
  <si>
    <t>Front wheel (Kg)</t>
  </si>
  <si>
    <t>Rear wheel (Kg)</t>
  </si>
  <si>
    <t>Wheelbase (m)</t>
  </si>
  <si>
    <t>Bike weight (Kg)</t>
  </si>
  <si>
    <t>Rw Rad. (m)</t>
  </si>
  <si>
    <t>Rider weight (Kg)</t>
  </si>
  <si>
    <t>Fw Rad. (m)</t>
  </si>
  <si>
    <t>Total weight (Kg)</t>
  </si>
  <si>
    <t>Raverage. (m)</t>
  </si>
  <si>
    <t>stool height. (m)</t>
  </si>
  <si>
    <t>Stool weight (Kg)</t>
  </si>
  <si>
    <t>lifted angle. (Deg)</t>
  </si>
  <si>
    <t>%F</t>
  </si>
  <si>
    <t>%R</t>
  </si>
  <si>
    <t>Xcog (m)</t>
  </si>
  <si>
    <t>Ycog (m)</t>
  </si>
  <si>
    <t>Xcog With Rider (m)</t>
  </si>
  <si>
    <t>Ycog W. rider (m)</t>
  </si>
  <si>
    <t>R6 2014</t>
  </si>
  <si>
    <t xml:space="preserve">SV650 after snetterton, 45 or 46 sprocket, long wheelbase/ swaingamr for chain play, empty tank </t>
  </si>
  <si>
    <t>Gear</t>
  </si>
  <si>
    <t>Ratio</t>
  </si>
  <si>
    <t>Wheel Radius DRY</t>
  </si>
  <si>
    <t>Primary</t>
  </si>
  <si>
    <t>1st</t>
  </si>
  <si>
    <t xml:space="preserve">RPM </t>
  </si>
  <si>
    <t>2nd</t>
  </si>
  <si>
    <t>Mass</t>
  </si>
  <si>
    <t>3rd</t>
  </si>
  <si>
    <t>4th</t>
  </si>
  <si>
    <t>5th</t>
  </si>
  <si>
    <t>Calculated Top Speed (m/s)</t>
  </si>
  <si>
    <t>6th</t>
  </si>
  <si>
    <t>Speed (mph)</t>
  </si>
  <si>
    <t>Final</t>
  </si>
  <si>
    <t>Aerodynamic resistance</t>
  </si>
  <si>
    <t>Rolling Resistance</t>
  </si>
  <si>
    <t>Road Plane</t>
  </si>
  <si>
    <t>Frontal Area</t>
  </si>
  <si>
    <t>Drag coeficiant</t>
  </si>
  <si>
    <t>Gravity</t>
  </si>
  <si>
    <t>Velocity</t>
  </si>
  <si>
    <t>Angle Deg</t>
  </si>
  <si>
    <t>Density</t>
  </si>
  <si>
    <t>Angle Rads</t>
  </si>
  <si>
    <t>drag force</t>
  </si>
  <si>
    <t>force</t>
  </si>
  <si>
    <t>Force total</t>
  </si>
  <si>
    <t>Power (W) required for calculated speed</t>
  </si>
  <si>
    <t>Power in BHP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</si>
</sst>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4" tint="0.59999389629810485"/>
        <bgColor indexed="65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3">
    <xf numFmtId="0" fontId="0" fillId="0" borderId="0"/>
    <xf numFmtId="0" fontId="6" fillId="2" borderId="12" applyNumberFormat="0" applyAlignment="0" applyProtection="0"/>
    <xf numFmtId="0" fontId="5" fillId="3" borderId="0" applyNumberFormat="0" applyBorder="0" applyAlignment="0" applyProtection="0"/>
  </cellStyleXfs>
  <cellXfs count="39">
    <xf numFmtId="0" fontId="0" fillId="0" borderId="0" xfId="0"/>
    <xf numFmtId="0" fontId="2" fillId="0" borderId="4" xfId="0" applyFont="1" applyBorder="1"/>
    <xf numFmtId="0" fontId="2" fillId="0" borderId="0" xfId="0" applyFont="1"/>
    <xf numFmtId="0" fontId="0" fillId="0" borderId="5" xfId="0" applyBorder="1"/>
    <xf numFmtId="0" fontId="0" fillId="0" borderId="4" xfId="0" applyBorder="1"/>
    <xf numFmtId="2" fontId="0" fillId="0" borderId="0" xfId="0" applyNumberFormat="1"/>
    <xf numFmtId="164" fontId="0" fillId="0" borderId="0" xfId="0" applyNumberFormat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3" fillId="0" borderId="0" xfId="0" applyFont="1"/>
    <xf numFmtId="0" fontId="3" fillId="0" borderId="4" xfId="0" applyFont="1" applyBorder="1"/>
    <xf numFmtId="164" fontId="4" fillId="0" borderId="0" xfId="0" applyNumberFormat="1" applyFont="1"/>
    <xf numFmtId="0" fontId="1" fillId="0" borderId="0" xfId="0" applyFont="1"/>
    <xf numFmtId="0" fontId="4" fillId="0" borderId="0" xfId="0" applyFont="1"/>
    <xf numFmtId="2" fontId="4" fillId="0" borderId="0" xfId="0" applyNumberFormat="1" applyFont="1"/>
    <xf numFmtId="0" fontId="3" fillId="0" borderId="6" xfId="0" applyFont="1" applyBorder="1"/>
    <xf numFmtId="164" fontId="4" fillId="0" borderId="7" xfId="0" applyNumberFormat="1" applyFont="1" applyBorder="1"/>
    <xf numFmtId="0" fontId="1" fillId="0" borderId="7" xfId="0" applyFont="1" applyBorder="1"/>
    <xf numFmtId="0" fontId="1" fillId="0" borderId="7" xfId="0" applyFont="1" applyBorder="1" applyAlignment="1">
      <alignment horizontal="center"/>
    </xf>
    <xf numFmtId="0" fontId="4" fillId="0" borderId="7" xfId="0" applyFont="1" applyBorder="1"/>
    <xf numFmtId="2" fontId="4" fillId="0" borderId="7" xfId="0" applyNumberFormat="1" applyFont="1" applyBorder="1"/>
    <xf numFmtId="2" fontId="0" fillId="0" borderId="7" xfId="0" applyNumberFormat="1" applyBorder="1"/>
    <xf numFmtId="0" fontId="2" fillId="0" borderId="9" xfId="0" applyFont="1" applyBorder="1"/>
    <xf numFmtId="0" fontId="2" fillId="0" borderId="10" xfId="0" applyFont="1" applyBorder="1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0" fillId="0" borderId="9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0" fillId="0" borderId="11" xfId="0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5" fillId="3" borderId="12" xfId="2" applyBorder="1"/>
    <xf numFmtId="0" fontId="6" fillId="2" borderId="12" xfId="1"/>
  </cellXfs>
  <cellStyles count="3">
    <cellStyle name="40% - Accent1" xfId="2" builtinId="31"/>
    <cellStyle name="Normal" xfId="0" builtinId="0"/>
    <cellStyle name="Output" xfId="1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02CFF0-106A-420B-90DA-ACC947C7F6EC}">
  <dimension ref="B2:AH30"/>
  <sheetViews>
    <sheetView tabSelected="1" zoomScale="42" workbookViewId="0">
      <selection activeCell="AN22" sqref="AN22"/>
    </sheetView>
  </sheetViews>
  <sheetFormatPr defaultRowHeight="14.4" x14ac:dyDescent="0.3"/>
  <sheetData>
    <row r="2" spans="2:29" ht="15" thickBot="1" x14ac:dyDescent="0.35"/>
    <row r="3" spans="2:29" ht="15" thickBot="1" x14ac:dyDescent="0.35">
      <c r="B3" s="28" t="s">
        <v>22</v>
      </c>
      <c r="C3" s="29"/>
      <c r="D3" s="29"/>
      <c r="E3" s="29"/>
      <c r="F3" s="29"/>
      <c r="G3" s="29"/>
      <c r="H3" s="29"/>
      <c r="I3" s="29"/>
      <c r="J3" s="29"/>
      <c r="K3" s="30"/>
      <c r="M3" s="31" t="s">
        <v>23</v>
      </c>
      <c r="N3" s="32"/>
      <c r="O3" s="32"/>
      <c r="P3" s="32"/>
      <c r="Q3" s="32"/>
      <c r="R3" s="32"/>
      <c r="S3" s="32"/>
      <c r="T3" s="32"/>
      <c r="U3" s="32"/>
      <c r="V3" s="33"/>
    </row>
    <row r="4" spans="2:29" ht="15" thickBot="1" x14ac:dyDescent="0.35">
      <c r="B4" s="1"/>
      <c r="C4" s="2" t="s">
        <v>0</v>
      </c>
      <c r="E4" s="2" t="s">
        <v>1</v>
      </c>
      <c r="H4" s="2" t="s">
        <v>2</v>
      </c>
      <c r="J4" s="2" t="s">
        <v>3</v>
      </c>
      <c r="K4" s="3"/>
      <c r="M4" s="34"/>
      <c r="N4" s="35"/>
      <c r="O4" s="35"/>
      <c r="P4" s="35"/>
      <c r="Q4" s="35"/>
      <c r="R4" s="35"/>
      <c r="S4" s="35"/>
      <c r="T4" s="35"/>
      <c r="U4" s="35"/>
      <c r="V4" s="36"/>
      <c r="X4" s="37" t="s">
        <v>24</v>
      </c>
      <c r="Y4" s="37" t="s">
        <v>25</v>
      </c>
      <c r="AB4" s="37" t="s">
        <v>26</v>
      </c>
      <c r="AC4" s="37">
        <v>0.31</v>
      </c>
    </row>
    <row r="5" spans="2:29" x14ac:dyDescent="0.3">
      <c r="B5" s="4"/>
      <c r="K5" s="3"/>
      <c r="M5" s="26"/>
      <c r="N5" s="27" t="s">
        <v>0</v>
      </c>
      <c r="O5" s="11"/>
      <c r="P5" s="27" t="s">
        <v>1</v>
      </c>
      <c r="Q5" s="11"/>
      <c r="R5" s="11"/>
      <c r="S5" s="27" t="s">
        <v>2</v>
      </c>
      <c r="T5" s="11"/>
      <c r="U5" s="27" t="s">
        <v>3</v>
      </c>
      <c r="V5" s="12"/>
      <c r="X5" s="37" t="s">
        <v>27</v>
      </c>
      <c r="Y5" s="37">
        <v>2.073</v>
      </c>
      <c r="AB5" s="37"/>
      <c r="AC5" s="37"/>
    </row>
    <row r="6" spans="2:29" x14ac:dyDescent="0.3">
      <c r="B6" s="4" t="s">
        <v>4</v>
      </c>
      <c r="C6">
        <v>85.55</v>
      </c>
      <c r="E6">
        <v>110.5</v>
      </c>
      <c r="H6">
        <v>91.1</v>
      </c>
      <c r="J6">
        <v>120.2</v>
      </c>
      <c r="K6" s="3"/>
      <c r="M6" s="4"/>
      <c r="V6" s="3"/>
      <c r="X6" s="37" t="s">
        <v>28</v>
      </c>
      <c r="Y6" s="37">
        <v>2.5379999999999998</v>
      </c>
      <c r="AB6" s="37" t="s">
        <v>29</v>
      </c>
      <c r="AC6" s="37">
        <v>15900</v>
      </c>
    </row>
    <row r="7" spans="2:29" x14ac:dyDescent="0.3">
      <c r="B7" s="4" t="s">
        <v>5</v>
      </c>
      <c r="C7">
        <v>75</v>
      </c>
      <c r="E7">
        <v>109.4</v>
      </c>
      <c r="H7">
        <v>75.75</v>
      </c>
      <c r="J7">
        <v>105.15</v>
      </c>
      <c r="K7" s="3"/>
      <c r="M7" s="4" t="s">
        <v>4</v>
      </c>
      <c r="N7">
        <v>78.3</v>
      </c>
      <c r="P7">
        <v>105</v>
      </c>
      <c r="S7" s="17">
        <v>87</v>
      </c>
      <c r="U7">
        <v>121</v>
      </c>
      <c r="V7" s="3"/>
      <c r="X7" s="37" t="s">
        <v>30</v>
      </c>
      <c r="Y7" s="37">
        <v>2</v>
      </c>
      <c r="AB7" s="37" t="s">
        <v>31</v>
      </c>
      <c r="AC7" s="37">
        <v>219.9</v>
      </c>
    </row>
    <row r="8" spans="2:29" x14ac:dyDescent="0.3">
      <c r="B8" s="4"/>
      <c r="K8" s="3"/>
      <c r="M8" s="4" t="s">
        <v>5</v>
      </c>
      <c r="N8">
        <v>78.3</v>
      </c>
      <c r="P8">
        <v>119.75</v>
      </c>
      <c r="S8">
        <v>79.5</v>
      </c>
      <c r="U8">
        <v>113.6</v>
      </c>
      <c r="V8" s="3"/>
      <c r="X8" s="37" t="s">
        <v>32</v>
      </c>
      <c r="Y8" s="37">
        <v>1.67</v>
      </c>
      <c r="AB8" s="37"/>
      <c r="AC8" s="37"/>
    </row>
    <row r="9" spans="2:29" x14ac:dyDescent="0.3">
      <c r="B9" s="4"/>
      <c r="K9" s="3"/>
      <c r="M9" s="4"/>
      <c r="V9" s="3"/>
      <c r="X9" s="37" t="s">
        <v>33</v>
      </c>
      <c r="Y9" s="37">
        <v>1.44</v>
      </c>
      <c r="AB9" s="37"/>
      <c r="AC9" s="37"/>
    </row>
    <row r="10" spans="2:29" x14ac:dyDescent="0.3">
      <c r="B10" s="4" t="s">
        <v>6</v>
      </c>
      <c r="C10">
        <v>1.42</v>
      </c>
      <c r="H10" t="s">
        <v>7</v>
      </c>
      <c r="J10">
        <f>C6+C7</f>
        <v>160.55000000000001</v>
      </c>
      <c r="K10" s="3"/>
      <c r="M10" s="4"/>
      <c r="V10" s="3"/>
      <c r="X10" s="37" t="s">
        <v>34</v>
      </c>
      <c r="Y10" s="37">
        <v>1.286</v>
      </c>
      <c r="AB10" s="37" t="s">
        <v>35</v>
      </c>
      <c r="AC10" s="37">
        <f>((((AC6/Y5)/Y11)/Y12)*2*3.14*AC4)/60</f>
        <v>104.07155158319139</v>
      </c>
    </row>
    <row r="11" spans="2:29" x14ac:dyDescent="0.3">
      <c r="B11" s="4" t="s">
        <v>8</v>
      </c>
      <c r="C11">
        <v>0.309</v>
      </c>
      <c r="H11" t="s">
        <v>9</v>
      </c>
      <c r="J11">
        <f>(E6+E7)-J10</f>
        <v>59.349999999999994</v>
      </c>
      <c r="K11" s="3"/>
      <c r="M11" s="4" t="s">
        <v>6</v>
      </c>
      <c r="N11">
        <v>1.4550000000000001</v>
      </c>
      <c r="S11" t="s">
        <v>7</v>
      </c>
      <c r="U11" s="17">
        <f>N7+N8</f>
        <v>156.6</v>
      </c>
      <c r="V11" s="3"/>
      <c r="X11" s="37" t="s">
        <v>36</v>
      </c>
      <c r="Y11" s="37">
        <v>0.85099999999999998</v>
      </c>
      <c r="AB11" s="37" t="s">
        <v>37</v>
      </c>
      <c r="AC11" s="37">
        <f>AC10*2.237</f>
        <v>232.80806089159915</v>
      </c>
    </row>
    <row r="12" spans="2:29" x14ac:dyDescent="0.3">
      <c r="B12" s="4" t="s">
        <v>10</v>
      </c>
      <c r="C12" s="5">
        <v>0.32</v>
      </c>
      <c r="H12" t="s">
        <v>11</v>
      </c>
      <c r="J12">
        <f>J11+J10</f>
        <v>219.9</v>
      </c>
      <c r="K12" s="3"/>
      <c r="M12" s="4" t="s">
        <v>8</v>
      </c>
      <c r="N12">
        <v>0.30499999999999999</v>
      </c>
      <c r="S12" t="s">
        <v>9</v>
      </c>
      <c r="U12">
        <f>(P7+P8)-U11</f>
        <v>68.150000000000006</v>
      </c>
      <c r="V12" s="3"/>
      <c r="X12" s="37" t="s">
        <v>38</v>
      </c>
      <c r="Y12" s="37">
        <v>2.81</v>
      </c>
    </row>
    <row r="13" spans="2:29" x14ac:dyDescent="0.3">
      <c r="B13" s="4" t="s">
        <v>12</v>
      </c>
      <c r="C13" s="6">
        <f>(C12+C11)/2</f>
        <v>0.3145</v>
      </c>
      <c r="K13" s="3"/>
      <c r="M13" s="4" t="s">
        <v>10</v>
      </c>
      <c r="N13" s="5">
        <v>0.28999999999999998</v>
      </c>
      <c r="S13" t="s">
        <v>11</v>
      </c>
      <c r="U13">
        <f>U12+U11</f>
        <v>224.75</v>
      </c>
      <c r="V13" s="3"/>
    </row>
    <row r="14" spans="2:29" x14ac:dyDescent="0.3">
      <c r="B14" s="4" t="s">
        <v>13</v>
      </c>
      <c r="C14">
        <v>0.31</v>
      </c>
      <c r="H14" t="s">
        <v>14</v>
      </c>
      <c r="J14">
        <v>6.4</v>
      </c>
      <c r="K14" s="3"/>
      <c r="M14" s="4" t="s">
        <v>12</v>
      </c>
      <c r="N14" s="6">
        <f>(N13+N12)/2</f>
        <v>0.29749999999999999</v>
      </c>
      <c r="V14" s="3"/>
    </row>
    <row r="15" spans="2:29" ht="15" thickBot="1" x14ac:dyDescent="0.35">
      <c r="B15" s="7" t="s">
        <v>15</v>
      </c>
      <c r="C15" s="5">
        <f>DEGREES(TAN(C14/C10))</f>
        <v>12.710807008059675</v>
      </c>
      <c r="D15" s="8"/>
      <c r="E15" s="8"/>
      <c r="F15" s="8"/>
      <c r="G15" s="8"/>
      <c r="H15" s="8"/>
      <c r="I15" s="8"/>
      <c r="J15" s="8"/>
      <c r="K15" s="9"/>
      <c r="M15" s="4" t="s">
        <v>13</v>
      </c>
      <c r="N15">
        <v>0.315</v>
      </c>
      <c r="S15" t="s">
        <v>14</v>
      </c>
      <c r="U15">
        <v>6.4</v>
      </c>
      <c r="V15" s="3"/>
    </row>
    <row r="16" spans="2:29" ht="15" thickBot="1" x14ac:dyDescent="0.35">
      <c r="B16" s="10"/>
      <c r="C16" s="11"/>
      <c r="D16" s="11"/>
      <c r="E16" s="11"/>
      <c r="F16" s="11"/>
      <c r="G16" s="11"/>
      <c r="H16" s="11"/>
      <c r="I16" s="11"/>
      <c r="J16" s="11"/>
      <c r="K16" s="12"/>
      <c r="M16" s="7" t="s">
        <v>15</v>
      </c>
      <c r="N16" s="5">
        <f>DEGREES(TAN(N15/N11))</f>
        <v>12.601740135701506</v>
      </c>
      <c r="O16" s="8"/>
      <c r="P16" s="8"/>
      <c r="Q16" s="8"/>
      <c r="R16" s="8"/>
      <c r="S16" s="8"/>
      <c r="T16" s="8"/>
      <c r="U16" s="8"/>
      <c r="V16" s="9"/>
    </row>
    <row r="17" spans="2:34" x14ac:dyDescent="0.3">
      <c r="B17" s="4"/>
      <c r="I17" s="13" t="s">
        <v>16</v>
      </c>
      <c r="J17" s="13" t="s">
        <v>17</v>
      </c>
      <c r="K17" s="3"/>
      <c r="M17" s="10"/>
      <c r="N17" s="11"/>
      <c r="O17" s="11"/>
      <c r="P17" s="11"/>
      <c r="Q17" s="11"/>
      <c r="R17" s="11"/>
      <c r="S17" s="11"/>
      <c r="T17" s="11"/>
      <c r="U17" s="11"/>
      <c r="V17" s="12"/>
      <c r="X17" s="37" t="s">
        <v>39</v>
      </c>
      <c r="Y17" s="37"/>
      <c r="Z17" s="37"/>
      <c r="AB17" s="37" t="s">
        <v>40</v>
      </c>
      <c r="AC17" s="37"/>
      <c r="AD17" s="37"/>
      <c r="AF17" s="37" t="s">
        <v>41</v>
      </c>
      <c r="AG17" s="37"/>
      <c r="AH17" s="37"/>
    </row>
    <row r="18" spans="2:34" x14ac:dyDescent="0.3">
      <c r="B18" s="14" t="s">
        <v>18</v>
      </c>
      <c r="C18" s="15">
        <f>PRODUCT(C7,C10)/ J10</f>
        <v>0.66334475241357826</v>
      </c>
      <c r="D18" s="16"/>
      <c r="E18" s="16"/>
      <c r="F18" s="13" t="s">
        <v>19</v>
      </c>
      <c r="G18" s="15">
        <f>((PRODUCT(C10,C7-(H7-J14))/PRODUCT(J10,TAN((RADIANS(C15))))+C13))</f>
        <v>0.53604827114899167</v>
      </c>
      <c r="H18" s="17"/>
      <c r="I18" s="18">
        <f>((C10-C18)/C10)*100</f>
        <v>53.285580815945188</v>
      </c>
      <c r="J18" s="5">
        <f>(C18/C10)*100</f>
        <v>46.714419184054812</v>
      </c>
      <c r="K18" s="3"/>
      <c r="M18" s="4"/>
      <c r="T18" s="13" t="s">
        <v>16</v>
      </c>
      <c r="U18" s="13" t="s">
        <v>17</v>
      </c>
      <c r="V18" s="3"/>
      <c r="X18" s="37"/>
      <c r="Y18" s="37"/>
      <c r="Z18" s="37"/>
      <c r="AB18" s="37"/>
      <c r="AC18" s="37"/>
      <c r="AD18" s="37"/>
      <c r="AF18" s="37"/>
      <c r="AG18" s="37"/>
      <c r="AH18" s="37"/>
    </row>
    <row r="19" spans="2:34" ht="15" thickBot="1" x14ac:dyDescent="0.35">
      <c r="B19" s="19" t="s">
        <v>20</v>
      </c>
      <c r="C19" s="20">
        <f>(E7*C10)/J12</f>
        <v>0.70644838562983181</v>
      </c>
      <c r="D19" s="21"/>
      <c r="E19" s="21"/>
      <c r="F19" s="22" t="s">
        <v>21</v>
      </c>
      <c r="G19" s="20">
        <f>((PRODUCT(C10,E7-(J7-J14))/PRODUCT(J12,TAN((RADIANS(C15))))+C13))</f>
        <v>0.61939802125353594</v>
      </c>
      <c r="H19" s="23"/>
      <c r="I19" s="24">
        <f>((C10-C19)/C10)*100</f>
        <v>50.25011368804001</v>
      </c>
      <c r="J19" s="25">
        <f>(C19/C10)*100</f>
        <v>49.74988631195999</v>
      </c>
      <c r="K19" s="9"/>
      <c r="M19" s="14" t="s">
        <v>18</v>
      </c>
      <c r="N19" s="15">
        <f>PRODUCT(N8,N11)/ U11</f>
        <v>0.72750000000000004</v>
      </c>
      <c r="O19" s="16"/>
      <c r="P19" s="16"/>
      <c r="Q19" s="13" t="s">
        <v>19</v>
      </c>
      <c r="R19" s="15">
        <f>((PRODUCT(N11,N8-(S8-U15))/PRODUCT(U11,TAN((RADIANS(N16))))+N14))</f>
        <v>0.51361436817669293</v>
      </c>
      <c r="S19" s="17"/>
      <c r="T19" s="18">
        <f>((N11-N19)/N11)*100</f>
        <v>50</v>
      </c>
      <c r="U19" s="5">
        <f>(N19/N11)*100</f>
        <v>50</v>
      </c>
      <c r="V19" s="3"/>
      <c r="X19" s="37" t="s">
        <v>42</v>
      </c>
      <c r="Y19" s="37"/>
      <c r="Z19" s="37">
        <v>0.4899</v>
      </c>
      <c r="AB19" s="37" t="s">
        <v>31</v>
      </c>
      <c r="AC19" s="37"/>
      <c r="AD19" s="37">
        <f>AC7</f>
        <v>219.9</v>
      </c>
      <c r="AF19" s="37" t="s">
        <v>31</v>
      </c>
      <c r="AG19" s="37"/>
      <c r="AH19" s="37">
        <f>AD19</f>
        <v>219.9</v>
      </c>
    </row>
    <row r="20" spans="2:34" ht="15" thickBot="1" x14ac:dyDescent="0.35">
      <c r="M20" s="19" t="s">
        <v>20</v>
      </c>
      <c r="N20" s="20">
        <f>(P8*N11)/U13</f>
        <v>0.77524471635150172</v>
      </c>
      <c r="O20" s="21"/>
      <c r="P20" s="21"/>
      <c r="Q20" s="22" t="s">
        <v>21</v>
      </c>
      <c r="R20" s="20">
        <f>((PRODUCT(N11,P8-(U8-U15))/PRODUCT(U13,TAN((RADIANS(N16))))+N14))</f>
        <v>0.66092607273782833</v>
      </c>
      <c r="S20" s="23"/>
      <c r="T20" s="24">
        <f>((N11-N20)/N11)*100</f>
        <v>46.718576195773082</v>
      </c>
      <c r="U20" s="25">
        <f>(N20/N11)*100</f>
        <v>53.281423804226925</v>
      </c>
      <c r="V20" s="9"/>
      <c r="X20" s="37" t="s">
        <v>43</v>
      </c>
      <c r="Y20" s="37"/>
      <c r="Z20" s="37">
        <v>0.62</v>
      </c>
      <c r="AB20" s="37" t="s">
        <v>44</v>
      </c>
      <c r="AC20" s="37"/>
      <c r="AD20" s="37">
        <v>9.81</v>
      </c>
      <c r="AF20" s="37" t="s">
        <v>44</v>
      </c>
      <c r="AG20" s="37"/>
      <c r="AH20" s="37">
        <f>AD20</f>
        <v>9.81</v>
      </c>
    </row>
    <row r="21" spans="2:34" x14ac:dyDescent="0.3">
      <c r="X21" s="37" t="s">
        <v>45</v>
      </c>
      <c r="Y21" s="37"/>
      <c r="Z21" s="37">
        <f>AC10</f>
        <v>104.07155158319139</v>
      </c>
      <c r="AB21" s="37"/>
      <c r="AC21" s="37"/>
      <c r="AD21" s="37"/>
      <c r="AF21" s="37" t="s">
        <v>46</v>
      </c>
      <c r="AG21" s="37"/>
      <c r="AH21" s="37">
        <v>0</v>
      </c>
    </row>
    <row r="22" spans="2:34" x14ac:dyDescent="0.3">
      <c r="X22" s="37" t="s">
        <v>47</v>
      </c>
      <c r="Y22" s="37"/>
      <c r="Z22" s="37">
        <v>1.167</v>
      </c>
      <c r="AB22" s="37"/>
      <c r="AC22" s="37"/>
      <c r="AD22" s="37"/>
      <c r="AF22" s="37" t="s">
        <v>48</v>
      </c>
      <c r="AG22" s="37"/>
      <c r="AH22" s="37">
        <f>AH21*PI()/180</f>
        <v>0</v>
      </c>
    </row>
    <row r="23" spans="2:34" x14ac:dyDescent="0.3">
      <c r="X23" s="37"/>
      <c r="Y23" s="37"/>
      <c r="Z23" s="37"/>
      <c r="AB23" s="37"/>
      <c r="AC23" s="37"/>
      <c r="AD23" s="37"/>
      <c r="AF23" s="37"/>
      <c r="AG23" s="37"/>
      <c r="AH23" s="37"/>
    </row>
    <row r="24" spans="2:34" x14ac:dyDescent="0.3">
      <c r="X24" s="37" t="s">
        <v>49</v>
      </c>
      <c r="Y24" s="37"/>
      <c r="Z24" s="37">
        <f>0.5*Z22*Z20*Z19*Z21^2</f>
        <v>1919.5704165534266</v>
      </c>
      <c r="AB24" s="37" t="s">
        <v>50</v>
      </c>
      <c r="AC24" s="37"/>
      <c r="AD24" s="37">
        <f>0.02*9.81*AD19</f>
        <v>43.144380000000005</v>
      </c>
      <c r="AF24" s="37" t="s">
        <v>50</v>
      </c>
      <c r="AG24" s="37"/>
      <c r="AH24" s="37">
        <f>AH19*AH20*SIN(AH22)</f>
        <v>0</v>
      </c>
    </row>
    <row r="27" spans="2:34" x14ac:dyDescent="0.3">
      <c r="AD27" s="38" t="s">
        <v>51</v>
      </c>
      <c r="AE27" s="38"/>
      <c r="AF27" s="38"/>
      <c r="AG27" s="38"/>
      <c r="AH27" s="38">
        <f>Z24+AD24+AH24</f>
        <v>1962.7147965534266</v>
      </c>
    </row>
    <row r="28" spans="2:34" x14ac:dyDescent="0.3">
      <c r="AD28" s="38"/>
      <c r="AE28" s="38"/>
      <c r="AF28" s="38"/>
      <c r="AG28" s="38"/>
      <c r="AH28" s="38"/>
    </row>
    <row r="29" spans="2:34" x14ac:dyDescent="0.3">
      <c r="AD29" s="38" t="s">
        <v>52</v>
      </c>
      <c r="AE29" s="38"/>
      <c r="AF29" s="38"/>
      <c r="AG29" s="38"/>
      <c r="AH29" s="38">
        <f>AH27*AC10</f>
        <v>204262.77419260293</v>
      </c>
    </row>
    <row r="30" spans="2:34" x14ac:dyDescent="0.3">
      <c r="AD30" s="38" t="s">
        <v>53</v>
      </c>
      <c r="AE30" s="38"/>
      <c r="AF30" s="38"/>
      <c r="AG30" s="38"/>
      <c r="AH30" s="38">
        <f>AH29/1000*1.341</f>
        <v>273.91638019228054</v>
      </c>
    </row>
  </sheetData>
  <mergeCells count="2">
    <mergeCell ref="B3:K3"/>
    <mergeCell ref="M3:V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 Charity</dc:creator>
  <cp:lastModifiedBy>Mike Charity</cp:lastModifiedBy>
  <dcterms:created xsi:type="dcterms:W3CDTF">2022-12-18T18:33:47Z</dcterms:created>
  <dcterms:modified xsi:type="dcterms:W3CDTF">2022-12-18T21:49:27Z</dcterms:modified>
</cp:coreProperties>
</file>