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eptionMRB\Desktop\"/>
    </mc:Choice>
  </mc:AlternateContent>
  <xr:revisionPtr revIDLastSave="0" documentId="8_{4DD2852F-2650-493A-AD52-DDD735942CB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Predictions" sheetId="17" r:id="rId1"/>
    <sheet name="Balance Sheet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7" l="1"/>
  <c r="H6" i="17" s="1"/>
  <c r="C5" i="17"/>
  <c r="D5" i="17"/>
  <c r="C6" i="17"/>
  <c r="D6" i="17"/>
  <c r="H8" i="17" s="1"/>
  <c r="E6" i="17"/>
  <c r="F6" i="17" s="1"/>
  <c r="G6" i="17" s="1"/>
  <c r="C7" i="17"/>
  <c r="D7" i="17"/>
  <c r="H7" i="17"/>
  <c r="C8" i="17"/>
  <c r="D8" i="17"/>
  <c r="E9" i="17" s="1"/>
  <c r="E8" i="17"/>
  <c r="F8" i="17"/>
  <c r="C9" i="17"/>
  <c r="D9" i="17"/>
  <c r="E10" i="17" s="1"/>
  <c r="F10" i="17" s="1"/>
  <c r="G10" i="17" s="1"/>
  <c r="I10" i="17" s="1"/>
  <c r="H9" i="17"/>
  <c r="C10" i="17"/>
  <c r="D10" i="17"/>
  <c r="H12" i="17" s="1"/>
  <c r="H10" i="17"/>
  <c r="C11" i="17"/>
  <c r="D11" i="17"/>
  <c r="C12" i="17"/>
  <c r="D12" i="17"/>
  <c r="E12" i="17"/>
  <c r="F12" i="17"/>
  <c r="C13" i="17"/>
  <c r="D13" i="17"/>
  <c r="E13" i="17"/>
  <c r="F13" i="17"/>
  <c r="G13" i="17"/>
  <c r="I13" i="17" s="1"/>
  <c r="H13" i="17"/>
  <c r="C14" i="17"/>
  <c r="D14" i="17"/>
  <c r="H4" i="17" s="1"/>
  <c r="E14" i="17"/>
  <c r="F14" i="17" s="1"/>
  <c r="G14" i="17" s="1"/>
  <c r="I14" i="17" s="1"/>
  <c r="H14" i="17"/>
  <c r="C15" i="17"/>
  <c r="D15" i="17"/>
  <c r="E4" i="17" s="1"/>
  <c r="E15" i="17"/>
  <c r="H15" i="17"/>
  <c r="F9" i="17" l="1"/>
  <c r="G9" i="17"/>
  <c r="I9" i="17" s="1"/>
  <c r="E5" i="17"/>
  <c r="F5" i="17" s="1"/>
  <c r="G5" i="17" s="1"/>
  <c r="I5" i="17" s="1"/>
  <c r="G12" i="17"/>
  <c r="I12" i="17" s="1"/>
  <c r="I6" i="17"/>
  <c r="H11" i="17"/>
  <c r="G8" i="17"/>
  <c r="I8" i="17" s="1"/>
  <c r="F4" i="17"/>
  <c r="G4" i="17" s="1"/>
  <c r="I4" i="17" s="1"/>
  <c r="F15" i="17"/>
  <c r="G15" i="17" s="1"/>
  <c r="I15" i="17" s="1"/>
  <c r="H5" i="17"/>
  <c r="E11" i="17"/>
  <c r="E7" i="17"/>
  <c r="F7" i="17" l="1"/>
  <c r="G7" i="17" s="1"/>
  <c r="I7" i="17" s="1"/>
  <c r="F11" i="17"/>
  <c r="G11" i="17" s="1"/>
  <c r="I11" i="17" s="1"/>
  <c r="O54" i="1" l="1"/>
  <c r="O51" i="1"/>
  <c r="O13" i="1"/>
  <c r="N54" i="1"/>
  <c r="N51" i="1"/>
  <c r="N13" i="1"/>
  <c r="M54" i="1"/>
  <c r="M51" i="1"/>
  <c r="M13" i="1"/>
  <c r="L54" i="1"/>
  <c r="L51" i="1"/>
  <c r="L13" i="1"/>
  <c r="K51" i="1"/>
  <c r="K54" i="1" s="1"/>
  <c r="K13" i="1"/>
  <c r="J54" i="1"/>
  <c r="J51" i="1"/>
  <c r="J13" i="1"/>
  <c r="I54" i="1"/>
  <c r="I51" i="1"/>
  <c r="I13" i="1"/>
  <c r="H54" i="1"/>
  <c r="H51" i="1"/>
  <c r="H13" i="1"/>
  <c r="G54" i="1"/>
  <c r="G51" i="1"/>
  <c r="G43" i="1"/>
  <c r="F54" i="1"/>
  <c r="F51" i="1"/>
  <c r="F13" i="1"/>
  <c r="E54" i="1"/>
  <c r="E13" i="1" l="1"/>
  <c r="D54" i="1"/>
  <c r="D51" i="1"/>
  <c r="P13" i="1" l="1"/>
  <c r="P12" i="1"/>
  <c r="P11" i="1"/>
  <c r="O16" i="1"/>
  <c r="N16" i="1"/>
  <c r="M16" i="1"/>
  <c r="L16" i="1"/>
  <c r="K16" i="1"/>
  <c r="J16" i="1"/>
  <c r="I16" i="1"/>
  <c r="H16" i="1"/>
  <c r="G16" i="1"/>
  <c r="F16" i="1"/>
  <c r="E16" i="1"/>
  <c r="E51" i="1" s="1"/>
  <c r="D16" i="1"/>
  <c r="D13" i="1"/>
  <c r="O44" i="1"/>
  <c r="N44" i="1"/>
  <c r="M44" i="1"/>
  <c r="L44" i="1"/>
  <c r="K44" i="1"/>
  <c r="J44" i="1"/>
  <c r="I44" i="1"/>
  <c r="H44" i="1"/>
  <c r="G44" i="1"/>
  <c r="F44" i="1"/>
  <c r="E44" i="1"/>
  <c r="E29" i="1"/>
  <c r="E30" i="1"/>
  <c r="E31" i="1"/>
  <c r="P31" i="1" s="1"/>
  <c r="E36" i="1"/>
  <c r="E37" i="1"/>
  <c r="E41" i="1"/>
  <c r="D44" i="1"/>
  <c r="F41" i="1"/>
  <c r="G41" i="1"/>
  <c r="H41" i="1"/>
  <c r="I41" i="1"/>
  <c r="J41" i="1"/>
  <c r="K41" i="1"/>
  <c r="L41" i="1"/>
  <c r="P41" i="1" s="1"/>
  <c r="M41" i="1"/>
  <c r="N41" i="1"/>
  <c r="O41" i="1"/>
  <c r="D41" i="1"/>
  <c r="L39" i="1"/>
  <c r="M39" i="1"/>
  <c r="N39" i="1"/>
  <c r="O39" i="1"/>
  <c r="K39" i="1"/>
  <c r="M38" i="1"/>
  <c r="N38" i="1"/>
  <c r="O38" i="1"/>
  <c r="L38" i="1"/>
  <c r="F31" i="1"/>
  <c r="G31" i="1"/>
  <c r="H31" i="1"/>
  <c r="I31" i="1"/>
  <c r="J31" i="1"/>
  <c r="K31" i="1"/>
  <c r="L31" i="1"/>
  <c r="M31" i="1"/>
  <c r="N31" i="1"/>
  <c r="O31" i="1"/>
  <c r="D31" i="1"/>
  <c r="F37" i="1"/>
  <c r="G37" i="1"/>
  <c r="H37" i="1"/>
  <c r="I37" i="1"/>
  <c r="J37" i="1"/>
  <c r="K37" i="1"/>
  <c r="L37" i="1"/>
  <c r="M37" i="1"/>
  <c r="N37" i="1"/>
  <c r="O37" i="1"/>
  <c r="D37" i="1"/>
  <c r="F36" i="1"/>
  <c r="D36" i="1"/>
  <c r="H33" i="1"/>
  <c r="I33" i="1"/>
  <c r="J33" i="1"/>
  <c r="K33" i="1"/>
  <c r="L33" i="1"/>
  <c r="M33" i="1"/>
  <c r="N33" i="1"/>
  <c r="O33" i="1"/>
  <c r="G33" i="1"/>
  <c r="P33" i="1"/>
  <c r="O32" i="1"/>
  <c r="L32" i="1"/>
  <c r="I32" i="1"/>
  <c r="F32" i="1"/>
  <c r="F30" i="1"/>
  <c r="P30" i="1" s="1"/>
  <c r="G30" i="1"/>
  <c r="H30" i="1"/>
  <c r="I30" i="1"/>
  <c r="J30" i="1"/>
  <c r="K30" i="1"/>
  <c r="L30" i="1"/>
  <c r="M30" i="1"/>
  <c r="N30" i="1"/>
  <c r="O30" i="1"/>
  <c r="D30" i="1"/>
  <c r="F29" i="1"/>
  <c r="G29" i="1"/>
  <c r="H29" i="1"/>
  <c r="I29" i="1"/>
  <c r="J29" i="1"/>
  <c r="K29" i="1"/>
  <c r="L29" i="1"/>
  <c r="M29" i="1"/>
  <c r="N29" i="1"/>
  <c r="O29" i="1"/>
  <c r="D29" i="1"/>
  <c r="K28" i="1"/>
  <c r="P28" i="1" s="1"/>
  <c r="K27" i="1"/>
  <c r="F27" i="1"/>
  <c r="P26" i="1"/>
  <c r="H26" i="1"/>
  <c r="D26" i="1"/>
  <c r="P22" i="1"/>
  <c r="P24" i="1"/>
  <c r="P25" i="1"/>
  <c r="P27" i="1"/>
  <c r="P34" i="1"/>
  <c r="P35" i="1"/>
  <c r="P38" i="1"/>
  <c r="P40" i="1"/>
  <c r="P42" i="1"/>
  <c r="P43" i="1"/>
  <c r="P21" i="1"/>
  <c r="N23" i="1"/>
  <c r="K23" i="1"/>
  <c r="H23" i="1"/>
  <c r="P23" i="1" s="1"/>
  <c r="D23" i="1"/>
  <c r="P16" i="1" l="1"/>
  <c r="P44" i="1"/>
  <c r="P39" i="1"/>
  <c r="P37" i="1"/>
  <c r="P36" i="1"/>
  <c r="P32" i="1"/>
  <c r="P29" i="1"/>
</calcChain>
</file>

<file path=xl/sharedStrings.xml><?xml version="1.0" encoding="utf-8"?>
<sst xmlns="http://schemas.openxmlformats.org/spreadsheetml/2006/main" count="149" uniqueCount="70">
  <si>
    <t>Nov</t>
  </si>
  <si>
    <t>Dec</t>
  </si>
  <si>
    <t>Jan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</si>
  <si>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</si>
  <si>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</si>
  <si>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</si>
  <si>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</si>
  <si>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</si>
  <si>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</si>
  <si>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</si>
  <si>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</si>
  <si>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Total payments</t>
  </si>
  <si>
    <t>Balance b / f</t>
  </si>
  <si>
    <t>Net cashflow in month</t>
  </si>
  <si>
    <t>Balance c / f</t>
  </si>
  <si>
    <t>May</t>
  </si>
  <si>
    <t>June</t>
  </si>
  <si>
    <t>February</t>
  </si>
  <si>
    <t>July</t>
  </si>
  <si>
    <t>August</t>
  </si>
  <si>
    <t>Oct</t>
  </si>
  <si>
    <t>Sept</t>
  </si>
  <si>
    <t>Payment on business accounts</t>
  </si>
  <si>
    <t>Laundry</t>
  </si>
  <si>
    <t>Interest Received</t>
  </si>
  <si>
    <t>Total</t>
  </si>
  <si>
    <t xml:space="preserve">  </t>
  </si>
  <si>
    <t xml:space="preserve">Motor Vehicles </t>
  </si>
  <si>
    <t xml:space="preserve">Printing and Stationary </t>
  </si>
  <si>
    <t xml:space="preserve">Complimentary Toileteries </t>
  </si>
  <si>
    <t xml:space="preserve">Land purchase </t>
  </si>
  <si>
    <t xml:space="preserve">Bedding Buddles </t>
  </si>
  <si>
    <t xml:space="preserve">Kettle tray set </t>
  </si>
  <si>
    <t>Salaried staff</t>
  </si>
  <si>
    <t>Wage Staff</t>
  </si>
  <si>
    <t>Zero Hour Staff</t>
  </si>
  <si>
    <t xml:space="preserve">Light and Heat </t>
  </si>
  <si>
    <t>Business Rates</t>
  </si>
  <si>
    <t xml:space="preserve">Marketing Costs </t>
  </si>
  <si>
    <t xml:space="preserve">Corporation Tax </t>
  </si>
  <si>
    <t xml:space="preserve">New Furniture </t>
  </si>
  <si>
    <t>Petrol and Diesel</t>
  </si>
  <si>
    <t xml:space="preserve">Fixtures and Fittings </t>
  </si>
  <si>
    <t xml:space="preserve">Building Costs </t>
  </si>
  <si>
    <t xml:space="preserve">Staff Toilets </t>
  </si>
  <si>
    <t>General Maintenance</t>
  </si>
  <si>
    <t xml:space="preserve">Deep Clean </t>
  </si>
  <si>
    <t xml:space="preserve">Overdraft Interests </t>
  </si>
  <si>
    <r>
      <t xml:space="preserve">In Room Beverages </t>
    </r>
    <r>
      <rPr>
        <sz val="10"/>
        <rFont val="Calibri"/>
        <family val="2"/>
      </rPr>
      <t>˟</t>
    </r>
  </si>
  <si>
    <t>DEC</t>
  </si>
  <si>
    <t>NOV</t>
  </si>
  <si>
    <t>OCT</t>
  </si>
  <si>
    <t>SEP</t>
  </si>
  <si>
    <t>AUG</t>
  </si>
  <si>
    <t>JUL</t>
  </si>
  <si>
    <t>JUN</t>
  </si>
  <si>
    <t>MAY</t>
  </si>
  <si>
    <t>APR</t>
  </si>
  <si>
    <t>MAR</t>
  </si>
  <si>
    <t>FEB</t>
  </si>
  <si>
    <t>JAN</t>
  </si>
  <si>
    <t>TOTAL</t>
  </si>
  <si>
    <t>MONTH1</t>
  </si>
  <si>
    <t>CREDIT</t>
  </si>
  <si>
    <t>CASH</t>
  </si>
  <si>
    <t>PREDICT CARD REVENUE WORKINGS</t>
  </si>
  <si>
    <t>MONTH 2</t>
  </si>
  <si>
    <t xml:space="preserve">Total Month 1 </t>
  </si>
  <si>
    <t>47% Except June</t>
  </si>
  <si>
    <t>Credit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</si>
</sst>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£&quot;#,##0;[Red]\-&quot;£&quot;#,##0"/>
    <numFmt numFmtId="164" formatCode="&quot;£&quot;#,##0"/>
    <numFmt numFmtId="165" formatCode="&quot;£&quot;#,##0;[Red]&quot;£&quot;#,##0"/>
    <numFmt numFmtId="166" formatCode="#,##0;[Red]#,##0"/>
  </numFmts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b/>
      <u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Calibri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37" fontId="0" fillId="0" borderId="0"/>
    <xf numFmtId="0" fontId="1" fillId="0" borderId="0"/>
  </cellStyleXfs>
  <cellXfs count="54">
    <xf numFmtId="37" fontId="0" fillId="0" borderId="0" xfId="0"/>
    <xf numFmtId="37" fontId="2" fillId="0" borderId="0" xfId="0" applyFont="1"/>
    <xf numFmtId="37" fontId="3" fillId="0" borderId="0" xfId="0" applyFont="1"/>
    <xf numFmtId="37" fontId="3" fillId="0" borderId="0" xfId="0" applyFont="1" applyAlignment="1">
      <alignment horizontal="center"/>
    </xf>
    <xf numFmtId="37" fontId="3" fillId="0" borderId="0" xfId="0" applyFont="1" applyBorder="1" applyAlignment="1">
      <alignment horizontal="center"/>
    </xf>
    <xf numFmtId="37" fontId="3" fillId="2" borderId="0" xfId="0" applyFont="1" applyFill="1" applyAlignment="1">
      <alignment horizontal="center"/>
    </xf>
    <xf numFmtId="37" fontId="0" fillId="2" borderId="0" xfId="0" applyFill="1"/>
    <xf numFmtId="37" fontId="3" fillId="0" borderId="0" xfId="0" applyFont="1" applyFill="1" applyBorder="1"/>
    <xf numFmtId="0" fontId="1" fillId="0" borderId="0" xfId="1"/>
    <xf numFmtId="6" fontId="1" fillId="0" borderId="0" xfId="1" applyNumberFormat="1"/>
    <xf numFmtId="37" fontId="3" fillId="4" borderId="2" xfId="0" applyFont="1" applyFill="1" applyBorder="1"/>
    <xf numFmtId="37" fontId="3" fillId="4" borderId="3" xfId="0" applyFont="1" applyFill="1" applyBorder="1"/>
    <xf numFmtId="37" fontId="3" fillId="4" borderId="4" xfId="0" applyFont="1" applyFill="1" applyBorder="1"/>
    <xf numFmtId="37" fontId="4" fillId="4" borderId="3" xfId="0" applyFont="1" applyFill="1" applyBorder="1" applyAlignment="1">
      <alignment horizontal="center"/>
    </xf>
    <xf numFmtId="37" fontId="4" fillId="4" borderId="4" xfId="0" applyFont="1" applyFill="1" applyBorder="1" applyAlignment="1">
      <alignment horizontal="center"/>
    </xf>
    <xf numFmtId="37" fontId="3" fillId="4" borderId="7" xfId="0" applyFont="1" applyFill="1" applyBorder="1"/>
    <xf numFmtId="37" fontId="3" fillId="4" borderId="8" xfId="0" applyFont="1" applyFill="1" applyBorder="1"/>
    <xf numFmtId="37" fontId="3" fillId="4" borderId="9" xfId="0" applyFont="1" applyFill="1" applyBorder="1"/>
    <xf numFmtId="37" fontId="4" fillId="4" borderId="8" xfId="0" applyFont="1" applyFill="1" applyBorder="1" applyAlignment="1">
      <alignment horizontal="center"/>
    </xf>
    <xf numFmtId="37" fontId="4" fillId="4" borderId="9" xfId="0" applyFont="1" applyFill="1" applyBorder="1" applyAlignment="1">
      <alignment horizontal="center"/>
    </xf>
    <xf numFmtId="37" fontId="3" fillId="4" borderId="5" xfId="0" applyFont="1" applyFill="1" applyBorder="1"/>
    <xf numFmtId="37" fontId="4" fillId="4" borderId="10" xfId="0" applyFont="1" applyFill="1" applyBorder="1"/>
    <xf numFmtId="37" fontId="4" fillId="4" borderId="7" xfId="0" applyFont="1" applyFill="1" applyBorder="1"/>
    <xf numFmtId="37" fontId="3" fillId="4" borderId="0" xfId="0" applyFont="1" applyFill="1" applyBorder="1"/>
    <xf numFmtId="37" fontId="3" fillId="4" borderId="6" xfId="0" applyFont="1" applyFill="1" applyBorder="1"/>
    <xf numFmtId="37" fontId="3" fillId="4" borderId="11" xfId="0" applyFont="1" applyFill="1" applyBorder="1"/>
    <xf numFmtId="37" fontId="3" fillId="4" borderId="12" xfId="0" applyFont="1" applyFill="1" applyBorder="1"/>
    <xf numFmtId="37" fontId="4" fillId="4" borderId="11" xfId="0" applyFont="1" applyFill="1" applyBorder="1"/>
    <xf numFmtId="37" fontId="4" fillId="4" borderId="12" xfId="0" applyFont="1" applyFill="1" applyBorder="1"/>
    <xf numFmtId="37" fontId="4" fillId="4" borderId="8" xfId="0" applyFont="1" applyFill="1" applyBorder="1"/>
    <xf numFmtId="37" fontId="4" fillId="4" borderId="9" xfId="0" applyFont="1" applyFill="1" applyBorder="1"/>
    <xf numFmtId="37" fontId="4" fillId="3" borderId="1" xfId="0" applyFont="1" applyFill="1" applyBorder="1" applyAlignment="1">
      <alignment horizontal="center"/>
    </xf>
    <xf numFmtId="37" fontId="0" fillId="3" borderId="0" xfId="0" applyFill="1"/>
    <xf numFmtId="37" fontId="4" fillId="3" borderId="10" xfId="0" applyFont="1" applyFill="1" applyBorder="1" applyAlignment="1">
      <alignment horizontal="center"/>
    </xf>
    <xf numFmtId="37" fontId="4" fillId="3" borderId="13" xfId="0" applyFont="1" applyFill="1" applyBorder="1" applyAlignment="1">
      <alignment horizontal="center"/>
    </xf>
    <xf numFmtId="37" fontId="4" fillId="3" borderId="13" xfId="0" applyFont="1" applyFill="1" applyBorder="1"/>
    <xf numFmtId="37" fontId="4" fillId="3" borderId="11" xfId="0" applyFont="1" applyFill="1" applyBorder="1"/>
    <xf numFmtId="0" fontId="1" fillId="3" borderId="0" xfId="1" applyFill="1" applyAlignment="1">
      <alignment horizontal="center"/>
    </xf>
    <xf numFmtId="166" fontId="1" fillId="3" borderId="0" xfId="1" applyNumberFormat="1" applyFill="1"/>
    <xf numFmtId="6" fontId="1" fillId="5" borderId="0" xfId="1" applyNumberFormat="1" applyFill="1"/>
    <xf numFmtId="164" fontId="1" fillId="6" borderId="0" xfId="1" applyNumberFormat="1" applyFill="1"/>
    <xf numFmtId="165" fontId="1" fillId="7" borderId="0" xfId="1" applyNumberFormat="1" applyFill="1"/>
    <xf numFmtId="164" fontId="1" fillId="4" borderId="0" xfId="1" applyNumberFormat="1" applyFill="1"/>
    <xf numFmtId="3" fontId="1" fillId="7" borderId="0" xfId="1" applyNumberFormat="1" applyFill="1"/>
    <xf numFmtId="6" fontId="1" fillId="7" borderId="0" xfId="1" applyNumberFormat="1" applyFill="1"/>
    <xf numFmtId="164" fontId="1" fillId="9" borderId="0" xfId="1" applyNumberFormat="1" applyFill="1"/>
    <xf numFmtId="0" fontId="1" fillId="9" borderId="0" xfId="1" applyFill="1"/>
    <xf numFmtId="0" fontId="1" fillId="8" borderId="0" xfId="1" applyFill="1" applyAlignment="1">
      <alignment horizontal="center"/>
    </xf>
    <xf numFmtId="0" fontId="6" fillId="8" borderId="0" xfId="1" applyFont="1" applyFill="1" applyAlignment="1">
      <alignment horizontal="center"/>
    </xf>
    <xf numFmtId="0" fontId="6" fillId="8" borderId="0" xfId="1" applyFont="1" applyFill="1" applyAlignment="1">
      <alignment horizontal="center"/>
    </xf>
    <xf numFmtId="0" fontId="1" fillId="8" borderId="0" xfId="1" applyFill="1"/>
    <xf numFmtId="166" fontId="6" fillId="8" borderId="0" xfId="1" applyNumberFormat="1" applyFont="1" applyFill="1"/>
    <xf numFmtId="0" fontId="6" fillId="8" borderId="0" xfId="1" applyFont="1" applyFill="1"/>
    <xf numFmtId="9" fontId="6" fillId="8" borderId="0" xfId="1" applyNumberFormat="1" applyFont="1" applyFill="1" applyAlignment="1">
      <alignment horizontal="center"/>
    </xf>
  </cellXfs>
  <cellStyles count="2">
    <cellStyle name="Normal" xfId="0" builtinId="0"/>
    <cellStyle name="Normal 2" xfId="1" xr:uid="{2AE2226C-2A90-4210-B519-2448C514603D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7E089-55E2-426B-B928-ED52B3A3F7A9}">
  <dimension ref="A1:I15"/>
  <sheetViews>
    <sheetView tabSelected="1" workbookViewId="0">
      <selection activeCell="B23" sqref="B23"/>
    </sheetView>
  </sheetViews>
  <sheetFormatPr defaultRowHeight="14.4" x14ac:dyDescent="0.3"/>
  <cols>
    <col min="1" max="2" width="8.88671875" style="8"/>
    <col min="3" max="3" width="11.5546875" style="8" customWidth="1"/>
    <col min="4" max="4" width="10.77734375" style="8" bestFit="1" customWidth="1"/>
    <col min="5" max="5" width="11.77734375" style="8" customWidth="1"/>
    <col min="6" max="6" width="12.21875" style="8" bestFit="1" customWidth="1"/>
    <col min="7" max="7" width="16.6640625" style="8" customWidth="1"/>
    <col min="8" max="8" width="16.77734375" style="8" customWidth="1"/>
    <col min="9" max="9" width="19.21875" style="8" customWidth="1"/>
    <col min="10" max="16384" width="8.88671875" style="8"/>
  </cols>
  <sheetData>
    <row r="1" spans="1:9" x14ac:dyDescent="0.3">
      <c r="A1" s="37" t="s">
        <v>65</v>
      </c>
      <c r="B1" s="37"/>
      <c r="C1" s="37"/>
      <c r="D1" s="37"/>
      <c r="E1" s="37"/>
      <c r="F1" s="37"/>
      <c r="G1" s="37"/>
      <c r="H1" s="37"/>
      <c r="I1" s="37"/>
    </row>
    <row r="2" spans="1:9" x14ac:dyDescent="0.3">
      <c r="A2" s="47"/>
      <c r="B2" s="47"/>
      <c r="C2" s="48" t="s">
        <v>64</v>
      </c>
      <c r="D2" s="48" t="s">
        <v>63</v>
      </c>
      <c r="E2" s="48" t="s">
        <v>62</v>
      </c>
      <c r="F2" s="49"/>
      <c r="G2" s="49"/>
      <c r="H2" s="48" t="s">
        <v>66</v>
      </c>
      <c r="I2" s="48" t="s">
        <v>61</v>
      </c>
    </row>
    <row r="3" spans="1:9" x14ac:dyDescent="0.3">
      <c r="A3" s="50"/>
      <c r="B3" s="50"/>
      <c r="C3" s="51"/>
      <c r="D3" s="52"/>
      <c r="E3" s="53">
        <v>0.52</v>
      </c>
      <c r="F3" s="53">
        <v>-0.05</v>
      </c>
      <c r="G3" s="48" t="s">
        <v>67</v>
      </c>
      <c r="H3" s="48" t="s">
        <v>68</v>
      </c>
      <c r="I3" s="48" t="s">
        <v>69</v>
      </c>
    </row>
    <row r="4" spans="1:9" x14ac:dyDescent="0.3">
      <c r="A4" s="46" t="s">
        <v>60</v>
      </c>
      <c r="B4" s="9">
        <v>382414</v>
      </c>
      <c r="C4" s="38">
        <v>229448</v>
      </c>
      <c r="D4" s="39">
        <f>B4*40/100</f>
        <v>152965.6</v>
      </c>
      <c r="E4" s="40">
        <f>D15*52/100</f>
        <v>70907.199999999997</v>
      </c>
      <c r="F4" s="41">
        <f>E4*5/100</f>
        <v>3545.36</v>
      </c>
      <c r="G4" s="42">
        <f>E4-F4</f>
        <v>67361.84</v>
      </c>
      <c r="H4" s="43">
        <f>D14*47/100</f>
        <v>70515.039999999994</v>
      </c>
      <c r="I4" s="45">
        <f>G4+H4</f>
        <v>137876.88</v>
      </c>
    </row>
    <row r="5" spans="1:9" x14ac:dyDescent="0.3">
      <c r="A5" s="46" t="s">
        <v>59</v>
      </c>
      <c r="B5" s="9">
        <v>298218</v>
      </c>
      <c r="C5" s="38">
        <f>B5*60/100</f>
        <v>178930.8</v>
      </c>
      <c r="D5" s="39">
        <f>B5*40/100</f>
        <v>119287.2</v>
      </c>
      <c r="E5" s="40">
        <f>D4*52/100</f>
        <v>79542.112000000008</v>
      </c>
      <c r="F5" s="41">
        <f>E5*5/100</f>
        <v>3977.1056000000008</v>
      </c>
      <c r="G5" s="42">
        <f>E5-F5</f>
        <v>75565.006400000013</v>
      </c>
      <c r="H5" s="43">
        <f>D15*47/100</f>
        <v>64089.2</v>
      </c>
      <c r="I5" s="45">
        <f>G5+H5</f>
        <v>139654.20640000002</v>
      </c>
    </row>
    <row r="6" spans="1:9" x14ac:dyDescent="0.3">
      <c r="A6" s="46" t="s">
        <v>58</v>
      </c>
      <c r="B6" s="9">
        <v>291005</v>
      </c>
      <c r="C6" s="38">
        <f>B6*60/100</f>
        <v>174603</v>
      </c>
      <c r="D6" s="39">
        <f>B6*40/100</f>
        <v>116402</v>
      </c>
      <c r="E6" s="40">
        <f>D5*52/100</f>
        <v>62029.343999999997</v>
      </c>
      <c r="F6" s="41">
        <f>E6*5/100</f>
        <v>3101.4671999999996</v>
      </c>
      <c r="G6" s="42">
        <f>E6-F6</f>
        <v>58927.876799999998</v>
      </c>
      <c r="H6" s="44">
        <f>D4*47/100</f>
        <v>71893.831999999995</v>
      </c>
      <c r="I6" s="45">
        <f>G6+H6</f>
        <v>130821.70879999999</v>
      </c>
    </row>
    <row r="7" spans="1:9" x14ac:dyDescent="0.3">
      <c r="A7" s="46" t="s">
        <v>57</v>
      </c>
      <c r="B7" s="9">
        <v>285111</v>
      </c>
      <c r="C7" s="38">
        <f>B7*60/100</f>
        <v>171066.6</v>
      </c>
      <c r="D7" s="39">
        <f>B7*40/100</f>
        <v>114044.4</v>
      </c>
      <c r="E7" s="40">
        <f>D6*52/100</f>
        <v>60529.04</v>
      </c>
      <c r="F7" s="41">
        <f>E7*5/100</f>
        <v>3026.4520000000002</v>
      </c>
      <c r="G7" s="42">
        <f>E7-F7</f>
        <v>57502.588000000003</v>
      </c>
      <c r="H7" s="44">
        <f>D5*47/100</f>
        <v>56064.983999999997</v>
      </c>
      <c r="I7" s="45">
        <f>G7+H7</f>
        <v>113567.572</v>
      </c>
    </row>
    <row r="8" spans="1:9" x14ac:dyDescent="0.3">
      <c r="A8" s="46" t="s">
        <v>56</v>
      </c>
      <c r="B8" s="9">
        <v>325600</v>
      </c>
      <c r="C8" s="38">
        <f>B8*60/100</f>
        <v>195360</v>
      </c>
      <c r="D8" s="39">
        <f>B8*40/100</f>
        <v>130240</v>
      </c>
      <c r="E8" s="40">
        <f>D7*52/100</f>
        <v>59303.087999999996</v>
      </c>
      <c r="F8" s="41">
        <f>E8*5/100</f>
        <v>2965.1543999999999</v>
      </c>
      <c r="G8" s="42">
        <f>E8-F8</f>
        <v>56337.933599999997</v>
      </c>
      <c r="H8" s="44">
        <f>D6*47/100</f>
        <v>54708.94</v>
      </c>
      <c r="I8" s="45">
        <f>G8+H8</f>
        <v>111046.87359999999</v>
      </c>
    </row>
    <row r="9" spans="1:9" x14ac:dyDescent="0.3">
      <c r="A9" s="46" t="s">
        <v>55</v>
      </c>
      <c r="B9" s="9">
        <v>380450</v>
      </c>
      <c r="C9" s="38">
        <f>B9*60/100</f>
        <v>228270</v>
      </c>
      <c r="D9" s="39">
        <f>B9*40/100</f>
        <v>152180</v>
      </c>
      <c r="E9" s="40">
        <f>D8*52/100</f>
        <v>67724.800000000003</v>
      </c>
      <c r="F9" s="41">
        <f>E9*5/100</f>
        <v>3386.24</v>
      </c>
      <c r="G9" s="42">
        <f>E9-F9</f>
        <v>64338.560000000005</v>
      </c>
      <c r="H9" s="44">
        <f>D7*47/100</f>
        <v>53600.867999999995</v>
      </c>
      <c r="I9" s="45">
        <f>G9+H9</f>
        <v>117939.428</v>
      </c>
    </row>
    <row r="10" spans="1:9" x14ac:dyDescent="0.3">
      <c r="A10" s="46" t="s">
        <v>54</v>
      </c>
      <c r="B10" s="9">
        <v>400600</v>
      </c>
      <c r="C10" s="38">
        <f>B10*60/100</f>
        <v>240360</v>
      </c>
      <c r="D10" s="39">
        <f>B10*40/100</f>
        <v>160240</v>
      </c>
      <c r="E10" s="40">
        <f>D9*52/100</f>
        <v>79133.600000000006</v>
      </c>
      <c r="F10" s="41">
        <f>E10*5/100</f>
        <v>3956.68</v>
      </c>
      <c r="G10" s="42">
        <f>E10-F10</f>
        <v>75176.920000000013</v>
      </c>
      <c r="H10" s="44">
        <f>D8*47/100</f>
        <v>61212.800000000003</v>
      </c>
      <c r="I10" s="45">
        <f>G10+H10</f>
        <v>136389.72000000003</v>
      </c>
    </row>
    <row r="11" spans="1:9" x14ac:dyDescent="0.3">
      <c r="A11" s="46" t="s">
        <v>53</v>
      </c>
      <c r="B11" s="9">
        <v>480750</v>
      </c>
      <c r="C11" s="38">
        <f>B11*60/100</f>
        <v>288450</v>
      </c>
      <c r="D11" s="39">
        <f>B11*40/100</f>
        <v>192300</v>
      </c>
      <c r="E11" s="40">
        <f>D10*52/100</f>
        <v>83324.800000000003</v>
      </c>
      <c r="F11" s="41">
        <f>E11*5/100</f>
        <v>4166.24</v>
      </c>
      <c r="G11" s="42">
        <f>E11-F11</f>
        <v>79158.559999999998</v>
      </c>
      <c r="H11" s="44">
        <f>D9*47/100</f>
        <v>71524.600000000006</v>
      </c>
      <c r="I11" s="45">
        <f>G11+H11</f>
        <v>150683.16</v>
      </c>
    </row>
    <row r="12" spans="1:9" x14ac:dyDescent="0.3">
      <c r="A12" s="46" t="s">
        <v>52</v>
      </c>
      <c r="B12" s="9">
        <v>520180</v>
      </c>
      <c r="C12" s="38">
        <f>B12*40/100</f>
        <v>208072</v>
      </c>
      <c r="D12" s="39">
        <f>B12*60/100</f>
        <v>312108</v>
      </c>
      <c r="E12" s="40">
        <f>D11*52/100</f>
        <v>99996</v>
      </c>
      <c r="F12" s="41">
        <f>E12*5/100</f>
        <v>4999.8</v>
      </c>
      <c r="G12" s="42">
        <f>E12-F12</f>
        <v>94996.2</v>
      </c>
      <c r="H12" s="44">
        <f>D10*47/100</f>
        <v>75312.800000000003</v>
      </c>
      <c r="I12" s="45">
        <f>G12+H12</f>
        <v>170309</v>
      </c>
    </row>
    <row r="13" spans="1:9" x14ac:dyDescent="0.3">
      <c r="A13" s="46" t="s">
        <v>51</v>
      </c>
      <c r="B13" s="9">
        <v>400800</v>
      </c>
      <c r="C13" s="38">
        <f>B13*60/100</f>
        <v>240480</v>
      </c>
      <c r="D13" s="39">
        <f>B13*40/100</f>
        <v>160320</v>
      </c>
      <c r="E13" s="40">
        <f>D12*52/100</f>
        <v>162296.16</v>
      </c>
      <c r="F13" s="41">
        <f>E13*5/100</f>
        <v>8114.8080000000009</v>
      </c>
      <c r="G13" s="42">
        <f>E13-F13</f>
        <v>154181.35200000001</v>
      </c>
      <c r="H13" s="44">
        <f>D11*47/100</f>
        <v>90381</v>
      </c>
      <c r="I13" s="45">
        <f>G13+H13</f>
        <v>244562.35200000001</v>
      </c>
    </row>
    <row r="14" spans="1:9" x14ac:dyDescent="0.3">
      <c r="A14" s="46" t="s">
        <v>50</v>
      </c>
      <c r="B14" s="9">
        <v>375080</v>
      </c>
      <c r="C14" s="38">
        <f>B14*60/100</f>
        <v>225048</v>
      </c>
      <c r="D14" s="39">
        <f>B14*40/100</f>
        <v>150032</v>
      </c>
      <c r="E14" s="40">
        <f>D13*52/100</f>
        <v>83366.399999999994</v>
      </c>
      <c r="F14" s="41">
        <f>E14*5/100</f>
        <v>4168.32</v>
      </c>
      <c r="G14" s="42">
        <f>E14-F14</f>
        <v>79198.079999999987</v>
      </c>
      <c r="H14" s="44">
        <f>D12*47/100</f>
        <v>146690.76</v>
      </c>
      <c r="I14" s="45">
        <f>G14+H14</f>
        <v>225888.84</v>
      </c>
    </row>
    <row r="15" spans="1:9" x14ac:dyDescent="0.3">
      <c r="A15" s="46" t="s">
        <v>49</v>
      </c>
      <c r="B15" s="9">
        <v>340900</v>
      </c>
      <c r="C15" s="38">
        <f>B15*60/100</f>
        <v>204540</v>
      </c>
      <c r="D15" s="39">
        <f>B15*40/100</f>
        <v>136360</v>
      </c>
      <c r="E15" s="40">
        <f>D14*52/100</f>
        <v>78016.639999999999</v>
      </c>
      <c r="F15" s="41">
        <f>E15*5/100</f>
        <v>3900.8320000000003</v>
      </c>
      <c r="G15" s="42">
        <f>E15-F15</f>
        <v>74115.808000000005</v>
      </c>
      <c r="H15" s="44">
        <f>D13*47/100</f>
        <v>75350.399999999994</v>
      </c>
      <c r="I15" s="45">
        <f>G15+H15</f>
        <v>149466.20799999998</v>
      </c>
    </row>
  </sheetData>
  <mergeCells count="3">
    <mergeCell ref="A1:I1"/>
    <mergeCell ref="A2:B2"/>
    <mergeCell ref="F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22"/>
  <sheetViews>
    <sheetView zoomScale="82" zoomScaleNormal="115" workbookViewId="0">
      <selection activeCell="V49" sqref="V49"/>
    </sheetView>
  </sheetViews>
  <sheetFormatPr defaultRowHeight="13.2" x14ac:dyDescent="0.25"/>
  <cols>
    <col min="1" max="1" width="25.21875" customWidth="1"/>
    <col min="2" max="2" width="0.77734375" customWidth="1"/>
    <col min="3" max="3" width="1.44140625" customWidth="1"/>
    <col min="4" max="9" width="11" customWidth="1"/>
    <col min="10" max="10" width="9.21875" customWidth="1"/>
    <col min="11" max="11" width="11.21875" customWidth="1"/>
    <col min="12" max="12" width="12.109375" customWidth="1"/>
    <col min="13" max="13" width="10.88671875" customWidth="1"/>
    <col min="14" max="14" width="11.33203125" customWidth="1"/>
    <col min="15" max="15" width="13.109375" customWidth="1"/>
    <col min="16" max="16" width="16.109375" customWidth="1"/>
  </cols>
  <sheetData>
    <row r="1" spans="1:16" ht="21" x14ac:dyDescent="0.4">
      <c r="A1" s="1" t="s">
        <v>7</v>
      </c>
    </row>
    <row r="2" spans="1:16" ht="21" x14ac:dyDescent="0.4">
      <c r="A2" s="1"/>
    </row>
    <row r="5" spans="1:16" x14ac:dyDescent="0.25">
      <c r="A5" s="10"/>
      <c r="B5" s="11"/>
      <c r="C5" s="12"/>
      <c r="D5" s="13" t="s">
        <v>2</v>
      </c>
      <c r="E5" s="13" t="s">
        <v>17</v>
      </c>
      <c r="F5" s="13" t="s">
        <v>3</v>
      </c>
      <c r="G5" s="13" t="s">
        <v>4</v>
      </c>
      <c r="H5" s="13" t="s">
        <v>15</v>
      </c>
      <c r="I5" s="13" t="s">
        <v>16</v>
      </c>
      <c r="J5" s="13" t="s">
        <v>18</v>
      </c>
      <c r="K5" s="13" t="s">
        <v>19</v>
      </c>
      <c r="L5" s="13" t="s">
        <v>21</v>
      </c>
      <c r="M5" s="13" t="s">
        <v>20</v>
      </c>
      <c r="N5" s="13" t="s">
        <v>0</v>
      </c>
      <c r="O5" s="13" t="s">
        <v>1</v>
      </c>
      <c r="P5" s="14" t="s">
        <v>25</v>
      </c>
    </row>
    <row r="6" spans="1:16" x14ac:dyDescent="0.25">
      <c r="A6" s="15"/>
      <c r="B6" s="16"/>
      <c r="C6" s="17"/>
      <c r="D6" s="18" t="s">
        <v>5</v>
      </c>
      <c r="E6" s="18" t="s">
        <v>5</v>
      </c>
      <c r="F6" s="18" t="s">
        <v>5</v>
      </c>
      <c r="G6" s="18" t="s">
        <v>5</v>
      </c>
      <c r="H6" s="18" t="s">
        <v>5</v>
      </c>
      <c r="I6" s="18" t="s">
        <v>5</v>
      </c>
      <c r="J6" s="18" t="s">
        <v>5</v>
      </c>
      <c r="K6" s="18" t="s">
        <v>5</v>
      </c>
      <c r="L6" s="18" t="s">
        <v>5</v>
      </c>
      <c r="M6" s="18" t="s">
        <v>5</v>
      </c>
      <c r="N6" s="18" t="s">
        <v>5</v>
      </c>
      <c r="O6" s="18" t="s">
        <v>5</v>
      </c>
      <c r="P6" s="19" t="s">
        <v>5</v>
      </c>
    </row>
    <row r="7" spans="1:16" x14ac:dyDescent="0.25">
      <c r="A7" s="10"/>
      <c r="B7" s="11"/>
      <c r="C7" s="12"/>
      <c r="D7" s="3"/>
      <c r="E7" s="3"/>
      <c r="F7" s="3"/>
      <c r="G7" s="3"/>
      <c r="H7" s="3"/>
      <c r="I7" s="3"/>
      <c r="P7" s="32"/>
    </row>
    <row r="8" spans="1:16" x14ac:dyDescent="0.25">
      <c r="A8" s="20"/>
      <c r="B8" s="23"/>
      <c r="C8" s="24"/>
      <c r="D8" s="3"/>
      <c r="E8" s="3"/>
      <c r="F8" s="3"/>
      <c r="G8" s="3"/>
      <c r="H8" s="3"/>
      <c r="I8" s="3"/>
      <c r="P8" s="32"/>
    </row>
    <row r="9" spans="1:16" x14ac:dyDescent="0.25">
      <c r="A9" s="21" t="s">
        <v>6</v>
      </c>
      <c r="B9" s="25"/>
      <c r="C9" s="26"/>
      <c r="D9" s="5"/>
      <c r="E9" s="5"/>
      <c r="F9" s="5"/>
      <c r="G9" s="5"/>
      <c r="H9" s="5"/>
      <c r="I9" s="5"/>
      <c r="J9" s="6"/>
      <c r="K9" s="6"/>
      <c r="L9" s="6"/>
      <c r="M9" s="6"/>
      <c r="N9" s="6"/>
      <c r="O9" s="6"/>
      <c r="P9" s="32"/>
    </row>
    <row r="10" spans="1:16" x14ac:dyDescent="0.25">
      <c r="A10" s="10"/>
      <c r="B10" s="11"/>
      <c r="C10" s="12"/>
      <c r="D10" s="3"/>
      <c r="E10" s="3"/>
      <c r="F10" s="3"/>
      <c r="G10" s="3"/>
      <c r="H10" s="3"/>
      <c r="I10" s="3"/>
      <c r="P10" s="32"/>
    </row>
    <row r="11" spans="1:16" x14ac:dyDescent="0.25">
      <c r="A11" s="20" t="s">
        <v>22</v>
      </c>
      <c r="B11" s="23"/>
      <c r="C11" s="24"/>
      <c r="D11" s="2">
        <v>137877</v>
      </c>
      <c r="E11" s="2">
        <v>139654</v>
      </c>
      <c r="F11" s="2">
        <v>130822</v>
      </c>
      <c r="G11" s="2">
        <v>133568</v>
      </c>
      <c r="H11" s="2">
        <v>111047</v>
      </c>
      <c r="I11" s="2">
        <v>117939</v>
      </c>
      <c r="J11" s="2">
        <v>136390</v>
      </c>
      <c r="K11" s="2">
        <v>150683</v>
      </c>
      <c r="L11" s="2">
        <v>170309</v>
      </c>
      <c r="M11" s="2">
        <v>244562</v>
      </c>
      <c r="N11" s="2">
        <v>225889</v>
      </c>
      <c r="O11" s="2">
        <v>149466</v>
      </c>
      <c r="P11" s="32">
        <f>SUM(D11:O11)</f>
        <v>1848206</v>
      </c>
    </row>
    <row r="12" spans="1:16" x14ac:dyDescent="0.25">
      <c r="A12" s="20" t="s">
        <v>8</v>
      </c>
      <c r="B12" s="23"/>
      <c r="C12" s="24"/>
      <c r="D12" s="2">
        <v>229448</v>
      </c>
      <c r="E12" s="2">
        <v>178931</v>
      </c>
      <c r="F12" s="2">
        <v>174603</v>
      </c>
      <c r="G12" s="2">
        <v>171067</v>
      </c>
      <c r="H12" s="2">
        <v>195360</v>
      </c>
      <c r="I12" s="2">
        <v>228270</v>
      </c>
      <c r="J12" s="2">
        <v>240360</v>
      </c>
      <c r="K12" s="2">
        <v>288450</v>
      </c>
      <c r="L12" s="2">
        <v>312108</v>
      </c>
      <c r="M12" s="2">
        <v>240480</v>
      </c>
      <c r="N12" s="2">
        <v>225048</v>
      </c>
      <c r="O12" s="2">
        <v>204540</v>
      </c>
      <c r="P12" s="32">
        <f>SUM(D12:O12)</f>
        <v>2688665</v>
      </c>
    </row>
    <row r="13" spans="1:16" x14ac:dyDescent="0.25">
      <c r="A13" s="20" t="s">
        <v>24</v>
      </c>
      <c r="B13" s="23"/>
      <c r="C13" s="24"/>
      <c r="D13" s="2">
        <f>D48*2.6/100</f>
        <v>8268</v>
      </c>
      <c r="E13" s="2">
        <f>D54*2.6/100</f>
        <v>13663.684666666666</v>
      </c>
      <c r="F13" s="2">
        <f>E54*2.6/100</f>
        <v>15695.108468000002</v>
      </c>
      <c r="G13" s="2" t="s">
        <v>7</v>
      </c>
      <c r="H13" s="2">
        <f>G54*2.6/100</f>
        <v>3300.3193080000001</v>
      </c>
      <c r="I13" s="2">
        <f>H54*2.6/100</f>
        <v>8256.074302007999</v>
      </c>
      <c r="J13" s="2">
        <f>I54*2.6/100</f>
        <v>14180.55793185221</v>
      </c>
      <c r="K13" s="2">
        <f>814737*2.6/100</f>
        <v>21183.162</v>
      </c>
      <c r="L13" s="2">
        <f>1038993*2.6/100</f>
        <v>27013.818000000003</v>
      </c>
      <c r="M13">
        <f>1275124*2.6/100</f>
        <v>33153.224000000002</v>
      </c>
      <c r="N13" s="2">
        <f>1532019*2.6/100</f>
        <v>39832.493999999999</v>
      </c>
      <c r="O13">
        <f>1723938*2.6/100</f>
        <v>44822.387999999999</v>
      </c>
      <c r="P13" s="32">
        <f>SUM(D13:O13)</f>
        <v>229368.83067652691</v>
      </c>
    </row>
    <row r="14" spans="1:16" x14ac:dyDescent="0.25">
      <c r="A14" s="20" t="s">
        <v>7</v>
      </c>
      <c r="B14" s="23"/>
      <c r="C14" s="24"/>
      <c r="D14" s="2"/>
      <c r="E14" s="2"/>
      <c r="F14" s="2"/>
      <c r="G14" s="2"/>
      <c r="H14" s="2"/>
      <c r="I14" s="2"/>
      <c r="P14" s="32"/>
    </row>
    <row r="15" spans="1:16" ht="13.8" thickBot="1" x14ac:dyDescent="0.3">
      <c r="A15" s="20"/>
      <c r="B15" s="23"/>
      <c r="C15" s="24"/>
      <c r="D15" s="3"/>
      <c r="E15" s="3"/>
      <c r="F15" s="3"/>
      <c r="G15" s="3"/>
      <c r="H15" s="3"/>
      <c r="I15" s="3"/>
      <c r="P15" s="32"/>
    </row>
    <row r="16" spans="1:16" ht="13.8" thickBot="1" x14ac:dyDescent="0.3">
      <c r="A16" s="21" t="s">
        <v>9</v>
      </c>
      <c r="B16" s="27"/>
      <c r="C16" s="28"/>
      <c r="D16" s="31">
        <f t="shared" ref="D16:P16" si="0">SUM(D11:D13)</f>
        <v>375593</v>
      </c>
      <c r="E16" s="31">
        <f t="shared" si="0"/>
        <v>332248.68466666667</v>
      </c>
      <c r="F16" s="31">
        <f t="shared" si="0"/>
        <v>321120.10846800002</v>
      </c>
      <c r="G16" s="31">
        <f t="shared" si="0"/>
        <v>304635</v>
      </c>
      <c r="H16" s="31">
        <f t="shared" si="0"/>
        <v>309707.31930799998</v>
      </c>
      <c r="I16" s="31">
        <f t="shared" si="0"/>
        <v>354465.07430200803</v>
      </c>
      <c r="J16" s="31">
        <f t="shared" si="0"/>
        <v>390930.55793185224</v>
      </c>
      <c r="K16" s="31">
        <f t="shared" si="0"/>
        <v>460316.16200000001</v>
      </c>
      <c r="L16" s="31">
        <f t="shared" si="0"/>
        <v>509430.81800000003</v>
      </c>
      <c r="M16" s="31">
        <f t="shared" si="0"/>
        <v>518195.22399999999</v>
      </c>
      <c r="N16" s="31">
        <f t="shared" si="0"/>
        <v>490769.49400000001</v>
      </c>
      <c r="O16" s="31">
        <f t="shared" si="0"/>
        <v>398828.38799999998</v>
      </c>
      <c r="P16" s="35">
        <f t="shared" si="0"/>
        <v>4766239.8306765268</v>
      </c>
    </row>
    <row r="17" spans="1:16" x14ac:dyDescent="0.25">
      <c r="A17" s="20"/>
      <c r="B17" s="23"/>
      <c r="C17" s="24"/>
      <c r="D17" s="4"/>
      <c r="E17" s="4"/>
      <c r="F17" s="4"/>
      <c r="G17" s="4"/>
      <c r="H17" s="4"/>
      <c r="I17" s="4"/>
      <c r="P17" s="32"/>
    </row>
    <row r="18" spans="1:16" x14ac:dyDescent="0.25">
      <c r="A18" s="20"/>
      <c r="B18" s="23"/>
      <c r="C18" s="24"/>
      <c r="D18" s="4"/>
      <c r="E18" s="4"/>
      <c r="F18" s="4"/>
      <c r="G18" s="4"/>
      <c r="H18" s="4"/>
      <c r="I18" s="4"/>
      <c r="P18" s="32"/>
    </row>
    <row r="19" spans="1:16" x14ac:dyDescent="0.25">
      <c r="A19" s="20"/>
      <c r="B19" s="23"/>
      <c r="C19" s="24"/>
      <c r="D19" s="3"/>
      <c r="E19" s="3"/>
      <c r="F19" s="3"/>
      <c r="G19" s="3"/>
      <c r="H19" s="3"/>
      <c r="I19" s="3"/>
      <c r="P19" s="32"/>
    </row>
    <row r="20" spans="1:16" x14ac:dyDescent="0.25">
      <c r="A20" s="21" t="s">
        <v>10</v>
      </c>
      <c r="B20" s="25"/>
      <c r="C20" s="26"/>
      <c r="D20" s="5"/>
      <c r="E20" s="5"/>
      <c r="F20" s="5"/>
      <c r="G20" s="5"/>
      <c r="H20" s="5"/>
      <c r="I20" s="5"/>
      <c r="J20" s="6"/>
      <c r="K20" s="6"/>
      <c r="L20" s="6"/>
      <c r="M20" s="6"/>
      <c r="N20" s="6"/>
      <c r="O20" s="6"/>
      <c r="P20" s="32"/>
    </row>
    <row r="21" spans="1:16" x14ac:dyDescent="0.25">
      <c r="A21" s="20" t="s">
        <v>27</v>
      </c>
      <c r="B21" s="23"/>
      <c r="C21" s="24"/>
      <c r="D21" s="3"/>
      <c r="E21" s="3"/>
      <c r="F21" s="3"/>
      <c r="G21" s="3">
        <v>30000</v>
      </c>
      <c r="H21" s="3"/>
      <c r="I21" s="3"/>
      <c r="P21" s="32">
        <f>SUM(D21:O21)</f>
        <v>30000</v>
      </c>
    </row>
    <row r="22" spans="1:16" x14ac:dyDescent="0.25">
      <c r="A22" s="20" t="s">
        <v>23</v>
      </c>
      <c r="B22" s="23"/>
      <c r="C22" s="24"/>
      <c r="D22" s="2" t="s">
        <v>7</v>
      </c>
      <c r="E22" s="2">
        <v>18750</v>
      </c>
      <c r="F22" s="2"/>
      <c r="G22" s="2"/>
      <c r="H22" s="2">
        <v>18750</v>
      </c>
      <c r="I22" s="2"/>
      <c r="K22">
        <v>18750</v>
      </c>
      <c r="N22">
        <v>18750</v>
      </c>
      <c r="P22" s="32">
        <f t="shared" ref="P22:P43" si="1">SUM(D22:O22)</f>
        <v>75000</v>
      </c>
    </row>
    <row r="23" spans="1:16" x14ac:dyDescent="0.25">
      <c r="A23" s="20" t="s">
        <v>28</v>
      </c>
      <c r="B23" s="23"/>
      <c r="C23" s="24"/>
      <c r="D23" s="2">
        <f>4000+(4000*45/100)</f>
        <v>5800</v>
      </c>
      <c r="E23" s="2">
        <v>4000</v>
      </c>
      <c r="F23" s="2">
        <v>4000</v>
      </c>
      <c r="G23" s="2">
        <v>4000</v>
      </c>
      <c r="H23" s="2">
        <f>E23+(E23*45/100)</f>
        <v>5800</v>
      </c>
      <c r="I23" s="7">
        <v>4000</v>
      </c>
      <c r="J23">
        <v>4000</v>
      </c>
      <c r="K23">
        <f>J23+(J23*45/100)</f>
        <v>5800</v>
      </c>
      <c r="L23">
        <v>4000</v>
      </c>
      <c r="M23">
        <v>4000</v>
      </c>
      <c r="N23">
        <f>M23+(M23*45/100)</f>
        <v>5800</v>
      </c>
      <c r="O23">
        <v>4000</v>
      </c>
      <c r="P23" s="32">
        <f t="shared" si="1"/>
        <v>55200</v>
      </c>
    </row>
    <row r="24" spans="1:16" x14ac:dyDescent="0.25">
      <c r="A24" s="20" t="s">
        <v>29</v>
      </c>
      <c r="B24" s="23"/>
      <c r="C24" s="24"/>
      <c r="D24" s="2" t="s">
        <v>7</v>
      </c>
      <c r="E24" s="2">
        <v>98000</v>
      </c>
      <c r="F24" s="2" t="s">
        <v>7</v>
      </c>
      <c r="G24" s="2" t="s">
        <v>7</v>
      </c>
      <c r="H24" s="2" t="s">
        <v>7</v>
      </c>
      <c r="I24" s="2" t="s">
        <v>7</v>
      </c>
      <c r="J24" s="2" t="s">
        <v>7</v>
      </c>
      <c r="K24" s="2" t="s">
        <v>7</v>
      </c>
      <c r="L24" s="2" t="s">
        <v>7</v>
      </c>
      <c r="M24" t="s">
        <v>7</v>
      </c>
      <c r="N24" t="s">
        <v>7</v>
      </c>
      <c r="O24" t="s">
        <v>7</v>
      </c>
      <c r="P24" s="32">
        <f t="shared" si="1"/>
        <v>98000</v>
      </c>
    </row>
    <row r="25" spans="1:16" ht="13.8" x14ac:dyDescent="0.3">
      <c r="A25" s="20" t="s">
        <v>48</v>
      </c>
      <c r="B25" s="23"/>
      <c r="C25" s="24"/>
      <c r="D25" s="2">
        <v>5000</v>
      </c>
      <c r="E25" s="2">
        <v>4100</v>
      </c>
      <c r="F25" s="2">
        <v>4100</v>
      </c>
      <c r="G25" s="2">
        <v>4100</v>
      </c>
      <c r="H25" s="2">
        <v>4100</v>
      </c>
      <c r="I25" s="2">
        <v>5000</v>
      </c>
      <c r="J25">
        <v>5000</v>
      </c>
      <c r="K25">
        <v>5000</v>
      </c>
      <c r="L25">
        <v>5000</v>
      </c>
      <c r="M25">
        <v>5000</v>
      </c>
      <c r="N25">
        <v>5000</v>
      </c>
      <c r="O25">
        <v>5000</v>
      </c>
      <c r="P25" s="32">
        <f t="shared" si="1"/>
        <v>56400</v>
      </c>
    </row>
    <row r="26" spans="1:16" x14ac:dyDescent="0.25">
      <c r="A26" s="20" t="s">
        <v>30</v>
      </c>
      <c r="B26" s="23"/>
      <c r="C26" s="24"/>
      <c r="D26" s="2">
        <f>(80000*35/100)</f>
        <v>28000</v>
      </c>
      <c r="E26" s="2" t="s">
        <v>7</v>
      </c>
      <c r="F26" s="2" t="s">
        <v>7</v>
      </c>
      <c r="G26" s="2" t="s">
        <v>7</v>
      </c>
      <c r="H26" s="2">
        <f xml:space="preserve"> 80000-(80000*35/100)</f>
        <v>52000</v>
      </c>
      <c r="I26" s="2" t="s">
        <v>7</v>
      </c>
      <c r="J26" t="s">
        <v>7</v>
      </c>
      <c r="K26" t="s">
        <v>7</v>
      </c>
      <c r="L26" t="s">
        <v>7</v>
      </c>
      <c r="M26" t="s">
        <v>7</v>
      </c>
      <c r="N26" t="s">
        <v>7</v>
      </c>
      <c r="O26" t="s">
        <v>7</v>
      </c>
      <c r="P26" s="32">
        <f t="shared" si="1"/>
        <v>80000</v>
      </c>
    </row>
    <row r="27" spans="1:16" x14ac:dyDescent="0.25">
      <c r="A27" s="20" t="s">
        <v>31</v>
      </c>
      <c r="B27" s="23"/>
      <c r="C27" s="24"/>
      <c r="D27" s="2" t="s">
        <v>7</v>
      </c>
      <c r="E27" s="2" t="s">
        <v>7</v>
      </c>
      <c r="F27" s="2">
        <f>80*32</f>
        <v>2560</v>
      </c>
      <c r="G27" s="2" t="s">
        <v>7</v>
      </c>
      <c r="H27" s="2" t="s">
        <v>7</v>
      </c>
      <c r="I27" s="2" t="s">
        <v>7</v>
      </c>
      <c r="J27" s="2" t="s">
        <v>7</v>
      </c>
      <c r="K27" s="2">
        <f>80*32</f>
        <v>2560</v>
      </c>
      <c r="L27" s="2" t="s">
        <v>7</v>
      </c>
      <c r="M27" s="2" t="s">
        <v>7</v>
      </c>
      <c r="N27" s="2" t="s">
        <v>7</v>
      </c>
      <c r="O27" s="2" t="s">
        <v>7</v>
      </c>
      <c r="P27" s="32">
        <f t="shared" si="1"/>
        <v>5120</v>
      </c>
    </row>
    <row r="28" spans="1:16" x14ac:dyDescent="0.25">
      <c r="A28" s="20" t="s">
        <v>32</v>
      </c>
      <c r="B28" s="23"/>
      <c r="C28" s="24"/>
      <c r="D28" s="2" t="s">
        <v>7</v>
      </c>
      <c r="E28" s="2" t="s">
        <v>7</v>
      </c>
      <c r="F28" s="2" t="s">
        <v>7</v>
      </c>
      <c r="G28" s="2" t="s">
        <v>7</v>
      </c>
      <c r="H28" s="2" t="s">
        <v>7</v>
      </c>
      <c r="I28" s="2" t="s">
        <v>7</v>
      </c>
      <c r="J28" s="2" t="s">
        <v>7</v>
      </c>
      <c r="K28" s="2">
        <f>130*55</f>
        <v>7150</v>
      </c>
      <c r="L28" s="2" t="s">
        <v>7</v>
      </c>
      <c r="M28" s="2" t="s">
        <v>7</v>
      </c>
      <c r="N28" s="2" t="s">
        <v>7</v>
      </c>
      <c r="O28" s="2" t="s">
        <v>7</v>
      </c>
      <c r="P28" s="32">
        <f t="shared" si="1"/>
        <v>7150</v>
      </c>
    </row>
    <row r="29" spans="1:16" x14ac:dyDescent="0.25">
      <c r="A29" s="20" t="s">
        <v>33</v>
      </c>
      <c r="B29" s="23"/>
      <c r="C29" s="24"/>
      <c r="D29" s="2">
        <f>320000/12</f>
        <v>26666.666666666668</v>
      </c>
      <c r="E29" s="2">
        <f t="shared" ref="E29:O29" si="2">320000/12</f>
        <v>26666.666666666668</v>
      </c>
      <c r="F29" s="2">
        <f t="shared" si="2"/>
        <v>26666.666666666668</v>
      </c>
      <c r="G29" s="2">
        <f t="shared" si="2"/>
        <v>26666.666666666668</v>
      </c>
      <c r="H29" s="2">
        <f t="shared" si="2"/>
        <v>26666.666666666668</v>
      </c>
      <c r="I29" s="2">
        <f t="shared" si="2"/>
        <v>26666.666666666668</v>
      </c>
      <c r="J29" s="2">
        <f t="shared" si="2"/>
        <v>26666.666666666668</v>
      </c>
      <c r="K29" s="2">
        <f t="shared" si="2"/>
        <v>26666.666666666668</v>
      </c>
      <c r="L29" s="2">
        <f t="shared" si="2"/>
        <v>26666.666666666668</v>
      </c>
      <c r="M29" s="2">
        <f t="shared" si="2"/>
        <v>26666.666666666668</v>
      </c>
      <c r="N29" s="2">
        <f t="shared" si="2"/>
        <v>26666.666666666668</v>
      </c>
      <c r="O29" s="2">
        <f t="shared" si="2"/>
        <v>26666.666666666668</v>
      </c>
      <c r="P29" s="32">
        <f t="shared" si="1"/>
        <v>320000</v>
      </c>
    </row>
    <row r="30" spans="1:16" x14ac:dyDescent="0.25">
      <c r="A30" s="20" t="s">
        <v>34</v>
      </c>
      <c r="B30" s="23"/>
      <c r="C30" s="24"/>
      <c r="D30" s="2">
        <f>480000/12</f>
        <v>40000</v>
      </c>
      <c r="E30" s="2">
        <f t="shared" ref="E30:O30" si="3">480000/12</f>
        <v>40000</v>
      </c>
      <c r="F30" s="2">
        <f t="shared" si="3"/>
        <v>40000</v>
      </c>
      <c r="G30" s="2">
        <f t="shared" si="3"/>
        <v>40000</v>
      </c>
      <c r="H30" s="2">
        <f t="shared" si="3"/>
        <v>40000</v>
      </c>
      <c r="I30" s="2">
        <f t="shared" si="3"/>
        <v>40000</v>
      </c>
      <c r="J30" s="2">
        <f t="shared" si="3"/>
        <v>40000</v>
      </c>
      <c r="K30" s="2">
        <f t="shared" si="3"/>
        <v>40000</v>
      </c>
      <c r="L30" s="2">
        <f t="shared" si="3"/>
        <v>40000</v>
      </c>
      <c r="M30" s="2">
        <f t="shared" si="3"/>
        <v>40000</v>
      </c>
      <c r="N30" s="2">
        <f t="shared" si="3"/>
        <v>40000</v>
      </c>
      <c r="O30" s="2">
        <f t="shared" si="3"/>
        <v>40000</v>
      </c>
      <c r="P30" s="32">
        <f t="shared" si="1"/>
        <v>480000</v>
      </c>
    </row>
    <row r="31" spans="1:16" x14ac:dyDescent="0.25">
      <c r="A31" s="20" t="s">
        <v>35</v>
      </c>
      <c r="B31" s="23"/>
      <c r="C31" s="24"/>
      <c r="D31" s="2">
        <f>55*10*10</f>
        <v>5500</v>
      </c>
      <c r="E31" s="2">
        <f t="shared" ref="E31:O31" si="4">55*10*10</f>
        <v>5500</v>
      </c>
      <c r="F31" s="2">
        <f t="shared" si="4"/>
        <v>5500</v>
      </c>
      <c r="G31" s="2">
        <f t="shared" si="4"/>
        <v>5500</v>
      </c>
      <c r="H31" s="2">
        <f t="shared" si="4"/>
        <v>5500</v>
      </c>
      <c r="I31" s="2">
        <f t="shared" si="4"/>
        <v>5500</v>
      </c>
      <c r="J31" s="2">
        <f t="shared" si="4"/>
        <v>5500</v>
      </c>
      <c r="K31" s="2">
        <f t="shared" si="4"/>
        <v>5500</v>
      </c>
      <c r="L31" s="2">
        <f t="shared" si="4"/>
        <v>5500</v>
      </c>
      <c r="M31" s="2">
        <f t="shared" si="4"/>
        <v>5500</v>
      </c>
      <c r="N31" s="2">
        <f t="shared" si="4"/>
        <v>5500</v>
      </c>
      <c r="O31" s="2">
        <f t="shared" si="4"/>
        <v>5500</v>
      </c>
      <c r="P31" s="32">
        <f t="shared" si="1"/>
        <v>66000</v>
      </c>
    </row>
    <row r="32" spans="1:16" x14ac:dyDescent="0.25">
      <c r="A32" s="20" t="s">
        <v>36</v>
      </c>
      <c r="B32" s="23"/>
      <c r="C32" s="24"/>
      <c r="D32" s="2" t="s">
        <v>7</v>
      </c>
      <c r="E32" s="2" t="s">
        <v>7</v>
      </c>
      <c r="F32" s="2">
        <f>120000/4</f>
        <v>30000</v>
      </c>
      <c r="G32" s="2" t="s">
        <v>7</v>
      </c>
      <c r="H32" s="2" t="s">
        <v>7</v>
      </c>
      <c r="I32" s="2">
        <f>120000/4</f>
        <v>30000</v>
      </c>
      <c r="J32" s="2" t="s">
        <v>7</v>
      </c>
      <c r="K32" s="2" t="s">
        <v>7</v>
      </c>
      <c r="L32" s="2">
        <f>120000/4</f>
        <v>30000</v>
      </c>
      <c r="M32" s="2" t="s">
        <v>7</v>
      </c>
      <c r="N32" s="2" t="s">
        <v>7</v>
      </c>
      <c r="O32" s="2">
        <f>120000/4</f>
        <v>30000</v>
      </c>
      <c r="P32" s="32">
        <f t="shared" si="1"/>
        <v>120000</v>
      </c>
    </row>
    <row r="33" spans="1:16" x14ac:dyDescent="0.25">
      <c r="A33" s="20" t="s">
        <v>37</v>
      </c>
      <c r="B33" s="23"/>
      <c r="C33" s="24"/>
      <c r="D33" s="2" t="s">
        <v>7</v>
      </c>
      <c r="E33" s="2" t="s">
        <v>7</v>
      </c>
      <c r="F33" s="2" t="s">
        <v>7</v>
      </c>
      <c r="G33" s="2">
        <f>75000/9</f>
        <v>8333.3333333333339</v>
      </c>
      <c r="H33" s="2">
        <f t="shared" ref="H33:O33" si="5">75000/9</f>
        <v>8333.3333333333339</v>
      </c>
      <c r="I33" s="2">
        <f t="shared" si="5"/>
        <v>8333.3333333333339</v>
      </c>
      <c r="J33" s="2">
        <f t="shared" si="5"/>
        <v>8333.3333333333339</v>
      </c>
      <c r="K33" s="2">
        <f t="shared" si="5"/>
        <v>8333.3333333333339</v>
      </c>
      <c r="L33" s="2">
        <f t="shared" si="5"/>
        <v>8333.3333333333339</v>
      </c>
      <c r="M33" s="2">
        <f t="shared" si="5"/>
        <v>8333.3333333333339</v>
      </c>
      <c r="N33" s="2">
        <f t="shared" si="5"/>
        <v>8333.3333333333339</v>
      </c>
      <c r="O33" s="2">
        <f t="shared" si="5"/>
        <v>8333.3333333333339</v>
      </c>
      <c r="P33" s="32">
        <f t="shared" si="1"/>
        <v>75000</v>
      </c>
    </row>
    <row r="34" spans="1:16" x14ac:dyDescent="0.25">
      <c r="A34" s="20" t="s">
        <v>38</v>
      </c>
      <c r="B34" s="23"/>
      <c r="C34" s="24"/>
      <c r="D34" s="2"/>
      <c r="E34" s="2" t="s">
        <v>26</v>
      </c>
      <c r="F34" s="2">
        <v>25000</v>
      </c>
      <c r="G34" s="2" t="s">
        <v>7</v>
      </c>
      <c r="H34" s="2"/>
      <c r="I34" s="2" t="s">
        <v>7</v>
      </c>
      <c r="J34" s="2">
        <v>25000</v>
      </c>
      <c r="K34" s="2" t="s">
        <v>7</v>
      </c>
      <c r="L34" t="s">
        <v>7</v>
      </c>
      <c r="M34" s="2" t="s">
        <v>7</v>
      </c>
      <c r="N34" s="2">
        <v>25000</v>
      </c>
      <c r="P34" s="32">
        <f t="shared" si="1"/>
        <v>75000</v>
      </c>
    </row>
    <row r="35" spans="1:16" x14ac:dyDescent="0.25">
      <c r="A35" s="20" t="s">
        <v>39</v>
      </c>
      <c r="B35" s="23"/>
      <c r="C35" s="24"/>
      <c r="D35" s="2"/>
      <c r="E35" s="2" t="s">
        <v>7</v>
      </c>
      <c r="F35" s="2">
        <v>779000</v>
      </c>
      <c r="G35" s="2"/>
      <c r="H35" s="2" t="s">
        <v>7</v>
      </c>
      <c r="I35" s="2" t="s">
        <v>7</v>
      </c>
      <c r="J35" s="2" t="s">
        <v>7</v>
      </c>
      <c r="L35" t="s">
        <v>7</v>
      </c>
      <c r="P35" s="32">
        <f t="shared" si="1"/>
        <v>779000</v>
      </c>
    </row>
    <row r="36" spans="1:16" x14ac:dyDescent="0.25">
      <c r="A36" s="20" t="s">
        <v>40</v>
      </c>
      <c r="B36" s="23"/>
      <c r="C36" s="24"/>
      <c r="D36" s="2">
        <f>150000/3</f>
        <v>50000</v>
      </c>
      <c r="E36" s="2">
        <f t="shared" ref="E36:F36" si="6">150000/3</f>
        <v>50000</v>
      </c>
      <c r="F36" s="2">
        <f t="shared" si="6"/>
        <v>50000</v>
      </c>
      <c r="G36" s="2"/>
      <c r="H36" s="2"/>
      <c r="I36" s="2"/>
      <c r="J36" s="2"/>
      <c r="P36" s="32">
        <f t="shared" si="1"/>
        <v>150000</v>
      </c>
    </row>
    <row r="37" spans="1:16" x14ac:dyDescent="0.25">
      <c r="A37" s="20" t="s">
        <v>41</v>
      </c>
      <c r="B37" s="23"/>
      <c r="C37" s="24"/>
      <c r="D37" s="2">
        <f>13200/12</f>
        <v>1100</v>
      </c>
      <c r="E37" s="2">
        <f t="shared" ref="E37:O37" si="7">13200/12</f>
        <v>1100</v>
      </c>
      <c r="F37" s="2">
        <f t="shared" si="7"/>
        <v>1100</v>
      </c>
      <c r="G37" s="2">
        <f t="shared" si="7"/>
        <v>1100</v>
      </c>
      <c r="H37" s="2">
        <f t="shared" si="7"/>
        <v>1100</v>
      </c>
      <c r="I37" s="2">
        <f t="shared" si="7"/>
        <v>1100</v>
      </c>
      <c r="J37" s="2">
        <f t="shared" si="7"/>
        <v>1100</v>
      </c>
      <c r="K37" s="2">
        <f t="shared" si="7"/>
        <v>1100</v>
      </c>
      <c r="L37" s="2">
        <f t="shared" si="7"/>
        <v>1100</v>
      </c>
      <c r="M37" s="2">
        <f t="shared" si="7"/>
        <v>1100</v>
      </c>
      <c r="N37" s="2">
        <f t="shared" si="7"/>
        <v>1100</v>
      </c>
      <c r="O37" s="2">
        <f t="shared" si="7"/>
        <v>1100</v>
      </c>
      <c r="P37" s="32">
        <f t="shared" si="1"/>
        <v>13200</v>
      </c>
    </row>
    <row r="38" spans="1:16" x14ac:dyDescent="0.25">
      <c r="A38" s="20" t="s">
        <v>42</v>
      </c>
      <c r="B38" s="23"/>
      <c r="C38" s="24"/>
      <c r="D38" s="2"/>
      <c r="E38" s="2"/>
      <c r="F38" s="2"/>
      <c r="G38" s="2"/>
      <c r="H38" s="2"/>
      <c r="I38" s="2"/>
      <c r="J38" s="2"/>
      <c r="L38">
        <f>150000/4</f>
        <v>37500</v>
      </c>
      <c r="M38">
        <f t="shared" ref="M38:O38" si="8">150000/4</f>
        <v>37500</v>
      </c>
      <c r="N38">
        <f t="shared" si="8"/>
        <v>37500</v>
      </c>
      <c r="O38">
        <f t="shared" si="8"/>
        <v>37500</v>
      </c>
      <c r="P38" s="32">
        <f t="shared" si="1"/>
        <v>150000</v>
      </c>
    </row>
    <row r="39" spans="1:16" x14ac:dyDescent="0.25">
      <c r="A39" s="20" t="s">
        <v>43</v>
      </c>
      <c r="B39" s="23"/>
      <c r="C39" s="24"/>
      <c r="D39" s="2"/>
      <c r="E39" s="2"/>
      <c r="F39" s="2"/>
      <c r="G39" s="2"/>
      <c r="H39" s="2"/>
      <c r="I39" s="2"/>
      <c r="J39" s="2"/>
      <c r="K39">
        <f>546000/5</f>
        <v>109200</v>
      </c>
      <c r="L39">
        <f t="shared" ref="L39:O39" si="9">546000/5</f>
        <v>109200</v>
      </c>
      <c r="M39">
        <f t="shared" si="9"/>
        <v>109200</v>
      </c>
      <c r="N39">
        <f t="shared" si="9"/>
        <v>109200</v>
      </c>
      <c r="O39">
        <f t="shared" si="9"/>
        <v>109200</v>
      </c>
      <c r="P39" s="32">
        <f t="shared" si="1"/>
        <v>546000</v>
      </c>
    </row>
    <row r="40" spans="1:16" x14ac:dyDescent="0.25">
      <c r="A40" s="20" t="s">
        <v>44</v>
      </c>
      <c r="B40" s="23"/>
      <c r="C40" s="24"/>
      <c r="D40" s="2"/>
      <c r="E40" s="2"/>
      <c r="F40" s="2"/>
      <c r="G40" s="2"/>
      <c r="H40" s="2"/>
      <c r="I40" s="2"/>
      <c r="J40" s="2"/>
      <c r="M40">
        <v>18000</v>
      </c>
      <c r="P40" s="32">
        <f t="shared" si="1"/>
        <v>18000</v>
      </c>
    </row>
    <row r="41" spans="1:16" x14ac:dyDescent="0.25">
      <c r="A41" s="20" t="s">
        <v>45</v>
      </c>
      <c r="B41" s="23"/>
      <c r="C41" s="24"/>
      <c r="D41" s="2">
        <f>72000/12</f>
        <v>6000</v>
      </c>
      <c r="E41" s="2">
        <f t="shared" ref="E41:O41" si="10">72000/12</f>
        <v>6000</v>
      </c>
      <c r="F41" s="2">
        <f t="shared" si="10"/>
        <v>6000</v>
      </c>
      <c r="G41" s="2">
        <f t="shared" si="10"/>
        <v>6000</v>
      </c>
      <c r="H41" s="2">
        <f t="shared" si="10"/>
        <v>6000</v>
      </c>
      <c r="I41" s="2">
        <f t="shared" si="10"/>
        <v>6000</v>
      </c>
      <c r="J41" s="2">
        <f t="shared" si="10"/>
        <v>6000</v>
      </c>
      <c r="K41" s="2">
        <f t="shared" si="10"/>
        <v>6000</v>
      </c>
      <c r="L41" s="2">
        <f t="shared" si="10"/>
        <v>6000</v>
      </c>
      <c r="M41" s="2">
        <f t="shared" si="10"/>
        <v>6000</v>
      </c>
      <c r="N41" s="2">
        <f t="shared" si="10"/>
        <v>6000</v>
      </c>
      <c r="O41" s="2">
        <f t="shared" si="10"/>
        <v>6000</v>
      </c>
      <c r="P41" s="32">
        <f t="shared" si="1"/>
        <v>72000</v>
      </c>
    </row>
    <row r="42" spans="1:16" x14ac:dyDescent="0.25">
      <c r="A42" s="20" t="s">
        <v>46</v>
      </c>
      <c r="B42" s="23"/>
      <c r="C42" s="24"/>
      <c r="D42" s="2"/>
      <c r="E42" s="2"/>
      <c r="F42" s="2"/>
      <c r="G42" s="2"/>
      <c r="H42" s="2"/>
      <c r="I42" s="2"/>
      <c r="J42" s="2"/>
      <c r="N42">
        <v>10000</v>
      </c>
      <c r="P42" s="32">
        <f t="shared" si="1"/>
        <v>10000</v>
      </c>
    </row>
    <row r="43" spans="1:16" ht="13.8" thickBot="1" x14ac:dyDescent="0.3">
      <c r="A43" s="20" t="s">
        <v>47</v>
      </c>
      <c r="B43" s="23"/>
      <c r="C43" s="24"/>
      <c r="D43" s="3"/>
      <c r="E43" s="3"/>
      <c r="F43" s="3"/>
      <c r="G43" s="3">
        <f>49149*5.8/100</f>
        <v>2850.6420000000003</v>
      </c>
      <c r="H43" s="3"/>
      <c r="I43" s="3"/>
      <c r="P43" s="32">
        <f t="shared" si="1"/>
        <v>2850.6420000000003</v>
      </c>
    </row>
    <row r="44" spans="1:16" ht="13.8" thickBot="1" x14ac:dyDescent="0.3">
      <c r="A44" s="21" t="s">
        <v>11</v>
      </c>
      <c r="B44" s="27"/>
      <c r="C44" s="28"/>
      <c r="D44" s="31">
        <f t="shared" ref="D44:O44" si="11">SUM(D21:D43)</f>
        <v>168066.66666666669</v>
      </c>
      <c r="E44" s="31">
        <f t="shared" si="11"/>
        <v>254116.66666666666</v>
      </c>
      <c r="F44" s="31">
        <f t="shared" si="11"/>
        <v>973926.66666666674</v>
      </c>
      <c r="G44" s="31">
        <f t="shared" si="11"/>
        <v>128550.64200000001</v>
      </c>
      <c r="H44" s="31">
        <f t="shared" si="11"/>
        <v>168250.00000000003</v>
      </c>
      <c r="I44" s="31">
        <f t="shared" si="11"/>
        <v>126600</v>
      </c>
      <c r="J44" s="31">
        <f t="shared" si="11"/>
        <v>121600</v>
      </c>
      <c r="K44" s="31">
        <f t="shared" si="11"/>
        <v>236060</v>
      </c>
      <c r="L44" s="31">
        <f t="shared" si="11"/>
        <v>273300</v>
      </c>
      <c r="M44" s="31">
        <f t="shared" si="11"/>
        <v>261300</v>
      </c>
      <c r="N44" s="31">
        <f t="shared" si="11"/>
        <v>298850</v>
      </c>
      <c r="O44" s="33">
        <f t="shared" si="11"/>
        <v>273300</v>
      </c>
      <c r="P44" s="34">
        <f>SUM(D44:O44)</f>
        <v>3283920.642</v>
      </c>
    </row>
    <row r="45" spans="1:16" x14ac:dyDescent="0.25">
      <c r="A45" s="20"/>
      <c r="B45" s="23"/>
      <c r="C45" s="24"/>
      <c r="D45" s="4"/>
      <c r="E45" s="4"/>
      <c r="F45" s="4"/>
      <c r="G45" s="4"/>
      <c r="H45" s="4"/>
      <c r="I45" s="4"/>
      <c r="P45" s="32"/>
    </row>
    <row r="46" spans="1:16" x14ac:dyDescent="0.25">
      <c r="A46" s="20"/>
      <c r="B46" s="23"/>
      <c r="C46" s="24"/>
      <c r="D46" s="4"/>
      <c r="E46" s="4"/>
      <c r="F46" s="4"/>
      <c r="G46" s="4"/>
      <c r="H46" s="4"/>
      <c r="I46" s="4"/>
      <c r="P46" s="32"/>
    </row>
    <row r="47" spans="1:16" x14ac:dyDescent="0.25">
      <c r="A47" s="20"/>
      <c r="B47" s="23"/>
      <c r="C47" s="24"/>
      <c r="D47" s="3"/>
      <c r="E47" s="3"/>
      <c r="F47" s="3"/>
      <c r="G47" s="3"/>
      <c r="H47" s="3"/>
      <c r="I47" s="3"/>
      <c r="P47" s="32"/>
    </row>
    <row r="48" spans="1:16" x14ac:dyDescent="0.25">
      <c r="A48" s="10" t="s">
        <v>12</v>
      </c>
      <c r="B48" s="11"/>
      <c r="C48" s="12"/>
      <c r="D48" s="3">
        <v>318000</v>
      </c>
      <c r="E48" s="3">
        <v>525526</v>
      </c>
      <c r="F48" s="3">
        <v>603658</v>
      </c>
      <c r="G48" s="3">
        <v>-49149</v>
      </c>
      <c r="H48" s="3">
        <v>176084</v>
      </c>
      <c r="I48" s="3">
        <v>317541</v>
      </c>
      <c r="J48" s="3">
        <v>545406</v>
      </c>
      <c r="K48" s="3">
        <v>814737</v>
      </c>
      <c r="L48" s="3">
        <v>1038993</v>
      </c>
      <c r="M48" s="3">
        <v>1275124</v>
      </c>
      <c r="N48" s="3">
        <v>1532019</v>
      </c>
      <c r="O48" s="3">
        <v>1723938</v>
      </c>
      <c r="P48" s="32"/>
    </row>
    <row r="49" spans="1:16" x14ac:dyDescent="0.25">
      <c r="A49" s="15"/>
      <c r="B49" s="16"/>
      <c r="C49" s="17"/>
      <c r="D49" s="3"/>
      <c r="E49" s="3"/>
      <c r="F49" s="3"/>
      <c r="G49" s="3"/>
      <c r="H49" s="3"/>
      <c r="I49" s="3"/>
      <c r="P49" s="32"/>
    </row>
    <row r="50" spans="1:16" x14ac:dyDescent="0.25">
      <c r="A50" s="10"/>
      <c r="B50" s="11"/>
      <c r="C50" s="12"/>
      <c r="D50" s="3"/>
      <c r="E50" s="3"/>
      <c r="F50" s="3"/>
      <c r="G50" s="3"/>
      <c r="H50" s="3"/>
      <c r="I50" s="3"/>
      <c r="P50" s="32"/>
    </row>
    <row r="51" spans="1:16" x14ac:dyDescent="0.25">
      <c r="A51" s="20" t="s">
        <v>13</v>
      </c>
      <c r="B51" s="23"/>
      <c r="C51" s="24"/>
      <c r="D51" s="3">
        <f t="shared" ref="D51:O51" si="12">D16-D44</f>
        <v>207526.33333333331</v>
      </c>
      <c r="E51" s="3">
        <f t="shared" si="12"/>
        <v>78132.018000000011</v>
      </c>
      <c r="F51" s="3">
        <f t="shared" si="12"/>
        <v>-652806.55819866667</v>
      </c>
      <c r="G51">
        <f t="shared" si="12"/>
        <v>176084.35800000001</v>
      </c>
      <c r="H51" s="3">
        <f t="shared" si="12"/>
        <v>141457.31930799995</v>
      </c>
      <c r="I51" s="3">
        <f t="shared" si="12"/>
        <v>227865.07430200803</v>
      </c>
      <c r="J51" s="3">
        <f t="shared" si="12"/>
        <v>269330.55793185224</v>
      </c>
      <c r="K51" s="3">
        <f t="shared" si="12"/>
        <v>224256.16200000001</v>
      </c>
      <c r="L51" s="3">
        <f t="shared" si="12"/>
        <v>236130.81800000003</v>
      </c>
      <c r="M51" s="3">
        <f t="shared" si="12"/>
        <v>256895.22399999999</v>
      </c>
      <c r="N51" s="3">
        <f t="shared" si="12"/>
        <v>191919.49400000001</v>
      </c>
      <c r="O51" s="3">
        <f t="shared" si="12"/>
        <v>125528.38799999998</v>
      </c>
      <c r="P51" s="32"/>
    </row>
    <row r="52" spans="1:16" x14ac:dyDescent="0.25">
      <c r="A52" s="15"/>
      <c r="B52" s="16"/>
      <c r="C52" s="17"/>
      <c r="D52" s="3"/>
      <c r="E52" s="3"/>
      <c r="F52" s="3"/>
      <c r="G52" s="3" t="s">
        <v>7</v>
      </c>
      <c r="H52" s="3"/>
      <c r="I52" s="3"/>
      <c r="P52" s="32"/>
    </row>
    <row r="53" spans="1:16" x14ac:dyDescent="0.25">
      <c r="A53" s="15"/>
      <c r="B53" s="16"/>
      <c r="C53" s="17"/>
      <c r="D53" s="3"/>
      <c r="E53" s="3"/>
      <c r="F53" s="3"/>
      <c r="G53" s="3"/>
      <c r="H53" s="3"/>
      <c r="I53" s="3"/>
      <c r="P53" s="32"/>
    </row>
    <row r="54" spans="1:16" ht="13.8" thickBot="1" x14ac:dyDescent="0.3">
      <c r="A54" s="22" t="s">
        <v>14</v>
      </c>
      <c r="B54" s="29"/>
      <c r="C54" s="30"/>
      <c r="D54" s="31">
        <f t="shared" ref="D54:O54" si="13">D48+D51</f>
        <v>525526.33333333326</v>
      </c>
      <c r="E54" s="31">
        <f t="shared" si="13"/>
        <v>603658.01800000004</v>
      </c>
      <c r="F54" s="31">
        <f t="shared" si="13"/>
        <v>-49148.558198666666</v>
      </c>
      <c r="G54" s="31">
        <f t="shared" si="13"/>
        <v>126935.35800000001</v>
      </c>
      <c r="H54" s="31">
        <f t="shared" si="13"/>
        <v>317541.31930799992</v>
      </c>
      <c r="I54" s="31">
        <f t="shared" si="13"/>
        <v>545406.07430200803</v>
      </c>
      <c r="J54" s="31">
        <f t="shared" si="13"/>
        <v>814736.55793185229</v>
      </c>
      <c r="K54" s="31">
        <f t="shared" si="13"/>
        <v>1038993.162</v>
      </c>
      <c r="L54" s="31">
        <f t="shared" si="13"/>
        <v>1275123.818</v>
      </c>
      <c r="M54" s="31">
        <f t="shared" si="13"/>
        <v>1532019.2239999999</v>
      </c>
      <c r="N54" s="31">
        <f t="shared" si="13"/>
        <v>1723938.4939999999</v>
      </c>
      <c r="O54" s="31">
        <f t="shared" si="13"/>
        <v>1849466.388</v>
      </c>
      <c r="P54" s="36"/>
    </row>
    <row r="55" spans="1:16" x14ac:dyDescent="0.25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25">
      <c r="A56" s="2"/>
      <c r="B56" s="2"/>
      <c r="C56" s="2"/>
      <c r="D56" s="3"/>
      <c r="E56" s="3"/>
      <c r="F56" s="3"/>
      <c r="G56" s="3"/>
      <c r="H56" s="3"/>
      <c r="I56" s="3"/>
    </row>
    <row r="57" spans="1:16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5">
      <c r="A122" s="2"/>
      <c r="B122" s="2"/>
      <c r="C122" s="2"/>
      <c r="D122" s="2"/>
      <c r="E122" s="2"/>
      <c r="F122" s="2"/>
      <c r="G122" s="2"/>
      <c r="H122" s="2"/>
      <c r="I122" s="2"/>
    </row>
  </sheetData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Predictions</vt:lpstr>
      <vt:lpstr>Balance 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ReceptionMRB</cp:lastModifiedBy>
  <cp:lastPrinted>2016-08-19T14:08:18Z</cp:lastPrinted>
  <dcterms:created xsi:type="dcterms:W3CDTF">2011-01-20T13:47:40Z</dcterms:created>
  <dcterms:modified xsi:type="dcterms:W3CDTF">2019-12-20T12:51:44Z</dcterms:modified>
</cp:coreProperties>
</file>